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168C9E3A-B0F2-4D58-80CC-01DFA5EF6739}" xr6:coauthVersionLast="47" xr6:coauthVersionMax="47" xr10:uidLastSave="{00000000-0000-0000-0000-000000000000}"/>
  <bookViews>
    <workbookView xWindow="833" yWindow="-98" windowWidth="23265" windowHeight="13695" xr2:uid="{5CDD05D1-B91C-47AD-9058-2B6F85536433}"/>
  </bookViews>
  <sheets>
    <sheet name="Zestawienia" sheetId="7" r:id="rId1"/>
    <sheet name="Ankiety_analiza(czyszczone)" sheetId="5" r:id="rId2"/>
    <sheet name="PivotCzyste" sheetId="6" r:id="rId3"/>
    <sheet name="PivotNieCzyszczone" sheetId="4" r:id="rId4"/>
    <sheet name="AnkietyNieOczyszczone" sheetId="3" r:id="rId5"/>
    <sheet name="Ankiety_wszystkie" sheetId="1" r:id="rId6"/>
    <sheet name="Ankiety_zakończone" sheetId="2" r:id="rId7"/>
    <sheet name="TabeleGrup" sheetId="8" r:id="rId8"/>
  </sheet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C524" i="7" l="1"/>
  <c r="C525" i="7"/>
  <c r="C526" i="7"/>
  <c r="C527" i="7"/>
  <c r="C528" i="7"/>
  <c r="C529" i="7"/>
  <c r="C530" i="7"/>
  <c r="D530" i="7" s="1"/>
  <c r="C523" i="7"/>
  <c r="C596" i="7"/>
  <c r="C597" i="7"/>
  <c r="C598" i="7"/>
  <c r="C599" i="7"/>
  <c r="C600" i="7"/>
  <c r="C601" i="7"/>
  <c r="C602" i="7"/>
  <c r="D602" i="7" s="1"/>
  <c r="C595" i="7"/>
  <c r="C584" i="7"/>
  <c r="C585" i="7"/>
  <c r="C586" i="7"/>
  <c r="C587" i="7"/>
  <c r="C588" i="7"/>
  <c r="C589" i="7"/>
  <c r="C590" i="7"/>
  <c r="D590" i="7" s="1"/>
  <c r="C583" i="7"/>
  <c r="C572" i="7"/>
  <c r="C573" i="7"/>
  <c r="C574" i="7"/>
  <c r="C575" i="7"/>
  <c r="C576" i="7"/>
  <c r="C577" i="7"/>
  <c r="C578" i="7"/>
  <c r="D578" i="7" s="1"/>
  <c r="C571" i="7"/>
  <c r="C560" i="7"/>
  <c r="C561" i="7"/>
  <c r="C562" i="7"/>
  <c r="C563" i="7"/>
  <c r="C564" i="7"/>
  <c r="C565" i="7"/>
  <c r="C566" i="7"/>
  <c r="D566" i="7" s="1"/>
  <c r="C559" i="7"/>
  <c r="C548" i="7"/>
  <c r="C549" i="7"/>
  <c r="C550" i="7"/>
  <c r="C551" i="7"/>
  <c r="C552" i="7"/>
  <c r="C553" i="7"/>
  <c r="C554" i="7"/>
  <c r="D554" i="7" s="1"/>
  <c r="C547" i="7"/>
  <c r="E500" i="7"/>
  <c r="E501" i="7"/>
  <c r="E502" i="7"/>
  <c r="I502" i="7" s="1"/>
  <c r="E503" i="7"/>
  <c r="E504" i="7"/>
  <c r="I504" i="7" s="1"/>
  <c r="E505" i="7"/>
  <c r="E506" i="7"/>
  <c r="I506" i="7" s="1"/>
  <c r="E499" i="7"/>
  <c r="I499" i="7" s="1"/>
  <c r="D499" i="7"/>
  <c r="H499" i="7" s="1"/>
  <c r="C512" i="7"/>
  <c r="G512" i="7" s="1"/>
  <c r="D512" i="7"/>
  <c r="E512" i="7"/>
  <c r="I512" i="7" s="1"/>
  <c r="C513" i="7"/>
  <c r="G513" i="7" s="1"/>
  <c r="D513" i="7"/>
  <c r="H513" i="7" s="1"/>
  <c r="E513" i="7"/>
  <c r="I513" i="7" s="1"/>
  <c r="C514" i="7"/>
  <c r="G514" i="7" s="1"/>
  <c r="D514" i="7"/>
  <c r="E514" i="7"/>
  <c r="I514" i="7" s="1"/>
  <c r="C515" i="7"/>
  <c r="G515" i="7" s="1"/>
  <c r="D515" i="7"/>
  <c r="E515" i="7"/>
  <c r="C516" i="7"/>
  <c r="G516" i="7" s="1"/>
  <c r="D516" i="7"/>
  <c r="H516" i="7" s="1"/>
  <c r="E516" i="7"/>
  <c r="C517" i="7"/>
  <c r="D517" i="7"/>
  <c r="H517" i="7" s="1"/>
  <c r="E517" i="7"/>
  <c r="I517" i="7" s="1"/>
  <c r="C518" i="7"/>
  <c r="G518" i="7" s="1"/>
  <c r="D518" i="7"/>
  <c r="H518" i="7" s="1"/>
  <c r="E518" i="7"/>
  <c r="I518" i="7" s="1"/>
  <c r="E511" i="7"/>
  <c r="I511" i="7" s="1"/>
  <c r="D511" i="7"/>
  <c r="C511" i="7"/>
  <c r="G517" i="7"/>
  <c r="H515" i="7"/>
  <c r="H514" i="7"/>
  <c r="D500" i="7"/>
  <c r="H500" i="7" s="1"/>
  <c r="D501" i="7"/>
  <c r="H501" i="7" s="1"/>
  <c r="D502" i="7"/>
  <c r="D503" i="7"/>
  <c r="H503" i="7" s="1"/>
  <c r="D504" i="7"/>
  <c r="H504" i="7" s="1"/>
  <c r="D505" i="7"/>
  <c r="H505" i="7" s="1"/>
  <c r="D506" i="7"/>
  <c r="H506" i="7" s="1"/>
  <c r="C500" i="7"/>
  <c r="G500" i="7" s="1"/>
  <c r="C501" i="7"/>
  <c r="G501" i="7" s="1"/>
  <c r="C502" i="7"/>
  <c r="G502" i="7" s="1"/>
  <c r="C503" i="7"/>
  <c r="G503" i="7" s="1"/>
  <c r="C504" i="7"/>
  <c r="G504" i="7" s="1"/>
  <c r="C505" i="7"/>
  <c r="G505" i="7" s="1"/>
  <c r="C506" i="7"/>
  <c r="G506" i="7" s="1"/>
  <c r="C499" i="7"/>
  <c r="I505" i="7"/>
  <c r="H502" i="7"/>
  <c r="I501" i="7"/>
  <c r="E488" i="7"/>
  <c r="E489" i="7"/>
  <c r="I489" i="7" s="1"/>
  <c r="E490" i="7"/>
  <c r="I490" i="7" s="1"/>
  <c r="E491" i="7"/>
  <c r="I491" i="7" s="1"/>
  <c r="E492" i="7"/>
  <c r="I492" i="7" s="1"/>
  <c r="E493" i="7"/>
  <c r="I493" i="7" s="1"/>
  <c r="E494" i="7"/>
  <c r="I494" i="7" s="1"/>
  <c r="E487" i="7"/>
  <c r="D488" i="7"/>
  <c r="H488" i="7" s="1"/>
  <c r="D489" i="7"/>
  <c r="H489" i="7" s="1"/>
  <c r="D490" i="7"/>
  <c r="H490" i="7" s="1"/>
  <c r="D491" i="7"/>
  <c r="H491" i="7" s="1"/>
  <c r="D492" i="7"/>
  <c r="H492" i="7" s="1"/>
  <c r="D493" i="7"/>
  <c r="D494" i="7"/>
  <c r="D487" i="7"/>
  <c r="C488" i="7"/>
  <c r="G488" i="7" s="1"/>
  <c r="C489" i="7"/>
  <c r="G489" i="7" s="1"/>
  <c r="C490" i="7"/>
  <c r="G490" i="7" s="1"/>
  <c r="C491" i="7"/>
  <c r="F491" i="7" s="1"/>
  <c r="C492" i="7"/>
  <c r="G492" i="7" s="1"/>
  <c r="C493" i="7"/>
  <c r="G493" i="7" s="1"/>
  <c r="C494" i="7"/>
  <c r="G494" i="7" s="1"/>
  <c r="C487" i="7"/>
  <c r="G487" i="7" s="1"/>
  <c r="H494" i="7"/>
  <c r="H493" i="7"/>
  <c r="C464" i="7"/>
  <c r="C465" i="7"/>
  <c r="C466" i="7"/>
  <c r="C467" i="7"/>
  <c r="C468" i="7"/>
  <c r="C469" i="7"/>
  <c r="C470" i="7"/>
  <c r="D470" i="7" s="1"/>
  <c r="C463" i="7"/>
  <c r="C452" i="7"/>
  <c r="C453" i="7"/>
  <c r="C454" i="7"/>
  <c r="C455" i="7"/>
  <c r="C456" i="7"/>
  <c r="C457" i="7"/>
  <c r="C458" i="7"/>
  <c r="D458" i="7" s="1"/>
  <c r="C451" i="7"/>
  <c r="C440" i="7"/>
  <c r="C441" i="7"/>
  <c r="C442" i="7"/>
  <c r="C443" i="7"/>
  <c r="C444" i="7"/>
  <c r="C445" i="7"/>
  <c r="C446" i="7"/>
  <c r="D446" i="7" s="1"/>
  <c r="C439" i="7"/>
  <c r="C428" i="7"/>
  <c r="C429" i="7"/>
  <c r="C430" i="7"/>
  <c r="C431" i="7"/>
  <c r="C432" i="7"/>
  <c r="C433" i="7"/>
  <c r="C434" i="7"/>
  <c r="D434" i="7" s="1"/>
  <c r="C427" i="7"/>
  <c r="C416" i="7"/>
  <c r="C417" i="7"/>
  <c r="C418" i="7"/>
  <c r="C419" i="7"/>
  <c r="C420" i="7"/>
  <c r="C421" i="7"/>
  <c r="C422" i="7"/>
  <c r="D422" i="7" s="1"/>
  <c r="C415" i="7"/>
  <c r="C404" i="7"/>
  <c r="C405" i="7"/>
  <c r="C406" i="7"/>
  <c r="D406" i="7" s="1"/>
  <c r="C407" i="7"/>
  <c r="C408" i="7"/>
  <c r="D408" i="7" s="1"/>
  <c r="C409" i="7"/>
  <c r="C410" i="7"/>
  <c r="D410" i="7" s="1"/>
  <c r="C403" i="7"/>
  <c r="C392" i="7"/>
  <c r="C393" i="7"/>
  <c r="C394" i="7"/>
  <c r="C395" i="7"/>
  <c r="D395" i="7" s="1"/>
  <c r="C396" i="7"/>
  <c r="C397" i="7"/>
  <c r="D397" i="7" s="1"/>
  <c r="C398" i="7"/>
  <c r="D398" i="7" s="1"/>
  <c r="C391" i="7"/>
  <c r="C380" i="7"/>
  <c r="C381" i="7"/>
  <c r="C382" i="7"/>
  <c r="D382" i="7" s="1"/>
  <c r="C383" i="7"/>
  <c r="C384" i="7"/>
  <c r="D384" i="7" s="1"/>
  <c r="C385" i="7"/>
  <c r="C386" i="7"/>
  <c r="D386" i="7" s="1"/>
  <c r="C379" i="7"/>
  <c r="C368" i="7"/>
  <c r="C369" i="7"/>
  <c r="C370" i="7"/>
  <c r="C371" i="7"/>
  <c r="C372" i="7"/>
  <c r="C373" i="7"/>
  <c r="C374" i="7"/>
  <c r="D374" i="7" s="1"/>
  <c r="C367" i="7"/>
  <c r="C356" i="7"/>
  <c r="C357" i="7"/>
  <c r="C358" i="7"/>
  <c r="D358" i="7" s="1"/>
  <c r="C359" i="7"/>
  <c r="C360" i="7"/>
  <c r="D360" i="7" s="1"/>
  <c r="C361" i="7"/>
  <c r="C362" i="7"/>
  <c r="D362" i="7" s="1"/>
  <c r="C355" i="7"/>
  <c r="C344" i="7"/>
  <c r="C345" i="7"/>
  <c r="C346" i="7"/>
  <c r="C347" i="7"/>
  <c r="C348" i="7"/>
  <c r="C349" i="7"/>
  <c r="C350" i="7"/>
  <c r="D350" i="7" s="1"/>
  <c r="C343" i="7"/>
  <c r="C332" i="7"/>
  <c r="C333" i="7"/>
  <c r="C334" i="7"/>
  <c r="C335" i="7"/>
  <c r="C336" i="7"/>
  <c r="C337" i="7"/>
  <c r="C338" i="7"/>
  <c r="D338" i="7" s="1"/>
  <c r="C331" i="7"/>
  <c r="C308" i="7"/>
  <c r="C309" i="7"/>
  <c r="C310" i="7"/>
  <c r="C311" i="7"/>
  <c r="C312" i="7"/>
  <c r="C313" i="7"/>
  <c r="C314" i="7"/>
  <c r="D314" i="7" s="1"/>
  <c r="C307" i="7"/>
  <c r="C296" i="7"/>
  <c r="C297" i="7"/>
  <c r="C298" i="7"/>
  <c r="C299" i="7"/>
  <c r="C300" i="7"/>
  <c r="C301" i="7"/>
  <c r="C302" i="7"/>
  <c r="D302" i="7" s="1"/>
  <c r="C295" i="7"/>
  <c r="C284" i="7"/>
  <c r="C285" i="7"/>
  <c r="C286" i="7"/>
  <c r="C287" i="7"/>
  <c r="C288" i="7"/>
  <c r="C289" i="7"/>
  <c r="C290" i="7"/>
  <c r="D290" i="7" s="1"/>
  <c r="C283" i="7"/>
  <c r="C272" i="7"/>
  <c r="D272" i="7" s="1"/>
  <c r="C273" i="7"/>
  <c r="C274" i="7"/>
  <c r="D274" i="7" s="1"/>
  <c r="C275" i="7"/>
  <c r="C276" i="7"/>
  <c r="D276" i="7" s="1"/>
  <c r="C277" i="7"/>
  <c r="C278" i="7"/>
  <c r="D278" i="7" s="1"/>
  <c r="C271" i="7"/>
  <c r="C260" i="7"/>
  <c r="C261" i="7"/>
  <c r="C262" i="7"/>
  <c r="C263" i="7"/>
  <c r="C264" i="7"/>
  <c r="C265" i="7"/>
  <c r="C259" i="7"/>
  <c r="C266" i="7"/>
  <c r="D266" i="7" s="1"/>
  <c r="E209" i="7"/>
  <c r="I209" i="7" s="1"/>
  <c r="E210" i="7"/>
  <c r="I210" i="7" s="1"/>
  <c r="E211" i="7"/>
  <c r="I211" i="7" s="1"/>
  <c r="E212" i="7"/>
  <c r="I212" i="7" s="1"/>
  <c r="E213" i="7"/>
  <c r="I213" i="7" s="1"/>
  <c r="E214" i="7"/>
  <c r="I214" i="7" s="1"/>
  <c r="E215" i="7"/>
  <c r="I215" i="7" s="1"/>
  <c r="E208" i="7"/>
  <c r="I208" i="7" s="1"/>
  <c r="E221" i="7"/>
  <c r="I221" i="7" s="1"/>
  <c r="E222" i="7"/>
  <c r="I222" i="7" s="1"/>
  <c r="E223" i="7"/>
  <c r="I223" i="7" s="1"/>
  <c r="E224" i="7"/>
  <c r="I224" i="7" s="1"/>
  <c r="E225" i="7"/>
  <c r="I225" i="7" s="1"/>
  <c r="E226" i="7"/>
  <c r="I226" i="7" s="1"/>
  <c r="E227" i="7"/>
  <c r="I227" i="7" s="1"/>
  <c r="E220" i="7"/>
  <c r="I220" i="7" s="1"/>
  <c r="E233" i="7"/>
  <c r="I233" i="7" s="1"/>
  <c r="E234" i="7"/>
  <c r="I234" i="7" s="1"/>
  <c r="E235" i="7"/>
  <c r="I235" i="7" s="1"/>
  <c r="E236" i="7"/>
  <c r="I236" i="7" s="1"/>
  <c r="E237" i="7"/>
  <c r="I237" i="7" s="1"/>
  <c r="E238" i="7"/>
  <c r="I238" i="7" s="1"/>
  <c r="E239" i="7"/>
  <c r="I239" i="7" s="1"/>
  <c r="E232" i="7"/>
  <c r="I232" i="7" s="1"/>
  <c r="D233" i="7"/>
  <c r="H233" i="7" s="1"/>
  <c r="D234" i="7"/>
  <c r="H234" i="7" s="1"/>
  <c r="D235" i="7"/>
  <c r="H235" i="7" s="1"/>
  <c r="D236" i="7"/>
  <c r="H236" i="7" s="1"/>
  <c r="D237" i="7"/>
  <c r="H237" i="7" s="1"/>
  <c r="D238" i="7"/>
  <c r="H238" i="7" s="1"/>
  <c r="D239" i="7"/>
  <c r="H239" i="7" s="1"/>
  <c r="D232" i="7"/>
  <c r="H232" i="7" s="1"/>
  <c r="C233" i="7"/>
  <c r="G233" i="7" s="1"/>
  <c r="C234" i="7"/>
  <c r="G234" i="7" s="1"/>
  <c r="C235" i="7"/>
  <c r="G235" i="7" s="1"/>
  <c r="C236" i="7"/>
  <c r="G236" i="7" s="1"/>
  <c r="C237" i="7"/>
  <c r="G237" i="7" s="1"/>
  <c r="C238" i="7"/>
  <c r="G238" i="7" s="1"/>
  <c r="C239" i="7"/>
  <c r="G239" i="7" s="1"/>
  <c r="C232" i="7"/>
  <c r="G232" i="7" s="1"/>
  <c r="D221" i="7"/>
  <c r="H221" i="7" s="1"/>
  <c r="D222" i="7"/>
  <c r="H222" i="7" s="1"/>
  <c r="D223" i="7"/>
  <c r="H223" i="7" s="1"/>
  <c r="D224" i="7"/>
  <c r="H224" i="7" s="1"/>
  <c r="D225" i="7"/>
  <c r="H225" i="7" s="1"/>
  <c r="D226" i="7"/>
  <c r="H226" i="7" s="1"/>
  <c r="D227" i="7"/>
  <c r="H227" i="7" s="1"/>
  <c r="D220" i="7"/>
  <c r="H220" i="7" s="1"/>
  <c r="C221" i="7"/>
  <c r="G221" i="7" s="1"/>
  <c r="C222" i="7"/>
  <c r="G222" i="7" s="1"/>
  <c r="C223" i="7"/>
  <c r="C224" i="7"/>
  <c r="G224" i="7" s="1"/>
  <c r="C225" i="7"/>
  <c r="G225" i="7" s="1"/>
  <c r="C226" i="7"/>
  <c r="G226" i="7" s="1"/>
  <c r="C227" i="7"/>
  <c r="G227" i="7" s="1"/>
  <c r="C220" i="7"/>
  <c r="G220" i="7" s="1"/>
  <c r="D209" i="7"/>
  <c r="H209" i="7" s="1"/>
  <c r="D210" i="7"/>
  <c r="H210" i="7" s="1"/>
  <c r="D211" i="7"/>
  <c r="H211" i="7" s="1"/>
  <c r="D212" i="7"/>
  <c r="H212" i="7" s="1"/>
  <c r="D213" i="7"/>
  <c r="H213" i="7" s="1"/>
  <c r="D214" i="7"/>
  <c r="H214" i="7" s="1"/>
  <c r="D215" i="7"/>
  <c r="H215" i="7" s="1"/>
  <c r="D208" i="7"/>
  <c r="H208" i="7" s="1"/>
  <c r="BA140" i="5"/>
  <c r="C197" i="7"/>
  <c r="C198" i="7"/>
  <c r="C199" i="7"/>
  <c r="C200" i="7"/>
  <c r="C201" i="7"/>
  <c r="C202" i="7"/>
  <c r="C203" i="7"/>
  <c r="D203" i="7" s="1"/>
  <c r="C196" i="7"/>
  <c r="C185" i="7"/>
  <c r="C186" i="7"/>
  <c r="D186" i="7" s="1"/>
  <c r="C187" i="7"/>
  <c r="C188" i="7"/>
  <c r="D188" i="7" s="1"/>
  <c r="C189" i="7"/>
  <c r="C190" i="7"/>
  <c r="D190" i="7" s="1"/>
  <c r="C191" i="7"/>
  <c r="D191" i="7" s="1"/>
  <c r="C184" i="7"/>
  <c r="D184" i="7" s="1"/>
  <c r="C159" i="7"/>
  <c r="C160" i="7"/>
  <c r="D160" i="7" s="1"/>
  <c r="C161" i="7"/>
  <c r="C162" i="7"/>
  <c r="D162" i="7" s="1"/>
  <c r="C163" i="7"/>
  <c r="C164" i="7"/>
  <c r="D164" i="7" s="1"/>
  <c r="C165" i="7"/>
  <c r="D165" i="7" s="1"/>
  <c r="C158" i="7"/>
  <c r="C147" i="7"/>
  <c r="C148" i="7"/>
  <c r="D148" i="7" s="1"/>
  <c r="C149" i="7"/>
  <c r="C150" i="7"/>
  <c r="D150" i="7" s="1"/>
  <c r="C151" i="7"/>
  <c r="C152" i="7"/>
  <c r="D152" i="7" s="1"/>
  <c r="C153" i="7"/>
  <c r="D153" i="7" s="1"/>
  <c r="C146" i="7"/>
  <c r="D146" i="7" s="1"/>
  <c r="C536" i="7"/>
  <c r="C537" i="7"/>
  <c r="D537" i="7" s="1"/>
  <c r="C538" i="7"/>
  <c r="C539" i="7"/>
  <c r="D539" i="7" s="1"/>
  <c r="C540" i="7"/>
  <c r="C541" i="7"/>
  <c r="D541" i="7" s="1"/>
  <c r="C542" i="7"/>
  <c r="D542" i="7" s="1"/>
  <c r="C535" i="7"/>
  <c r="D535" i="7" s="1"/>
  <c r="C476" i="7"/>
  <c r="C477" i="7"/>
  <c r="D477" i="7" s="1"/>
  <c r="C478" i="7"/>
  <c r="C479" i="7"/>
  <c r="D479" i="7" s="1"/>
  <c r="C480" i="7"/>
  <c r="C481" i="7"/>
  <c r="C482" i="7"/>
  <c r="D482" i="7" s="1"/>
  <c r="C475" i="7"/>
  <c r="C320" i="7"/>
  <c r="C321" i="7"/>
  <c r="D321" i="7" s="1"/>
  <c r="C322" i="7"/>
  <c r="C323" i="7"/>
  <c r="D323" i="7" s="1"/>
  <c r="C324" i="7"/>
  <c r="C325" i="7"/>
  <c r="D325" i="7" s="1"/>
  <c r="C326" i="7"/>
  <c r="D326" i="7" s="1"/>
  <c r="C319" i="7"/>
  <c r="C248" i="7"/>
  <c r="C249" i="7"/>
  <c r="D249" i="7" s="1"/>
  <c r="C250" i="7"/>
  <c r="C251" i="7"/>
  <c r="D251" i="7" s="1"/>
  <c r="C252" i="7"/>
  <c r="C253" i="7"/>
  <c r="D253" i="7" s="1"/>
  <c r="C254" i="7"/>
  <c r="D254" i="7" s="1"/>
  <c r="C247" i="7"/>
  <c r="C209" i="7"/>
  <c r="C210" i="7"/>
  <c r="G210" i="7" s="1"/>
  <c r="C211" i="7"/>
  <c r="G211" i="7" s="1"/>
  <c r="C212" i="7"/>
  <c r="G212" i="7" s="1"/>
  <c r="C213" i="7"/>
  <c r="G213" i="7" s="1"/>
  <c r="C214" i="7"/>
  <c r="G214" i="7" s="1"/>
  <c r="C215" i="7"/>
  <c r="G215" i="7" s="1"/>
  <c r="C208" i="7"/>
  <c r="G208" i="7" s="1"/>
  <c r="C173" i="7"/>
  <c r="C174" i="7"/>
  <c r="D174" i="7" s="1"/>
  <c r="C175" i="7"/>
  <c r="C176" i="7"/>
  <c r="D176" i="7" s="1"/>
  <c r="C177" i="7"/>
  <c r="C178" i="7"/>
  <c r="D178" i="7" s="1"/>
  <c r="C179" i="7"/>
  <c r="D179" i="7" s="1"/>
  <c r="C172" i="7"/>
  <c r="D172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34" i="7"/>
  <c r="A9" i="7"/>
  <c r="A6" i="7"/>
  <c r="A47" i="7"/>
  <c r="A48" i="7"/>
  <c r="A49" i="7"/>
  <c r="A50" i="7"/>
  <c r="A51" i="7"/>
  <c r="A46" i="7"/>
  <c r="O279" i="1"/>
  <c r="O276" i="1"/>
  <c r="A30" i="7"/>
  <c r="A29" i="7"/>
  <c r="A73" i="7"/>
  <c r="C73" i="7" s="1"/>
  <c r="A72" i="7"/>
  <c r="C72" i="7" s="1"/>
  <c r="AH65" i="5"/>
  <c r="AH82" i="5"/>
  <c r="AH83" i="5"/>
  <c r="AH84" i="5"/>
  <c r="AH66" i="5"/>
  <c r="AH86" i="5"/>
  <c r="C86" i="5" s="1"/>
  <c r="AH30" i="5"/>
  <c r="AH87" i="5"/>
  <c r="AH67" i="5"/>
  <c r="AH68" i="5"/>
  <c r="AH31" i="5"/>
  <c r="AH18" i="5"/>
  <c r="AH88" i="5"/>
  <c r="AH32" i="5"/>
  <c r="AH89" i="5"/>
  <c r="AH90" i="5"/>
  <c r="AH69" i="5"/>
  <c r="AH70" i="5"/>
  <c r="AH91" i="5"/>
  <c r="AH92" i="5"/>
  <c r="AH93" i="5"/>
  <c r="AH94" i="5"/>
  <c r="AH95" i="5"/>
  <c r="AH3" i="5"/>
  <c r="AH98" i="5"/>
  <c r="AH64" i="5"/>
  <c r="AH99" i="5"/>
  <c r="AH33" i="5"/>
  <c r="AH34" i="5"/>
  <c r="AH36" i="5"/>
  <c r="AH4" i="5"/>
  <c r="AH71" i="5"/>
  <c r="AH35" i="5"/>
  <c r="AH37" i="5"/>
  <c r="AH12" i="5"/>
  <c r="AH38" i="5"/>
  <c r="AH39" i="5"/>
  <c r="AH100" i="5"/>
  <c r="AH72" i="5"/>
  <c r="AH101" i="5"/>
  <c r="AH73" i="5"/>
  <c r="AH102" i="5"/>
  <c r="AH40" i="5"/>
  <c r="AH13" i="5"/>
  <c r="AH41" i="5"/>
  <c r="AH103" i="5"/>
  <c r="AH104" i="5"/>
  <c r="AH105" i="5"/>
  <c r="AH51" i="5"/>
  <c r="AH19" i="5"/>
  <c r="AH5" i="5"/>
  <c r="AH42" i="5"/>
  <c r="AH106" i="5"/>
  <c r="AH43" i="5"/>
  <c r="AH44" i="5"/>
  <c r="AH107" i="5"/>
  <c r="AH14" i="5"/>
  <c r="AH74" i="5"/>
  <c r="AH108" i="5"/>
  <c r="AH75" i="5"/>
  <c r="AH20" i="5"/>
  <c r="AH21" i="5"/>
  <c r="AH109" i="5"/>
  <c r="AH76" i="5"/>
  <c r="AH45" i="5"/>
  <c r="AH110" i="5"/>
  <c r="AH111" i="5"/>
  <c r="AH112" i="5"/>
  <c r="AH46" i="5"/>
  <c r="AH47" i="5"/>
  <c r="AH116" i="5"/>
  <c r="AH48" i="5"/>
  <c r="AH77" i="5"/>
  <c r="AH78" i="5"/>
  <c r="AH49" i="5"/>
  <c r="AH11" i="5"/>
  <c r="AH117" i="5"/>
  <c r="AH50" i="5"/>
  <c r="AH22" i="5"/>
  <c r="AH23" i="5"/>
  <c r="AH52" i="5"/>
  <c r="AH118" i="5"/>
  <c r="AH85" i="5"/>
  <c r="AH6" i="5"/>
  <c r="AH53" i="5"/>
  <c r="AH54" i="5"/>
  <c r="AH15" i="5"/>
  <c r="AH55" i="5"/>
  <c r="AH119" i="5"/>
  <c r="AH24" i="5"/>
  <c r="AH25" i="5"/>
  <c r="AH56" i="5"/>
  <c r="AH120" i="5"/>
  <c r="AH96" i="5"/>
  <c r="AH97" i="5"/>
  <c r="AH26" i="5"/>
  <c r="AH121" i="5"/>
  <c r="AH7" i="5"/>
  <c r="AH8" i="5"/>
  <c r="AH122" i="5"/>
  <c r="AH16" i="5"/>
  <c r="AH9" i="5"/>
  <c r="AH57" i="5"/>
  <c r="AH123" i="5"/>
  <c r="AH79" i="5"/>
  <c r="AH124" i="5"/>
  <c r="AH125" i="5"/>
  <c r="AH58" i="5"/>
  <c r="AH59" i="5"/>
  <c r="AH127" i="5"/>
  <c r="AH113" i="5"/>
  <c r="AH114" i="5"/>
  <c r="AH115" i="5"/>
  <c r="AH60" i="5"/>
  <c r="AH80" i="5"/>
  <c r="AH10" i="5"/>
  <c r="AH61" i="5"/>
  <c r="AH128" i="5"/>
  <c r="AH62" i="5"/>
  <c r="AH129" i="5"/>
  <c r="AH27" i="5"/>
  <c r="AH63" i="5"/>
  <c r="AH130" i="5"/>
  <c r="AH126" i="5"/>
  <c r="AH81" i="5"/>
  <c r="AH17" i="5"/>
  <c r="AH132" i="5"/>
  <c r="AH28" i="5"/>
  <c r="AH131" i="5"/>
  <c r="AH29" i="5"/>
  <c r="AH133" i="5"/>
  <c r="AH134" i="5"/>
  <c r="AH135" i="5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87" i="7"/>
  <c r="HC61" i="5"/>
  <c r="HC128" i="5"/>
  <c r="HC82" i="5"/>
  <c r="HC81" i="5"/>
  <c r="HC89" i="5"/>
  <c r="HC90" i="5"/>
  <c r="HC69" i="5"/>
  <c r="HC70" i="5"/>
  <c r="HC78" i="5"/>
  <c r="HC87" i="5"/>
  <c r="HC91" i="5"/>
  <c r="HC92" i="5"/>
  <c r="HC67" i="5"/>
  <c r="HC84" i="5"/>
  <c r="HC49" i="5"/>
  <c r="HC66" i="5"/>
  <c r="HC86" i="5"/>
  <c r="HC11" i="5"/>
  <c r="HC27" i="5"/>
  <c r="HC93" i="5"/>
  <c r="HC94" i="5"/>
  <c r="HC95" i="5"/>
  <c r="HC116" i="5"/>
  <c r="HC117" i="5"/>
  <c r="HC3" i="5"/>
  <c r="HC98" i="5"/>
  <c r="HC88" i="5"/>
  <c r="HC50" i="5"/>
  <c r="HC47" i="5"/>
  <c r="HC22" i="5"/>
  <c r="HC108" i="5"/>
  <c r="HC45" i="5"/>
  <c r="HC35" i="5"/>
  <c r="HC129" i="5"/>
  <c r="HC64" i="5"/>
  <c r="HC112" i="5"/>
  <c r="HC130" i="5"/>
  <c r="HC99" i="5"/>
  <c r="HC23" i="5"/>
  <c r="HC33" i="5"/>
  <c r="HC52" i="5"/>
  <c r="HC118" i="5"/>
  <c r="HC123" i="5"/>
  <c r="HC34" i="5"/>
  <c r="HC6" i="5"/>
  <c r="HC53" i="5"/>
  <c r="HC21" i="5"/>
  <c r="HC54" i="5"/>
  <c r="HC51" i="5"/>
  <c r="HC31" i="5"/>
  <c r="HC109" i="5"/>
  <c r="HC36" i="5"/>
  <c r="HC15" i="5"/>
  <c r="HC4" i="5"/>
  <c r="HC55" i="5"/>
  <c r="HC76" i="5"/>
  <c r="HC119" i="5"/>
  <c r="HC24" i="5"/>
  <c r="HC25" i="5"/>
  <c r="HC71" i="5"/>
  <c r="HC37" i="5"/>
  <c r="HC10" i="5"/>
  <c r="HC12" i="5"/>
  <c r="HC38" i="5"/>
  <c r="HC62" i="5"/>
  <c r="HC56" i="5"/>
  <c r="HC39" i="5"/>
  <c r="HC68" i="5"/>
  <c r="HC100" i="5"/>
  <c r="HC120" i="5"/>
  <c r="HC26" i="5"/>
  <c r="HC132" i="5"/>
  <c r="HC17" i="5"/>
  <c r="HC121" i="5"/>
  <c r="HC75" i="5"/>
  <c r="HC46" i="5"/>
  <c r="HC72" i="5"/>
  <c r="HC32" i="5"/>
  <c r="HC20" i="5"/>
  <c r="HC101" i="5"/>
  <c r="HC7" i="5"/>
  <c r="HC8" i="5"/>
  <c r="HC85" i="5"/>
  <c r="HC18" i="5"/>
  <c r="HC73" i="5"/>
  <c r="HC122" i="5"/>
  <c r="HC102" i="5"/>
  <c r="C102" i="5" s="1"/>
  <c r="HC40" i="5"/>
  <c r="C40" i="5" s="1"/>
  <c r="HC79" i="5"/>
  <c r="HC13" i="5"/>
  <c r="HC16" i="5"/>
  <c r="HC28" i="5"/>
  <c r="HC41" i="5"/>
  <c r="HC96" i="5"/>
  <c r="HC97" i="5"/>
  <c r="HC111" i="5"/>
  <c r="HC103" i="5"/>
  <c r="HC104" i="5"/>
  <c r="HC105" i="5"/>
  <c r="HC29" i="5"/>
  <c r="HC19" i="5"/>
  <c r="HC65" i="5"/>
  <c r="HC5" i="5"/>
  <c r="HC83" i="5"/>
  <c r="HC42" i="5"/>
  <c r="C42" i="5" s="1"/>
  <c r="HC110" i="5"/>
  <c r="HC9" i="5"/>
  <c r="C9" i="5" s="1"/>
  <c r="HC106" i="5"/>
  <c r="HC43" i="5"/>
  <c r="HC44" i="5"/>
  <c r="HC113" i="5"/>
  <c r="HC114" i="5"/>
  <c r="HC115" i="5"/>
  <c r="HC124" i="5"/>
  <c r="HC125" i="5"/>
  <c r="HC58" i="5"/>
  <c r="HC80" i="5"/>
  <c r="HC59" i="5"/>
  <c r="HC127" i="5"/>
  <c r="HC60" i="5"/>
  <c r="HC63" i="5"/>
  <c r="HC48" i="5"/>
  <c r="HC57" i="5"/>
  <c r="HC126" i="5"/>
  <c r="HC107" i="5"/>
  <c r="HC14" i="5"/>
  <c r="HC30" i="5"/>
  <c r="HC74" i="5"/>
  <c r="HC131" i="5"/>
  <c r="HC77" i="5"/>
  <c r="HC133" i="5"/>
  <c r="HC134" i="5"/>
  <c r="HC135" i="5"/>
  <c r="B66" i="7"/>
  <c r="A66" i="7" s="1"/>
  <c r="B65" i="7"/>
  <c r="A65" i="7" s="1"/>
  <c r="B64" i="7"/>
  <c r="A64" i="7" s="1"/>
  <c r="B63" i="7"/>
  <c r="A63" i="7" s="1"/>
  <c r="B62" i="7"/>
  <c r="A62" i="7" s="1"/>
  <c r="B61" i="7"/>
  <c r="A61" i="7" s="1"/>
  <c r="A60" i="7"/>
  <c r="A25" i="7"/>
  <c r="A24" i="7"/>
  <c r="A23" i="7"/>
  <c r="A22" i="7"/>
  <c r="A21" i="7"/>
  <c r="A20" i="7"/>
  <c r="A19" i="7"/>
  <c r="A17" i="7"/>
  <c r="A18" i="7"/>
  <c r="B59" i="7"/>
  <c r="A59" i="7" s="1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EZ140" i="5"/>
  <c r="EY140" i="5"/>
  <c r="EX140" i="5"/>
  <c r="EW140" i="5"/>
  <c r="EV140" i="5"/>
  <c r="EU140" i="5"/>
  <c r="ET140" i="5"/>
  <c r="ES140" i="5"/>
  <c r="ER140" i="5"/>
  <c r="EQ140" i="5"/>
  <c r="EO140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L140" i="5"/>
  <c r="DK140" i="5"/>
  <c r="DJ140" i="5"/>
  <c r="DI140" i="5"/>
  <c r="DH140" i="5"/>
  <c r="DG140" i="5"/>
  <c r="DF140" i="5"/>
  <c r="DE140" i="5"/>
  <c r="DD140" i="5"/>
  <c r="DB140" i="5"/>
  <c r="DA140" i="5"/>
  <c r="CZ140" i="5"/>
  <c r="CY140" i="5"/>
  <c r="CX140" i="5"/>
  <c r="CW140" i="5"/>
  <c r="CV140" i="5"/>
  <c r="CU140" i="5"/>
  <c r="CT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AZ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G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HD139" i="5"/>
  <c r="HB139" i="5"/>
  <c r="HA139" i="5"/>
  <c r="GZ139" i="5"/>
  <c r="GY139" i="5"/>
  <c r="GX139" i="5"/>
  <c r="GW139" i="5"/>
  <c r="GV139" i="5"/>
  <c r="GU139" i="5"/>
  <c r="GT139" i="5"/>
  <c r="GS139" i="5"/>
  <c r="GR139" i="5"/>
  <c r="GQ139" i="5"/>
  <c r="GP139" i="5"/>
  <c r="GO139" i="5"/>
  <c r="GN139" i="5"/>
  <c r="GM139" i="5"/>
  <c r="GL139" i="5"/>
  <c r="GK139" i="5"/>
  <c r="GJ139" i="5"/>
  <c r="GI139" i="5"/>
  <c r="GH139" i="5"/>
  <c r="GG139" i="5"/>
  <c r="GF139" i="5"/>
  <c r="GE139" i="5"/>
  <c r="GD139" i="5"/>
  <c r="GC139" i="5"/>
  <c r="GB139" i="5"/>
  <c r="GA139" i="5"/>
  <c r="FZ139" i="5"/>
  <c r="FY139" i="5"/>
  <c r="FX139" i="5"/>
  <c r="FW139" i="5"/>
  <c r="FV139" i="5"/>
  <c r="FU139" i="5"/>
  <c r="FT139" i="5"/>
  <c r="FS139" i="5"/>
  <c r="FR139" i="5"/>
  <c r="FQ139" i="5"/>
  <c r="FP139" i="5"/>
  <c r="EP139" i="5"/>
  <c r="DM139" i="5"/>
  <c r="DC139" i="5"/>
  <c r="CS139" i="5"/>
  <c r="AY139" i="5"/>
  <c r="AF139" i="5"/>
  <c r="P139" i="5"/>
  <c r="O139" i="5"/>
  <c r="HD138" i="5"/>
  <c r="HB138" i="5"/>
  <c r="HA138" i="5"/>
  <c r="GZ138" i="5"/>
  <c r="GY138" i="5"/>
  <c r="GX138" i="5"/>
  <c r="GW138" i="5"/>
  <c r="GV138" i="5"/>
  <c r="GU138" i="5"/>
  <c r="GT138" i="5"/>
  <c r="GS138" i="5"/>
  <c r="GR138" i="5"/>
  <c r="GQ138" i="5"/>
  <c r="GP138" i="5"/>
  <c r="GO138" i="5"/>
  <c r="GN138" i="5"/>
  <c r="GM138" i="5"/>
  <c r="GL138" i="5"/>
  <c r="GK138" i="5"/>
  <c r="GJ138" i="5"/>
  <c r="GI138" i="5"/>
  <c r="GH138" i="5"/>
  <c r="GG138" i="5"/>
  <c r="GF138" i="5"/>
  <c r="GE138" i="5"/>
  <c r="GD138" i="5"/>
  <c r="GC138" i="5"/>
  <c r="GB138" i="5"/>
  <c r="GA138" i="5"/>
  <c r="FZ138" i="5"/>
  <c r="FY138" i="5"/>
  <c r="FX138" i="5"/>
  <c r="FW138" i="5"/>
  <c r="FV138" i="5"/>
  <c r="FU138" i="5"/>
  <c r="FT138" i="5"/>
  <c r="FS138" i="5"/>
  <c r="FR138" i="5"/>
  <c r="FQ138" i="5"/>
  <c r="FP138" i="5"/>
  <c r="EP138" i="5"/>
  <c r="DM138" i="5"/>
  <c r="DC138" i="5"/>
  <c r="CS138" i="5"/>
  <c r="AY138" i="5"/>
  <c r="AF138" i="5"/>
  <c r="P138" i="5"/>
  <c r="O138" i="5"/>
  <c r="HD137" i="5"/>
  <c r="HB137" i="5"/>
  <c r="HA137" i="5"/>
  <c r="GZ137" i="5"/>
  <c r="GY137" i="5"/>
  <c r="GX137" i="5"/>
  <c r="GW137" i="5"/>
  <c r="GW140" i="5" s="1"/>
  <c r="GV137" i="5"/>
  <c r="GV140" i="5" s="1"/>
  <c r="GU137" i="5"/>
  <c r="GU140" i="5" s="1"/>
  <c r="GT137" i="5"/>
  <c r="GT140" i="5" s="1"/>
  <c r="GS137" i="5"/>
  <c r="GS140" i="5" s="1"/>
  <c r="GR137" i="5"/>
  <c r="GR140" i="5" s="1"/>
  <c r="GQ137" i="5"/>
  <c r="GQ140" i="5" s="1"/>
  <c r="GP137" i="5"/>
  <c r="GO137" i="5"/>
  <c r="GO140" i="5" s="1"/>
  <c r="GN137" i="5"/>
  <c r="GN140" i="5" s="1"/>
  <c r="GM137" i="5"/>
  <c r="GM140" i="5" s="1"/>
  <c r="GL137" i="5"/>
  <c r="GL140" i="5" s="1"/>
  <c r="GK137" i="5"/>
  <c r="GK140" i="5" s="1"/>
  <c r="GJ137" i="5"/>
  <c r="GJ140" i="5" s="1"/>
  <c r="GI137" i="5"/>
  <c r="GI140" i="5" s="1"/>
  <c r="GH137" i="5"/>
  <c r="GH140" i="5" s="1"/>
  <c r="GG137" i="5"/>
  <c r="GG140" i="5" s="1"/>
  <c r="GF137" i="5"/>
  <c r="GF140" i="5" s="1"/>
  <c r="GE137" i="5"/>
  <c r="GE140" i="5" s="1"/>
  <c r="GD137" i="5"/>
  <c r="GD140" i="5" s="1"/>
  <c r="GC137" i="5"/>
  <c r="GC140" i="5" s="1"/>
  <c r="GB137" i="5"/>
  <c r="GB140" i="5" s="1"/>
  <c r="GA137" i="5"/>
  <c r="FZ137" i="5"/>
  <c r="FZ140" i="5" s="1"/>
  <c r="FY137" i="5"/>
  <c r="FY140" i="5" s="1"/>
  <c r="FX137" i="5"/>
  <c r="FX140" i="5" s="1"/>
  <c r="FW137" i="5"/>
  <c r="FW140" i="5" s="1"/>
  <c r="FV137" i="5"/>
  <c r="FU137" i="5"/>
  <c r="FU140" i="5" s="1"/>
  <c r="FT137" i="5"/>
  <c r="FT140" i="5" s="1"/>
  <c r="FS137" i="5"/>
  <c r="FS140" i="5" s="1"/>
  <c r="FR137" i="5"/>
  <c r="FR140" i="5" s="1"/>
  <c r="FQ137" i="5"/>
  <c r="FQ140" i="5" s="1"/>
  <c r="FP137" i="5"/>
  <c r="FP140" i="5" s="1"/>
  <c r="EP137" i="5"/>
  <c r="EP140" i="5" s="1"/>
  <c r="DM137" i="5"/>
  <c r="DM140" i="5" s="1"/>
  <c r="DC137" i="5"/>
  <c r="DC140" i="5" s="1"/>
  <c r="CS137" i="5"/>
  <c r="CS140" i="5" s="1"/>
  <c r="AY137" i="5"/>
  <c r="AY140" i="5" s="1"/>
  <c r="AF137" i="5"/>
  <c r="P137" i="5"/>
  <c r="O137" i="5"/>
  <c r="HH136" i="5"/>
  <c r="HG136" i="5"/>
  <c r="HF136" i="5"/>
  <c r="HE136" i="5"/>
  <c r="HD136" i="5"/>
  <c r="HB136" i="5"/>
  <c r="HA136" i="5"/>
  <c r="FP136" i="5"/>
  <c r="EP136" i="5"/>
  <c r="DM136" i="5"/>
  <c r="DC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B29" i="5"/>
  <c r="B132" i="5"/>
  <c r="B28" i="5"/>
  <c r="B17" i="5"/>
  <c r="B130" i="5"/>
  <c r="B63" i="5"/>
  <c r="B27" i="5"/>
  <c r="B129" i="5"/>
  <c r="B62" i="5"/>
  <c r="B128" i="5"/>
  <c r="C61" i="5"/>
  <c r="B61" i="5"/>
  <c r="B10" i="5"/>
  <c r="B80" i="5"/>
  <c r="B127" i="5"/>
  <c r="B60" i="5"/>
  <c r="B79" i="5"/>
  <c r="B125" i="5"/>
  <c r="B58" i="5"/>
  <c r="B59" i="5"/>
  <c r="B26" i="5"/>
  <c r="B123" i="5"/>
  <c r="B57" i="5"/>
  <c r="B52" i="5"/>
  <c r="B120" i="5"/>
  <c r="B121" i="5"/>
  <c r="B55" i="5"/>
  <c r="B118" i="5"/>
  <c r="B9" i="5"/>
  <c r="B24" i="5"/>
  <c r="B54" i="5"/>
  <c r="B53" i="5"/>
  <c r="B22" i="5"/>
  <c r="B50" i="5"/>
  <c r="B35" i="5"/>
  <c r="B6" i="5"/>
  <c r="B122" i="5"/>
  <c r="B16" i="5"/>
  <c r="B7" i="5"/>
  <c r="B90" i="5"/>
  <c r="B119" i="5"/>
  <c r="B56" i="5"/>
  <c r="B25" i="5"/>
  <c r="B23" i="5"/>
  <c r="B8" i="5"/>
  <c r="B124" i="5"/>
  <c r="B77" i="5"/>
  <c r="B48" i="5"/>
  <c r="B116" i="5"/>
  <c r="B47" i="5"/>
  <c r="B112" i="5"/>
  <c r="B46" i="5"/>
  <c r="B111" i="5"/>
  <c r="B81" i="5"/>
  <c r="B84" i="5"/>
  <c r="B110" i="5"/>
  <c r="B45" i="5"/>
  <c r="B109" i="5"/>
  <c r="B76" i="5"/>
  <c r="B21" i="5"/>
  <c r="B78" i="5"/>
  <c r="B72" i="5"/>
  <c r="B75" i="5"/>
  <c r="B108" i="5"/>
  <c r="B20" i="5"/>
  <c r="B117" i="5"/>
  <c r="B15" i="5"/>
  <c r="B99" i="5"/>
  <c r="B93" i="5"/>
  <c r="B101" i="5"/>
  <c r="B135" i="5"/>
  <c r="B106" i="5"/>
  <c r="B42" i="5"/>
  <c r="B74" i="5"/>
  <c r="B14" i="5"/>
  <c r="B41" i="5"/>
  <c r="B37" i="5"/>
  <c r="B71" i="5"/>
  <c r="B70" i="5"/>
  <c r="B44" i="5"/>
  <c r="B107" i="5"/>
  <c r="B98" i="5"/>
  <c r="B38" i="5"/>
  <c r="B39" i="5"/>
  <c r="B34" i="5"/>
  <c r="B104" i="5"/>
  <c r="B5" i="5"/>
  <c r="B11" i="5"/>
  <c r="B85" i="5"/>
  <c r="B134" i="5"/>
  <c r="B103" i="5"/>
  <c r="B131" i="5"/>
  <c r="B115" i="5"/>
  <c r="B114" i="5"/>
  <c r="B126" i="5"/>
  <c r="B96" i="5"/>
  <c r="B19" i="5"/>
  <c r="B133" i="5"/>
  <c r="B113" i="5"/>
  <c r="B3" i="5"/>
  <c r="B4" i="5"/>
  <c r="B49" i="5"/>
  <c r="B51" i="5"/>
  <c r="B92" i="5"/>
  <c r="B33" i="5"/>
  <c r="B36" i="5"/>
  <c r="B100" i="5"/>
  <c r="B12" i="5"/>
  <c r="B97" i="5"/>
  <c r="B94" i="5"/>
  <c r="B102" i="5"/>
  <c r="B95" i="5"/>
  <c r="B73" i="5"/>
  <c r="B40" i="5"/>
  <c r="B105" i="5"/>
  <c r="B43" i="5"/>
  <c r="B89" i="5"/>
  <c r="B13" i="5"/>
  <c r="B64" i="5"/>
  <c r="B69" i="5"/>
  <c r="B91" i="5"/>
  <c r="B32" i="5"/>
  <c r="B88" i="5"/>
  <c r="B31" i="5"/>
  <c r="B18" i="5"/>
  <c r="B68" i="5"/>
  <c r="B67" i="5"/>
  <c r="B30" i="5"/>
  <c r="B66" i="5"/>
  <c r="B87" i="5"/>
  <c r="B86" i="5"/>
  <c r="B83" i="5"/>
  <c r="B82" i="5"/>
  <c r="B65" i="5"/>
  <c r="HB161" i="3"/>
  <c r="HB162" i="3"/>
  <c r="HB163" i="3"/>
  <c r="GZ162" i="3"/>
  <c r="GZ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GU161" i="3"/>
  <c r="GV161" i="3"/>
  <c r="GW161" i="3"/>
  <c r="GX161" i="3"/>
  <c r="GY161" i="3"/>
  <c r="HA161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GU162" i="3"/>
  <c r="GV162" i="3"/>
  <c r="GW162" i="3"/>
  <c r="GX162" i="3"/>
  <c r="GY162" i="3"/>
  <c r="HA162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GU163" i="3"/>
  <c r="GV163" i="3"/>
  <c r="GW163" i="3"/>
  <c r="GX163" i="3"/>
  <c r="GY163" i="3"/>
  <c r="GZ163" i="3"/>
  <c r="HA163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45" i="3"/>
  <c r="C20" i="3"/>
  <c r="C92" i="3"/>
  <c r="C76" i="3"/>
  <c r="C53" i="3"/>
  <c r="C24" i="3"/>
  <c r="C61" i="3"/>
  <c r="C25" i="3"/>
  <c r="C139" i="3"/>
  <c r="C26" i="3"/>
  <c r="C143" i="3"/>
  <c r="C36" i="3"/>
  <c r="C22" i="3"/>
  <c r="C21" i="3"/>
  <c r="C29" i="3"/>
  <c r="C30" i="3"/>
  <c r="C27" i="3"/>
  <c r="C28" i="3"/>
  <c r="C23" i="3"/>
  <c r="C31" i="3"/>
  <c r="C32" i="3"/>
  <c r="C34" i="3"/>
  <c r="C35" i="3"/>
  <c r="C153" i="3"/>
  <c r="C154" i="3"/>
  <c r="C37" i="3"/>
  <c r="C113" i="3"/>
  <c r="C38" i="3"/>
  <c r="C39" i="3"/>
  <c r="C40" i="3"/>
  <c r="C41" i="3"/>
  <c r="C33" i="3"/>
  <c r="C42" i="3"/>
  <c r="C43" i="3"/>
  <c r="C44" i="3"/>
  <c r="C46" i="3"/>
  <c r="C47" i="3"/>
  <c r="C48" i="3"/>
  <c r="C14" i="3"/>
  <c r="C49" i="3"/>
  <c r="C50" i="3"/>
  <c r="C51" i="3"/>
  <c r="C52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3" i="3"/>
  <c r="C72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8" i="3"/>
  <c r="C107" i="3"/>
  <c r="C109" i="3"/>
  <c r="C110" i="3"/>
  <c r="C111" i="3"/>
  <c r="C112" i="3"/>
  <c r="C114" i="3"/>
  <c r="C117" i="3"/>
  <c r="C118" i="3"/>
  <c r="C116" i="3"/>
  <c r="C115" i="3"/>
  <c r="C122" i="3"/>
  <c r="C119" i="3"/>
  <c r="C123" i="3"/>
  <c r="C124" i="3"/>
  <c r="C121" i="3"/>
  <c r="C125" i="3"/>
  <c r="C120" i="3"/>
  <c r="C126" i="3"/>
  <c r="C127" i="3"/>
  <c r="C128" i="3"/>
  <c r="C130" i="3"/>
  <c r="C129" i="3"/>
  <c r="C131" i="3"/>
  <c r="C132" i="3"/>
  <c r="C133" i="3"/>
  <c r="C134" i="3"/>
  <c r="C135" i="3"/>
  <c r="C136" i="3"/>
  <c r="C137" i="3"/>
  <c r="C138" i="3"/>
  <c r="C140" i="3"/>
  <c r="C141" i="3"/>
  <c r="C91" i="3"/>
  <c r="C142" i="3"/>
  <c r="C144" i="3"/>
  <c r="C145" i="3"/>
  <c r="C146" i="3"/>
  <c r="C147" i="3"/>
  <c r="C148" i="3"/>
  <c r="C149" i="3"/>
  <c r="C150" i="3"/>
  <c r="C151" i="3"/>
  <c r="C152" i="3"/>
  <c r="C155" i="3"/>
  <c r="C156" i="3"/>
  <c r="C157" i="3"/>
  <c r="C158" i="3"/>
  <c r="C159" i="3"/>
  <c r="HF160" i="3"/>
  <c r="HE160" i="3"/>
  <c r="HD160" i="3"/>
  <c r="HC160" i="3"/>
  <c r="HB160" i="3"/>
  <c r="HA160" i="3"/>
  <c r="GZ160" i="3"/>
  <c r="FO160" i="3"/>
  <c r="EO160" i="3"/>
  <c r="DL160" i="3"/>
  <c r="DB160" i="3"/>
  <c r="CR160" i="3"/>
  <c r="AX160" i="3"/>
  <c r="AF160" i="3"/>
  <c r="AE160" i="3"/>
  <c r="AD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P160" i="3"/>
  <c r="O160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K164" i="3"/>
  <c r="DJ164" i="3"/>
  <c r="DI164" i="3"/>
  <c r="DH164" i="3"/>
  <c r="DG164" i="3"/>
  <c r="DF164" i="3"/>
  <c r="DE164" i="3"/>
  <c r="DD164" i="3"/>
  <c r="DC164" i="3"/>
  <c r="DA164" i="3"/>
  <c r="CZ164" i="3"/>
  <c r="CY164" i="3"/>
  <c r="CX164" i="3"/>
  <c r="CW164" i="3"/>
  <c r="CV164" i="3"/>
  <c r="CU164" i="3"/>
  <c r="CT164" i="3"/>
  <c r="CS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FO163" i="3"/>
  <c r="EO163" i="3"/>
  <c r="DL163" i="3"/>
  <c r="DB163" i="3"/>
  <c r="CR163" i="3"/>
  <c r="AX163" i="3"/>
  <c r="AF163" i="3"/>
  <c r="P163" i="3"/>
  <c r="O163" i="3"/>
  <c r="FO162" i="3"/>
  <c r="EO162" i="3"/>
  <c r="DL162" i="3"/>
  <c r="DB162" i="3"/>
  <c r="CR162" i="3"/>
  <c r="AX162" i="3"/>
  <c r="AF162" i="3"/>
  <c r="P162" i="3"/>
  <c r="O162" i="3"/>
  <c r="FO161" i="3"/>
  <c r="EO161" i="3"/>
  <c r="DL161" i="3"/>
  <c r="DB161" i="3"/>
  <c r="CR161" i="3"/>
  <c r="AX161" i="3"/>
  <c r="AF161" i="3"/>
  <c r="P161" i="3"/>
  <c r="O161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91" i="3"/>
  <c r="B141" i="3"/>
  <c r="B140" i="3"/>
  <c r="B139" i="3"/>
  <c r="B138" i="3"/>
  <c r="B137" i="3"/>
  <c r="B136" i="3"/>
  <c r="B135" i="3"/>
  <c r="B134" i="3"/>
  <c r="B133" i="3"/>
  <c r="B132" i="3"/>
  <c r="B131" i="3"/>
  <c r="B129" i="3"/>
  <c r="B130" i="3"/>
  <c r="B128" i="3"/>
  <c r="B127" i="3"/>
  <c r="B126" i="3"/>
  <c r="B120" i="3"/>
  <c r="B125" i="3"/>
  <c r="B121" i="3"/>
  <c r="B124" i="3"/>
  <c r="B123" i="3"/>
  <c r="B119" i="3"/>
  <c r="B122" i="3"/>
  <c r="B115" i="3"/>
  <c r="B116" i="3"/>
  <c r="B118" i="3"/>
  <c r="B117" i="3"/>
  <c r="B114" i="3"/>
  <c r="B113" i="3"/>
  <c r="B112" i="3"/>
  <c r="B111" i="3"/>
  <c r="B110" i="3"/>
  <c r="B109" i="3"/>
  <c r="B107" i="3"/>
  <c r="B108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6" i="3"/>
  <c r="B74" i="3"/>
  <c r="B72" i="3"/>
  <c r="B73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14" i="3"/>
  <c r="B48" i="3"/>
  <c r="B47" i="3"/>
  <c r="B46" i="3"/>
  <c r="B45" i="3"/>
  <c r="B44" i="3"/>
  <c r="B43" i="3"/>
  <c r="B42" i="3"/>
  <c r="B33" i="3"/>
  <c r="B41" i="3"/>
  <c r="B40" i="3"/>
  <c r="B39" i="3"/>
  <c r="B38" i="3"/>
  <c r="B37" i="3"/>
  <c r="B36" i="3"/>
  <c r="B35" i="3"/>
  <c r="B34" i="3"/>
  <c r="B32" i="3"/>
  <c r="B31" i="3"/>
  <c r="B30" i="3"/>
  <c r="B29" i="3"/>
  <c r="B21" i="3"/>
  <c r="B23" i="3"/>
  <c r="B28" i="3"/>
  <c r="B27" i="3"/>
  <c r="B26" i="3"/>
  <c r="B25" i="3"/>
  <c r="B24" i="3"/>
  <c r="B22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N266" i="1"/>
  <c r="N264" i="1"/>
  <c r="N267" i="1"/>
  <c r="N265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CZ268" i="1"/>
  <c r="DB268" i="1"/>
  <c r="DC268" i="1"/>
  <c r="DD268" i="1"/>
  <c r="DE268" i="1"/>
  <c r="DF268" i="1"/>
  <c r="DG268" i="1"/>
  <c r="DH268" i="1"/>
  <c r="DI268" i="1"/>
  <c r="DJ268" i="1"/>
  <c r="FN264" i="1"/>
  <c r="EN264" i="1"/>
  <c r="DK264" i="1"/>
  <c r="DA264" i="1"/>
  <c r="CQ264" i="1"/>
  <c r="AW264" i="1"/>
  <c r="AE264" i="1"/>
  <c r="O264" i="1"/>
  <c r="FN265" i="1"/>
  <c r="EN265" i="1"/>
  <c r="DK265" i="1"/>
  <c r="DA265" i="1"/>
  <c r="CQ265" i="1"/>
  <c r="AW265" i="1"/>
  <c r="AE265" i="1"/>
  <c r="O265" i="1"/>
  <c r="FN266" i="1"/>
  <c r="EN266" i="1"/>
  <c r="DK266" i="1"/>
  <c r="DA266" i="1"/>
  <c r="CQ266" i="1"/>
  <c r="AW266" i="1"/>
  <c r="O266" i="1"/>
  <c r="AE266" i="1"/>
  <c r="FN267" i="1"/>
  <c r="EN267" i="1"/>
  <c r="DK267" i="1"/>
  <c r="DA267" i="1"/>
  <c r="CQ267" i="1"/>
  <c r="AW267" i="1"/>
  <c r="AE267" i="1"/>
  <c r="O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F512" i="7" l="1"/>
  <c r="H512" i="7"/>
  <c r="D519" i="7"/>
  <c r="D520" i="7" s="1"/>
  <c r="F516" i="7"/>
  <c r="D524" i="7"/>
  <c r="D526" i="7"/>
  <c r="C531" i="7"/>
  <c r="C532" i="7" s="1"/>
  <c r="D528" i="7"/>
  <c r="D523" i="7"/>
  <c r="D525" i="7"/>
  <c r="D527" i="7"/>
  <c r="D529" i="7"/>
  <c r="D596" i="7"/>
  <c r="D598" i="7"/>
  <c r="D600" i="7"/>
  <c r="C603" i="7"/>
  <c r="C604" i="7" s="1"/>
  <c r="D595" i="7"/>
  <c r="D597" i="7"/>
  <c r="D599" i="7"/>
  <c r="D601" i="7"/>
  <c r="C591" i="7"/>
  <c r="C592" i="7" s="1"/>
  <c r="D584" i="7"/>
  <c r="D586" i="7"/>
  <c r="D588" i="7"/>
  <c r="D583" i="7"/>
  <c r="D585" i="7"/>
  <c r="D587" i="7"/>
  <c r="D589" i="7"/>
  <c r="D572" i="7"/>
  <c r="D574" i="7"/>
  <c r="C579" i="7"/>
  <c r="C580" i="7" s="1"/>
  <c r="D576" i="7"/>
  <c r="D571" i="7"/>
  <c r="D573" i="7"/>
  <c r="D575" i="7"/>
  <c r="D577" i="7"/>
  <c r="C567" i="7"/>
  <c r="C568" i="7" s="1"/>
  <c r="D560" i="7"/>
  <c r="D562" i="7"/>
  <c r="D564" i="7"/>
  <c r="D559" i="7"/>
  <c r="D561" i="7"/>
  <c r="D563" i="7"/>
  <c r="D565" i="7"/>
  <c r="C555" i="7"/>
  <c r="C556" i="7" s="1"/>
  <c r="D548" i="7"/>
  <c r="D550" i="7"/>
  <c r="D552" i="7"/>
  <c r="D547" i="7"/>
  <c r="D549" i="7"/>
  <c r="D551" i="7"/>
  <c r="D553" i="7"/>
  <c r="F492" i="7"/>
  <c r="F503" i="7"/>
  <c r="G491" i="7"/>
  <c r="J491" i="7" s="1"/>
  <c r="F515" i="7"/>
  <c r="J512" i="7"/>
  <c r="E519" i="7"/>
  <c r="E520" i="7" s="1"/>
  <c r="I515" i="7"/>
  <c r="J515" i="7" s="1"/>
  <c r="J517" i="7"/>
  <c r="I516" i="7"/>
  <c r="J516" i="7" s="1"/>
  <c r="J518" i="7"/>
  <c r="J513" i="7"/>
  <c r="H511" i="7"/>
  <c r="F511" i="7"/>
  <c r="G511" i="7"/>
  <c r="J514" i="7"/>
  <c r="C519" i="7"/>
  <c r="F513" i="7"/>
  <c r="F517" i="7"/>
  <c r="F514" i="7"/>
  <c r="F518" i="7"/>
  <c r="E507" i="7"/>
  <c r="E508" i="7" s="1"/>
  <c r="I503" i="7"/>
  <c r="J503" i="7" s="1"/>
  <c r="F499" i="7"/>
  <c r="F504" i="7"/>
  <c r="J506" i="7"/>
  <c r="J502" i="7"/>
  <c r="J505" i="7"/>
  <c r="D507" i="7"/>
  <c r="D508" i="7" s="1"/>
  <c r="F500" i="7"/>
  <c r="G499" i="7"/>
  <c r="J499" i="7" s="1"/>
  <c r="J501" i="7"/>
  <c r="J504" i="7"/>
  <c r="C507" i="7"/>
  <c r="F501" i="7"/>
  <c r="F505" i="7"/>
  <c r="I500" i="7"/>
  <c r="J500" i="7" s="1"/>
  <c r="F502" i="7"/>
  <c r="F506" i="7"/>
  <c r="F488" i="7"/>
  <c r="E495" i="7"/>
  <c r="E496" i="7" s="1"/>
  <c r="F487" i="7"/>
  <c r="J493" i="7"/>
  <c r="H487" i="7"/>
  <c r="J489" i="7"/>
  <c r="I487" i="7"/>
  <c r="D495" i="7"/>
  <c r="D496" i="7" s="1"/>
  <c r="J490" i="7"/>
  <c r="J494" i="7"/>
  <c r="J492" i="7"/>
  <c r="C495" i="7"/>
  <c r="F489" i="7"/>
  <c r="F493" i="7"/>
  <c r="I488" i="7"/>
  <c r="J488" i="7" s="1"/>
  <c r="F490" i="7"/>
  <c r="F494" i="7"/>
  <c r="D464" i="7"/>
  <c r="D466" i="7"/>
  <c r="C471" i="7"/>
  <c r="C472" i="7" s="1"/>
  <c r="D468" i="7"/>
  <c r="D463" i="7"/>
  <c r="D465" i="7"/>
  <c r="D467" i="7"/>
  <c r="D469" i="7"/>
  <c r="D452" i="7"/>
  <c r="D454" i="7"/>
  <c r="D456" i="7"/>
  <c r="C459" i="7"/>
  <c r="C460" i="7" s="1"/>
  <c r="D451" i="7"/>
  <c r="D453" i="7"/>
  <c r="D455" i="7"/>
  <c r="D457" i="7"/>
  <c r="D440" i="7"/>
  <c r="D442" i="7"/>
  <c r="D444" i="7"/>
  <c r="C447" i="7"/>
  <c r="C448" i="7" s="1"/>
  <c r="D439" i="7"/>
  <c r="D441" i="7"/>
  <c r="D443" i="7"/>
  <c r="D445" i="7"/>
  <c r="C435" i="7"/>
  <c r="C436" i="7" s="1"/>
  <c r="D428" i="7"/>
  <c r="D430" i="7"/>
  <c r="D432" i="7"/>
  <c r="D427" i="7"/>
  <c r="D429" i="7"/>
  <c r="D431" i="7"/>
  <c r="D433" i="7"/>
  <c r="D416" i="7"/>
  <c r="D418" i="7"/>
  <c r="D420" i="7"/>
  <c r="C423" i="7"/>
  <c r="C424" i="7" s="1"/>
  <c r="D415" i="7"/>
  <c r="D417" i="7"/>
  <c r="D419" i="7"/>
  <c r="D421" i="7"/>
  <c r="D404" i="7"/>
  <c r="C411" i="7"/>
  <c r="C412" i="7" s="1"/>
  <c r="D403" i="7"/>
  <c r="D405" i="7"/>
  <c r="D407" i="7"/>
  <c r="D409" i="7"/>
  <c r="D380" i="7"/>
  <c r="C387" i="7"/>
  <c r="C388" i="7" s="1"/>
  <c r="D379" i="7"/>
  <c r="D381" i="7"/>
  <c r="D383" i="7"/>
  <c r="D385" i="7"/>
  <c r="D368" i="7"/>
  <c r="D370" i="7"/>
  <c r="D372" i="7"/>
  <c r="C375" i="7"/>
  <c r="C376" i="7" s="1"/>
  <c r="D367" i="7"/>
  <c r="D369" i="7"/>
  <c r="D371" i="7"/>
  <c r="D373" i="7"/>
  <c r="D356" i="7"/>
  <c r="C363" i="7"/>
  <c r="C364" i="7" s="1"/>
  <c r="D355" i="7"/>
  <c r="D357" i="7"/>
  <c r="D359" i="7"/>
  <c r="D361" i="7"/>
  <c r="C351" i="7"/>
  <c r="C352" i="7" s="1"/>
  <c r="D344" i="7"/>
  <c r="D346" i="7"/>
  <c r="D348" i="7"/>
  <c r="D343" i="7"/>
  <c r="D345" i="7"/>
  <c r="D347" i="7"/>
  <c r="D349" i="7"/>
  <c r="D332" i="7"/>
  <c r="D334" i="7"/>
  <c r="D336" i="7"/>
  <c r="C339" i="7"/>
  <c r="C340" i="7" s="1"/>
  <c r="D331" i="7"/>
  <c r="D333" i="7"/>
  <c r="D335" i="7"/>
  <c r="D337" i="7"/>
  <c r="D308" i="7"/>
  <c r="D310" i="7"/>
  <c r="D312" i="7"/>
  <c r="C315" i="7"/>
  <c r="C316" i="7" s="1"/>
  <c r="D307" i="7"/>
  <c r="D309" i="7"/>
  <c r="D311" i="7"/>
  <c r="D313" i="7"/>
  <c r="F223" i="7"/>
  <c r="D298" i="7"/>
  <c r="C303" i="7"/>
  <c r="C304" i="7" s="1"/>
  <c r="D296" i="7"/>
  <c r="D300" i="7"/>
  <c r="D295" i="7"/>
  <c r="D297" i="7"/>
  <c r="D299" i="7"/>
  <c r="D301" i="7"/>
  <c r="D284" i="7"/>
  <c r="D286" i="7"/>
  <c r="D288" i="7"/>
  <c r="C291" i="7"/>
  <c r="C292" i="7" s="1"/>
  <c r="D283" i="7"/>
  <c r="D285" i="7"/>
  <c r="D287" i="7"/>
  <c r="D289" i="7"/>
  <c r="C279" i="7"/>
  <c r="C280" i="7" s="1"/>
  <c r="D271" i="7"/>
  <c r="D273" i="7"/>
  <c r="D275" i="7"/>
  <c r="D277" i="7"/>
  <c r="J212" i="7"/>
  <c r="F209" i="7"/>
  <c r="C267" i="7"/>
  <c r="C268" i="7" s="1"/>
  <c r="D260" i="7"/>
  <c r="D262" i="7"/>
  <c r="D264" i="7"/>
  <c r="D259" i="7"/>
  <c r="D261" i="7"/>
  <c r="D263" i="7"/>
  <c r="D265" i="7"/>
  <c r="C6" i="5"/>
  <c r="C134" i="5"/>
  <c r="C126" i="5"/>
  <c r="C58" i="5"/>
  <c r="C18" i="5"/>
  <c r="C92" i="5"/>
  <c r="HA140" i="5"/>
  <c r="C75" i="5"/>
  <c r="C13" i="5"/>
  <c r="C127" i="5"/>
  <c r="C21" i="5"/>
  <c r="C32" i="5"/>
  <c r="C43" i="5"/>
  <c r="C100" i="5"/>
  <c r="C47" i="5"/>
  <c r="C94" i="5"/>
  <c r="C36" i="5"/>
  <c r="C50" i="5"/>
  <c r="J213" i="7"/>
  <c r="G223" i="7"/>
  <c r="J223" i="7" s="1"/>
  <c r="C91" i="5"/>
  <c r="C31" i="5"/>
  <c r="C96" i="5"/>
  <c r="J215" i="7"/>
  <c r="C71" i="5"/>
  <c r="C105" i="5"/>
  <c r="F233" i="7"/>
  <c r="J210" i="7"/>
  <c r="F221" i="7"/>
  <c r="F234" i="7"/>
  <c r="E240" i="7"/>
  <c r="E241" i="7" s="1"/>
  <c r="J236" i="7"/>
  <c r="J234" i="7"/>
  <c r="J237" i="7"/>
  <c r="J233" i="7"/>
  <c r="J235" i="7"/>
  <c r="J232" i="7"/>
  <c r="D240" i="7"/>
  <c r="D241" i="7" s="1"/>
  <c r="F237" i="7"/>
  <c r="J238" i="7"/>
  <c r="J239" i="7"/>
  <c r="C240" i="7"/>
  <c r="F238" i="7"/>
  <c r="F235" i="7"/>
  <c r="F239" i="7"/>
  <c r="F232" i="7"/>
  <c r="F236" i="7"/>
  <c r="J211" i="7"/>
  <c r="J208" i="7"/>
  <c r="J214" i="7"/>
  <c r="F225" i="7"/>
  <c r="G209" i="7"/>
  <c r="J209" i="7" s="1"/>
  <c r="F213" i="7"/>
  <c r="E228" i="7"/>
  <c r="E229" i="7" s="1"/>
  <c r="J224" i="7"/>
  <c r="J227" i="7"/>
  <c r="J226" i="7"/>
  <c r="J220" i="7"/>
  <c r="D228" i="7"/>
  <c r="D229" i="7" s="1"/>
  <c r="J221" i="7"/>
  <c r="J222" i="7"/>
  <c r="J225" i="7"/>
  <c r="C228" i="7"/>
  <c r="F222" i="7"/>
  <c r="F226" i="7"/>
  <c r="F227" i="7"/>
  <c r="F220" i="7"/>
  <c r="F224" i="7"/>
  <c r="F215" i="7"/>
  <c r="F210" i="7"/>
  <c r="F212" i="7"/>
  <c r="F214" i="7"/>
  <c r="F211" i="7"/>
  <c r="D216" i="7"/>
  <c r="C77" i="5"/>
  <c r="C82" i="5"/>
  <c r="D197" i="7"/>
  <c r="C204" i="7"/>
  <c r="C205" i="7" s="1"/>
  <c r="D199" i="7"/>
  <c r="D201" i="7"/>
  <c r="D196" i="7"/>
  <c r="D198" i="7"/>
  <c r="D200" i="7"/>
  <c r="D202" i="7"/>
  <c r="D185" i="7"/>
  <c r="D187" i="7"/>
  <c r="D189" i="7"/>
  <c r="C192" i="7"/>
  <c r="C193" i="7" s="1"/>
  <c r="D158" i="7"/>
  <c r="D159" i="7"/>
  <c r="D161" i="7"/>
  <c r="D163" i="7"/>
  <c r="C166" i="7"/>
  <c r="C167" i="7" s="1"/>
  <c r="D147" i="7"/>
  <c r="D149" i="7"/>
  <c r="D151" i="7"/>
  <c r="C154" i="7"/>
  <c r="C155" i="7" s="1"/>
  <c r="C142" i="7"/>
  <c r="C143" i="7" s="1"/>
  <c r="D134" i="7"/>
  <c r="D393" i="7"/>
  <c r="C180" i="7"/>
  <c r="C181" i="7" s="1"/>
  <c r="D536" i="7"/>
  <c r="D538" i="7"/>
  <c r="D540" i="7"/>
  <c r="C543" i="7"/>
  <c r="C544" i="7" s="1"/>
  <c r="D481" i="7"/>
  <c r="D475" i="7"/>
  <c r="D476" i="7"/>
  <c r="D478" i="7"/>
  <c r="D480" i="7"/>
  <c r="C483" i="7"/>
  <c r="C484" i="7" s="1"/>
  <c r="D391" i="7"/>
  <c r="D392" i="7"/>
  <c r="D394" i="7"/>
  <c r="D396" i="7"/>
  <c r="C399" i="7"/>
  <c r="C400" i="7" s="1"/>
  <c r="D319" i="7"/>
  <c r="D320" i="7"/>
  <c r="D322" i="7"/>
  <c r="D324" i="7"/>
  <c r="C327" i="7"/>
  <c r="C328" i="7" s="1"/>
  <c r="D247" i="7"/>
  <c r="D255" i="7" s="1"/>
  <c r="D248" i="7"/>
  <c r="D250" i="7"/>
  <c r="D252" i="7"/>
  <c r="C255" i="7"/>
  <c r="C256" i="7" s="1"/>
  <c r="C216" i="7"/>
  <c r="C217" i="7" s="1"/>
  <c r="H216" i="7" s="1"/>
  <c r="D173" i="7"/>
  <c r="D175" i="7"/>
  <c r="D177" i="7"/>
  <c r="C124" i="5"/>
  <c r="C117" i="5"/>
  <c r="C88" i="5"/>
  <c r="C103" i="5"/>
  <c r="C74" i="5"/>
  <c r="C30" i="5"/>
  <c r="C99" i="5"/>
  <c r="C66" i="5"/>
  <c r="C8" i="5"/>
  <c r="C20" i="5"/>
  <c r="C24" i="5"/>
  <c r="C78" i="5"/>
  <c r="C59" i="5"/>
  <c r="C120" i="5"/>
  <c r="C53" i="5"/>
  <c r="C135" i="5"/>
  <c r="C41" i="5"/>
  <c r="C106" i="5"/>
  <c r="C46" i="5"/>
  <c r="C34" i="5"/>
  <c r="C93" i="5"/>
  <c r="C125" i="5"/>
  <c r="C16" i="5"/>
  <c r="C85" i="5"/>
  <c r="C39" i="5"/>
  <c r="C128" i="5"/>
  <c r="GN164" i="3"/>
  <c r="GF164" i="3"/>
  <c r="FX164" i="3"/>
  <c r="FP164" i="3"/>
  <c r="HB164" i="3"/>
  <c r="A52" i="7"/>
  <c r="C46" i="7" s="1"/>
  <c r="C28" i="5"/>
  <c r="C81" i="5"/>
  <c r="C64" i="5"/>
  <c r="C7" i="5"/>
  <c r="C60" i="5"/>
  <c r="C70" i="5"/>
  <c r="GP140" i="5"/>
  <c r="C19" i="5"/>
  <c r="C37" i="5"/>
  <c r="C68" i="5"/>
  <c r="C110" i="5"/>
  <c r="C118" i="5"/>
  <c r="A35" i="7"/>
  <c r="A120" i="7"/>
  <c r="C112" i="5"/>
  <c r="A40" i="7"/>
  <c r="FV140" i="5"/>
  <c r="A39" i="7"/>
  <c r="C56" i="5"/>
  <c r="C11" i="5"/>
  <c r="A38" i="7"/>
  <c r="A37" i="7"/>
  <c r="C38" i="5"/>
  <c r="C54" i="5"/>
  <c r="C33" i="5"/>
  <c r="A31" i="7"/>
  <c r="C29" i="7" s="1"/>
  <c r="A36" i="7"/>
  <c r="A41" i="7"/>
  <c r="C84" i="5"/>
  <c r="C129" i="5"/>
  <c r="C123" i="5"/>
  <c r="C48" i="5"/>
  <c r="C101" i="5"/>
  <c r="C3" i="5"/>
  <c r="C87" i="5"/>
  <c r="GG164" i="3"/>
  <c r="DK268" i="1"/>
  <c r="C27" i="5"/>
  <c r="C121" i="5"/>
  <c r="C119" i="5"/>
  <c r="C51" i="5"/>
  <c r="C35" i="5"/>
  <c r="C98" i="5"/>
  <c r="C131" i="5"/>
  <c r="C115" i="5"/>
  <c r="C79" i="5"/>
  <c r="C52" i="5"/>
  <c r="C114" i="5"/>
  <c r="C76" i="5"/>
  <c r="C45" i="5"/>
  <c r="C113" i="5"/>
  <c r="C97" i="5"/>
  <c r="C26" i="5"/>
  <c r="C55" i="5"/>
  <c r="C23" i="5"/>
  <c r="C116" i="5"/>
  <c r="C69" i="5"/>
  <c r="C14" i="5"/>
  <c r="C65" i="5"/>
  <c r="C90" i="5"/>
  <c r="C107" i="5"/>
  <c r="C73" i="5"/>
  <c r="C67" i="5"/>
  <c r="C62" i="5"/>
  <c r="C57" i="5"/>
  <c r="C109" i="5"/>
  <c r="C104" i="5"/>
  <c r="A121" i="7"/>
  <c r="C132" i="5"/>
  <c r="A122" i="7"/>
  <c r="C44" i="5"/>
  <c r="C122" i="5"/>
  <c r="C10" i="5"/>
  <c r="C4" i="5"/>
  <c r="C22" i="5"/>
  <c r="C95" i="5"/>
  <c r="A117" i="7"/>
  <c r="C72" i="5"/>
  <c r="C15" i="5"/>
  <c r="C89" i="5"/>
  <c r="C63" i="5"/>
  <c r="C29" i="5"/>
  <c r="C17" i="5"/>
  <c r="C133" i="5"/>
  <c r="C25" i="5"/>
  <c r="C83" i="5"/>
  <c r="C111" i="5"/>
  <c r="C5" i="5"/>
  <c r="C12" i="5"/>
  <c r="C108" i="5"/>
  <c r="C49" i="5"/>
  <c r="C80" i="5"/>
  <c r="C130" i="5"/>
  <c r="A77" i="7"/>
  <c r="A82" i="7"/>
  <c r="A81" i="7"/>
  <c r="A80" i="7"/>
  <c r="A79" i="7"/>
  <c r="A78" i="7"/>
  <c r="GY140" i="5"/>
  <c r="HB140" i="5"/>
  <c r="HD140" i="5"/>
  <c r="GA140" i="5"/>
  <c r="C18" i="7"/>
  <c r="P140" i="5"/>
  <c r="C59" i="7"/>
  <c r="C17" i="7"/>
  <c r="C66" i="7"/>
  <c r="C65" i="7"/>
  <c r="C64" i="7"/>
  <c r="C63" i="7"/>
  <c r="C62" i="7"/>
  <c r="C61" i="7"/>
  <c r="C60" i="7"/>
  <c r="C19" i="7"/>
  <c r="C20" i="7"/>
  <c r="C21" i="7"/>
  <c r="C22" i="7"/>
  <c r="C23" i="7"/>
  <c r="C24" i="7"/>
  <c r="A67" i="7"/>
  <c r="GZ140" i="5"/>
  <c r="O140" i="5"/>
  <c r="AF140" i="5"/>
  <c r="GX140" i="5"/>
  <c r="GO164" i="3"/>
  <c r="FY164" i="3"/>
  <c r="FQ164" i="3"/>
  <c r="GS164" i="3"/>
  <c r="GK164" i="3"/>
  <c r="GC164" i="3"/>
  <c r="FU164" i="3"/>
  <c r="GP164" i="3"/>
  <c r="GH164" i="3"/>
  <c r="FZ164" i="3"/>
  <c r="FR164" i="3"/>
  <c r="GT164" i="3"/>
  <c r="GL164" i="3"/>
  <c r="GD164" i="3"/>
  <c r="FV164" i="3"/>
  <c r="GQ164" i="3"/>
  <c r="GI164" i="3"/>
  <c r="GA164" i="3"/>
  <c r="FS164" i="3"/>
  <c r="GV164" i="3"/>
  <c r="HA164" i="3"/>
  <c r="GX164" i="3"/>
  <c r="GR164" i="3"/>
  <c r="FT164" i="3"/>
  <c r="GY164" i="3"/>
  <c r="GU164" i="3"/>
  <c r="GM164" i="3"/>
  <c r="GE164" i="3"/>
  <c r="FW164" i="3"/>
  <c r="GJ164" i="3"/>
  <c r="GB164" i="3"/>
  <c r="GW164" i="3"/>
  <c r="GZ164" i="3"/>
  <c r="CR164" i="3"/>
  <c r="AX164" i="3"/>
  <c r="P164" i="3"/>
  <c r="O164" i="3"/>
  <c r="FO164" i="3"/>
  <c r="EO164" i="3"/>
  <c r="DL164" i="3"/>
  <c r="AF164" i="3"/>
  <c r="DB164" i="3"/>
  <c r="AE268" i="1"/>
  <c r="AW268" i="1"/>
  <c r="CQ268" i="1"/>
  <c r="DA268" i="1"/>
  <c r="EN268" i="1"/>
  <c r="FN268" i="1"/>
  <c r="O268" i="1"/>
  <c r="N268" i="1"/>
  <c r="D543" i="7" l="1"/>
  <c r="D154" i="7"/>
  <c r="D166" i="7"/>
  <c r="D204" i="7"/>
  <c r="D411" i="7"/>
  <c r="D180" i="7"/>
  <c r="D192" i="7"/>
  <c r="D291" i="7"/>
  <c r="D303" i="7"/>
  <c r="D327" i="7"/>
  <c r="D267" i="7"/>
  <c r="D315" i="7"/>
  <c r="D339" i="7"/>
  <c r="D351" i="7"/>
  <c r="D363" i="7"/>
  <c r="J487" i="7"/>
  <c r="D483" i="7"/>
  <c r="D142" i="7"/>
  <c r="D279" i="7"/>
  <c r="D423" i="7"/>
  <c r="D435" i="7"/>
  <c r="D447" i="7"/>
  <c r="D459" i="7"/>
  <c r="D471" i="7"/>
  <c r="D555" i="7"/>
  <c r="D567" i="7"/>
  <c r="D568" i="7" s="1"/>
  <c r="D579" i="7"/>
  <c r="D591" i="7"/>
  <c r="D592" i="7" s="1"/>
  <c r="D603" i="7"/>
  <c r="D399" i="7"/>
  <c r="D375" i="7"/>
  <c r="D387" i="7"/>
  <c r="D531" i="7"/>
  <c r="J511" i="7"/>
  <c r="F519" i="7"/>
  <c r="C520" i="7"/>
  <c r="F507" i="7"/>
  <c r="C508" i="7"/>
  <c r="F495" i="7"/>
  <c r="C496" i="7"/>
  <c r="F240" i="7"/>
  <c r="C241" i="7"/>
  <c r="I216" i="7"/>
  <c r="G216" i="7"/>
  <c r="F228" i="7"/>
  <c r="C229" i="7"/>
  <c r="E216" i="7"/>
  <c r="E217" i="7" s="1"/>
  <c r="D217" i="7"/>
  <c r="F208" i="7"/>
  <c r="C47" i="7"/>
  <c r="C48" i="7"/>
  <c r="C49" i="7"/>
  <c r="C50" i="7"/>
  <c r="C51" i="7"/>
  <c r="A42" i="7"/>
  <c r="C41" i="7" s="1"/>
  <c r="C30" i="7"/>
  <c r="A123" i="7"/>
  <c r="C120" i="7" s="1"/>
  <c r="A84" i="7"/>
  <c r="C25" i="7"/>
  <c r="D532" i="7" l="1"/>
  <c r="E524" i="7"/>
  <c r="F524" i="7" s="1"/>
  <c r="E525" i="7"/>
  <c r="F525" i="7" s="1"/>
  <c r="E526" i="7"/>
  <c r="F526" i="7" s="1"/>
  <c r="E527" i="7"/>
  <c r="F527" i="7" s="1"/>
  <c r="E528" i="7"/>
  <c r="F528" i="7" s="1"/>
  <c r="E529" i="7"/>
  <c r="F529" i="7" s="1"/>
  <c r="E523" i="7"/>
  <c r="F523" i="7" s="1"/>
  <c r="E577" i="7"/>
  <c r="F577" i="7" s="1"/>
  <c r="E575" i="7"/>
  <c r="F575" i="7" s="1"/>
  <c r="E576" i="7"/>
  <c r="F576" i="7" s="1"/>
  <c r="E574" i="7"/>
  <c r="F574" i="7" s="1"/>
  <c r="E573" i="7"/>
  <c r="F573" i="7" s="1"/>
  <c r="E572" i="7"/>
  <c r="F572" i="7" s="1"/>
  <c r="E571" i="7"/>
  <c r="F571" i="7" s="1"/>
  <c r="E564" i="7"/>
  <c r="F564" i="7" s="1"/>
  <c r="E561" i="7"/>
  <c r="F561" i="7" s="1"/>
  <c r="E559" i="7"/>
  <c r="F559" i="7" s="1"/>
  <c r="E562" i="7"/>
  <c r="F562" i="7" s="1"/>
  <c r="E563" i="7"/>
  <c r="F563" i="7" s="1"/>
  <c r="E560" i="7"/>
  <c r="F560" i="7" s="1"/>
  <c r="E565" i="7"/>
  <c r="F565" i="7" s="1"/>
  <c r="E599" i="7"/>
  <c r="F599" i="7" s="1"/>
  <c r="E598" i="7"/>
  <c r="F598" i="7" s="1"/>
  <c r="E601" i="7"/>
  <c r="F601" i="7" s="1"/>
  <c r="E600" i="7"/>
  <c r="F600" i="7" s="1"/>
  <c r="E597" i="7"/>
  <c r="F597" i="7" s="1"/>
  <c r="E596" i="7"/>
  <c r="F596" i="7" s="1"/>
  <c r="E595" i="7"/>
  <c r="F595" i="7" s="1"/>
  <c r="D580" i="7"/>
  <c r="E547" i="7"/>
  <c r="F547" i="7" s="1"/>
  <c r="E552" i="7"/>
  <c r="F552" i="7" s="1"/>
  <c r="E553" i="7"/>
  <c r="F553" i="7" s="1"/>
  <c r="E551" i="7"/>
  <c r="F551" i="7" s="1"/>
  <c r="E550" i="7"/>
  <c r="F550" i="7" s="1"/>
  <c r="E549" i="7"/>
  <c r="F549" i="7" s="1"/>
  <c r="E548" i="7"/>
  <c r="F548" i="7" s="1"/>
  <c r="J495" i="7"/>
  <c r="J519" i="7"/>
  <c r="D556" i="7"/>
  <c r="D604" i="7"/>
  <c r="E586" i="7"/>
  <c r="F586" i="7" s="1"/>
  <c r="E584" i="7"/>
  <c r="F584" i="7" s="1"/>
  <c r="E585" i="7"/>
  <c r="F585" i="7" s="1"/>
  <c r="E589" i="7"/>
  <c r="F589" i="7" s="1"/>
  <c r="E588" i="7"/>
  <c r="F588" i="7" s="1"/>
  <c r="E583" i="7"/>
  <c r="F583" i="7" s="1"/>
  <c r="E587" i="7"/>
  <c r="F587" i="7" s="1"/>
  <c r="I519" i="7"/>
  <c r="H519" i="7"/>
  <c r="F520" i="7"/>
  <c r="G519" i="7"/>
  <c r="G520" i="7" s="1"/>
  <c r="I507" i="7"/>
  <c r="H507" i="7"/>
  <c r="F508" i="7"/>
  <c r="J507" i="7" s="1"/>
  <c r="G507" i="7"/>
  <c r="G508" i="7" s="1"/>
  <c r="I495" i="7"/>
  <c r="H495" i="7"/>
  <c r="F496" i="7"/>
  <c r="G495" i="7"/>
  <c r="G496" i="7" s="1"/>
  <c r="D472" i="7"/>
  <c r="E464" i="7"/>
  <c r="F464" i="7" s="1"/>
  <c r="E465" i="7"/>
  <c r="F465" i="7" s="1"/>
  <c r="E466" i="7"/>
  <c r="F466" i="7" s="1"/>
  <c r="E467" i="7"/>
  <c r="F467" i="7" s="1"/>
  <c r="E468" i="7"/>
  <c r="F468" i="7" s="1"/>
  <c r="E469" i="7"/>
  <c r="F469" i="7" s="1"/>
  <c r="E463" i="7"/>
  <c r="F463" i="7" s="1"/>
  <c r="D460" i="7"/>
  <c r="E452" i="7"/>
  <c r="F452" i="7" s="1"/>
  <c r="E453" i="7"/>
  <c r="F453" i="7" s="1"/>
  <c r="E454" i="7"/>
  <c r="F454" i="7" s="1"/>
  <c r="E455" i="7"/>
  <c r="F455" i="7" s="1"/>
  <c r="E456" i="7"/>
  <c r="F456" i="7" s="1"/>
  <c r="E457" i="7"/>
  <c r="F457" i="7" s="1"/>
  <c r="E451" i="7"/>
  <c r="F451" i="7" s="1"/>
  <c r="D448" i="7"/>
  <c r="E441" i="7"/>
  <c r="F441" i="7" s="1"/>
  <c r="E442" i="7"/>
  <c r="F442" i="7" s="1"/>
  <c r="E443" i="7"/>
  <c r="F443" i="7" s="1"/>
  <c r="E444" i="7"/>
  <c r="F444" i="7" s="1"/>
  <c r="E445" i="7"/>
  <c r="F445" i="7" s="1"/>
  <c r="E439" i="7"/>
  <c r="F439" i="7" s="1"/>
  <c r="E440" i="7"/>
  <c r="F440" i="7" s="1"/>
  <c r="D436" i="7"/>
  <c r="E428" i="7"/>
  <c r="F428" i="7" s="1"/>
  <c r="E429" i="7"/>
  <c r="F429" i="7" s="1"/>
  <c r="E430" i="7"/>
  <c r="F430" i="7" s="1"/>
  <c r="E431" i="7"/>
  <c r="F431" i="7" s="1"/>
  <c r="E432" i="7"/>
  <c r="F432" i="7" s="1"/>
  <c r="E433" i="7"/>
  <c r="F433" i="7" s="1"/>
  <c r="E427" i="7"/>
  <c r="F427" i="7" s="1"/>
  <c r="D424" i="7"/>
  <c r="E416" i="7"/>
  <c r="F416" i="7" s="1"/>
  <c r="E415" i="7"/>
  <c r="F415" i="7" s="1"/>
  <c r="E417" i="7"/>
  <c r="F417" i="7" s="1"/>
  <c r="E418" i="7"/>
  <c r="F418" i="7" s="1"/>
  <c r="E419" i="7"/>
  <c r="F419" i="7" s="1"/>
  <c r="E420" i="7"/>
  <c r="F420" i="7" s="1"/>
  <c r="E421" i="7"/>
  <c r="F421" i="7" s="1"/>
  <c r="D412" i="7"/>
  <c r="E404" i="7"/>
  <c r="F404" i="7" s="1"/>
  <c r="E405" i="7"/>
  <c r="F405" i="7" s="1"/>
  <c r="E406" i="7"/>
  <c r="F406" i="7" s="1"/>
  <c r="E407" i="7"/>
  <c r="F407" i="7" s="1"/>
  <c r="E408" i="7"/>
  <c r="F408" i="7" s="1"/>
  <c r="E409" i="7"/>
  <c r="F409" i="7" s="1"/>
  <c r="E403" i="7"/>
  <c r="F403" i="7" s="1"/>
  <c r="D388" i="7"/>
  <c r="E380" i="7"/>
  <c r="F380" i="7" s="1"/>
  <c r="E381" i="7"/>
  <c r="F381" i="7" s="1"/>
  <c r="E382" i="7"/>
  <c r="F382" i="7" s="1"/>
  <c r="E383" i="7"/>
  <c r="F383" i="7" s="1"/>
  <c r="E384" i="7"/>
  <c r="F384" i="7" s="1"/>
  <c r="E385" i="7"/>
  <c r="F385" i="7" s="1"/>
  <c r="E379" i="7"/>
  <c r="F379" i="7" s="1"/>
  <c r="D376" i="7"/>
  <c r="E368" i="7"/>
  <c r="F368" i="7" s="1"/>
  <c r="E369" i="7"/>
  <c r="F369" i="7" s="1"/>
  <c r="E370" i="7"/>
  <c r="F370" i="7" s="1"/>
  <c r="E371" i="7"/>
  <c r="F371" i="7" s="1"/>
  <c r="E372" i="7"/>
  <c r="F372" i="7" s="1"/>
  <c r="E373" i="7"/>
  <c r="F373" i="7" s="1"/>
  <c r="E367" i="7"/>
  <c r="F367" i="7" s="1"/>
  <c r="D364" i="7"/>
  <c r="E356" i="7"/>
  <c r="F356" i="7" s="1"/>
  <c r="E357" i="7"/>
  <c r="F357" i="7" s="1"/>
  <c r="E358" i="7"/>
  <c r="F358" i="7" s="1"/>
  <c r="E359" i="7"/>
  <c r="F359" i="7" s="1"/>
  <c r="E360" i="7"/>
  <c r="F360" i="7" s="1"/>
  <c r="E361" i="7"/>
  <c r="F361" i="7" s="1"/>
  <c r="E355" i="7"/>
  <c r="F355" i="7" s="1"/>
  <c r="D340" i="7"/>
  <c r="E333" i="7"/>
  <c r="F333" i="7" s="1"/>
  <c r="E334" i="7"/>
  <c r="F334" i="7" s="1"/>
  <c r="E335" i="7"/>
  <c r="F335" i="7" s="1"/>
  <c r="E336" i="7"/>
  <c r="F336" i="7" s="1"/>
  <c r="E337" i="7"/>
  <c r="F337" i="7" s="1"/>
  <c r="E331" i="7"/>
  <c r="F331" i="7" s="1"/>
  <c r="E332" i="7"/>
  <c r="F332" i="7" s="1"/>
  <c r="D352" i="7"/>
  <c r="E344" i="7"/>
  <c r="F344" i="7" s="1"/>
  <c r="E345" i="7"/>
  <c r="F345" i="7" s="1"/>
  <c r="E346" i="7"/>
  <c r="F346" i="7" s="1"/>
  <c r="E347" i="7"/>
  <c r="F347" i="7" s="1"/>
  <c r="E348" i="7"/>
  <c r="F348" i="7" s="1"/>
  <c r="E349" i="7"/>
  <c r="F349" i="7" s="1"/>
  <c r="E343" i="7"/>
  <c r="F343" i="7" s="1"/>
  <c r="D316" i="7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07" i="7"/>
  <c r="F307" i="7" s="1"/>
  <c r="D304" i="7"/>
  <c r="E296" i="7"/>
  <c r="F296" i="7" s="1"/>
  <c r="E297" i="7"/>
  <c r="F297" i="7" s="1"/>
  <c r="E298" i="7"/>
  <c r="F298" i="7" s="1"/>
  <c r="E299" i="7"/>
  <c r="F299" i="7" s="1"/>
  <c r="E300" i="7"/>
  <c r="F300" i="7" s="1"/>
  <c r="E295" i="7"/>
  <c r="F295" i="7" s="1"/>
  <c r="E301" i="7"/>
  <c r="F301" i="7" s="1"/>
  <c r="D292" i="7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83" i="7"/>
  <c r="F283" i="7" s="1"/>
  <c r="D280" i="7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1" i="7"/>
  <c r="F271" i="7" s="1"/>
  <c r="D268" i="7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I240" i="7"/>
  <c r="H240" i="7"/>
  <c r="F241" i="7"/>
  <c r="J240" i="7" s="1"/>
  <c r="G240" i="7"/>
  <c r="G241" i="7" s="1"/>
  <c r="I228" i="7"/>
  <c r="H228" i="7"/>
  <c r="F229" i="7"/>
  <c r="J228" i="7" s="1"/>
  <c r="G228" i="7"/>
  <c r="G229" i="7" s="1"/>
  <c r="F217" i="7"/>
  <c r="J216" i="7" s="1"/>
  <c r="F216" i="7"/>
  <c r="D205" i="7"/>
  <c r="E202" i="7"/>
  <c r="F202" i="7" s="1"/>
  <c r="E201" i="7"/>
  <c r="F201" i="7" s="1"/>
  <c r="E200" i="7"/>
  <c r="F200" i="7" s="1"/>
  <c r="E199" i="7"/>
  <c r="F199" i="7" s="1"/>
  <c r="E198" i="7"/>
  <c r="F198" i="7" s="1"/>
  <c r="E197" i="7"/>
  <c r="F197" i="7" s="1"/>
  <c r="E196" i="7"/>
  <c r="F196" i="7" s="1"/>
  <c r="E481" i="7"/>
  <c r="F481" i="7" s="1"/>
  <c r="E475" i="7"/>
  <c r="F475" i="7" s="1"/>
  <c r="E476" i="7"/>
  <c r="F476" i="7" s="1"/>
  <c r="E477" i="7"/>
  <c r="F477" i="7" s="1"/>
  <c r="E480" i="7"/>
  <c r="F480" i="7" s="1"/>
  <c r="E478" i="7"/>
  <c r="F478" i="7" s="1"/>
  <c r="E479" i="7"/>
  <c r="F479" i="7" s="1"/>
  <c r="E392" i="7"/>
  <c r="F392" i="7" s="1"/>
  <c r="E393" i="7"/>
  <c r="F393" i="7" s="1"/>
  <c r="E394" i="7"/>
  <c r="F394" i="7" s="1"/>
  <c r="E395" i="7"/>
  <c r="F395" i="7" s="1"/>
  <c r="E396" i="7"/>
  <c r="F396" i="7" s="1"/>
  <c r="E397" i="7"/>
  <c r="F397" i="7" s="1"/>
  <c r="E391" i="7"/>
  <c r="F391" i="7" s="1"/>
  <c r="E536" i="7"/>
  <c r="F536" i="7" s="1"/>
  <c r="E537" i="7"/>
  <c r="F537" i="7" s="1"/>
  <c r="E538" i="7"/>
  <c r="F538" i="7" s="1"/>
  <c r="E539" i="7"/>
  <c r="F539" i="7" s="1"/>
  <c r="E540" i="7"/>
  <c r="F540" i="7" s="1"/>
  <c r="E535" i="7"/>
  <c r="F535" i="7" s="1"/>
  <c r="E541" i="7"/>
  <c r="F541" i="7" s="1"/>
  <c r="D181" i="7"/>
  <c r="E177" i="7"/>
  <c r="F177" i="7" s="1"/>
  <c r="E178" i="7"/>
  <c r="F178" i="7" s="1"/>
  <c r="E172" i="7"/>
  <c r="F172" i="7" s="1"/>
  <c r="E173" i="7"/>
  <c r="F173" i="7" s="1"/>
  <c r="E176" i="7"/>
  <c r="F176" i="7" s="1"/>
  <c r="E174" i="7"/>
  <c r="F174" i="7" s="1"/>
  <c r="E175" i="7"/>
  <c r="F175" i="7" s="1"/>
  <c r="E137" i="7"/>
  <c r="F137" i="7" s="1"/>
  <c r="E138" i="7"/>
  <c r="F138" i="7" s="1"/>
  <c r="E139" i="7"/>
  <c r="F139" i="7" s="1"/>
  <c r="E140" i="7"/>
  <c r="F140" i="7" s="1"/>
  <c r="E134" i="7"/>
  <c r="F134" i="7" s="1"/>
  <c r="E136" i="7"/>
  <c r="F136" i="7" s="1"/>
  <c r="E135" i="7"/>
  <c r="F135" i="7" s="1"/>
  <c r="E148" i="7"/>
  <c r="F148" i="7" s="1"/>
  <c r="E149" i="7"/>
  <c r="F149" i="7" s="1"/>
  <c r="E150" i="7"/>
  <c r="F150" i="7" s="1"/>
  <c r="E151" i="7"/>
  <c r="F151" i="7" s="1"/>
  <c r="E152" i="7"/>
  <c r="F152" i="7" s="1"/>
  <c r="E147" i="7"/>
  <c r="F147" i="7" s="1"/>
  <c r="E146" i="7"/>
  <c r="F146" i="7" s="1"/>
  <c r="E247" i="7"/>
  <c r="F247" i="7" s="1"/>
  <c r="E248" i="7"/>
  <c r="F248" i="7" s="1"/>
  <c r="E249" i="7"/>
  <c r="F249" i="7" s="1"/>
  <c r="E250" i="7"/>
  <c r="F250" i="7" s="1"/>
  <c r="E253" i="7"/>
  <c r="F253" i="7" s="1"/>
  <c r="E251" i="7"/>
  <c r="F251" i="7" s="1"/>
  <c r="E252" i="7"/>
  <c r="F252" i="7" s="1"/>
  <c r="E159" i="7"/>
  <c r="F159" i="7" s="1"/>
  <c r="E160" i="7"/>
  <c r="F160" i="7" s="1"/>
  <c r="E161" i="7"/>
  <c r="F161" i="7" s="1"/>
  <c r="E162" i="7"/>
  <c r="F162" i="7" s="1"/>
  <c r="E158" i="7"/>
  <c r="F158" i="7" s="1"/>
  <c r="E163" i="7"/>
  <c r="F163" i="7" s="1"/>
  <c r="E164" i="7"/>
  <c r="F164" i="7" s="1"/>
  <c r="E323" i="7"/>
  <c r="F323" i="7" s="1"/>
  <c r="E324" i="7"/>
  <c r="F324" i="7" s="1"/>
  <c r="E325" i="7"/>
  <c r="F325" i="7" s="1"/>
  <c r="E319" i="7"/>
  <c r="F319" i="7" s="1"/>
  <c r="E322" i="7"/>
  <c r="F322" i="7" s="1"/>
  <c r="E320" i="7"/>
  <c r="F320" i="7" s="1"/>
  <c r="E321" i="7"/>
  <c r="F321" i="7" s="1"/>
  <c r="D193" i="7"/>
  <c r="E190" i="7"/>
  <c r="F190" i="7" s="1"/>
  <c r="E184" i="7"/>
  <c r="F184" i="7" s="1"/>
  <c r="E185" i="7"/>
  <c r="F185" i="7" s="1"/>
  <c r="E186" i="7"/>
  <c r="F186" i="7" s="1"/>
  <c r="E187" i="7"/>
  <c r="F187" i="7" s="1"/>
  <c r="E189" i="7"/>
  <c r="F189" i="7" s="1"/>
  <c r="E188" i="7"/>
  <c r="F188" i="7" s="1"/>
  <c r="D167" i="7"/>
  <c r="D155" i="7"/>
  <c r="D143" i="7"/>
  <c r="D328" i="7"/>
  <c r="D484" i="7"/>
  <c r="D400" i="7"/>
  <c r="D544" i="7"/>
  <c r="G217" i="7"/>
  <c r="D256" i="7"/>
  <c r="C35" i="7"/>
  <c r="C40" i="7"/>
  <c r="C39" i="7"/>
  <c r="C38" i="7"/>
  <c r="C37" i="7"/>
  <c r="C36" i="7"/>
  <c r="C83" i="7"/>
  <c r="C122" i="7"/>
  <c r="C121" i="7"/>
  <c r="C79" i="7"/>
  <c r="C80" i="7"/>
  <c r="C78" i="7"/>
  <c r="C77" i="7"/>
  <c r="C82" i="7"/>
  <c r="C81" i="7"/>
  <c r="F531" i="7" l="1"/>
  <c r="F532" i="7" s="1"/>
  <c r="F591" i="7"/>
  <c r="F592" i="7" s="1"/>
  <c r="F555" i="7"/>
  <c r="F556" i="7" s="1"/>
  <c r="F579" i="7"/>
  <c r="F580" i="7" s="1"/>
  <c r="F603" i="7"/>
  <c r="F604" i="7" s="1"/>
  <c r="F567" i="7"/>
  <c r="F568" i="7" s="1"/>
  <c r="F471" i="7"/>
  <c r="F472" i="7" s="1"/>
  <c r="F447" i="7"/>
  <c r="F448" i="7" s="1"/>
  <c r="F459" i="7"/>
  <c r="F460" i="7" s="1"/>
  <c r="F423" i="7"/>
  <c r="F424" i="7" s="1"/>
  <c r="F435" i="7"/>
  <c r="F436" i="7" s="1"/>
  <c r="F375" i="7"/>
  <c r="F376" i="7" s="1"/>
  <c r="F411" i="7"/>
  <c r="F412" i="7" s="1"/>
  <c r="F387" i="7"/>
  <c r="F388" i="7" s="1"/>
  <c r="F363" i="7"/>
  <c r="F364" i="7" s="1"/>
  <c r="F339" i="7"/>
  <c r="F340" i="7" s="1"/>
  <c r="F351" i="7"/>
  <c r="F352" i="7" s="1"/>
  <c r="F279" i="7"/>
  <c r="F280" i="7" s="1"/>
  <c r="F291" i="7"/>
  <c r="F292" i="7" s="1"/>
  <c r="F315" i="7"/>
  <c r="F316" i="7" s="1"/>
  <c r="F303" i="7"/>
  <c r="F304" i="7" s="1"/>
  <c r="F267" i="7"/>
  <c r="F268" i="7" s="1"/>
  <c r="K209" i="7"/>
  <c r="L209" i="7" s="1"/>
  <c r="K208" i="7"/>
  <c r="L208" i="7" s="1"/>
  <c r="K210" i="7"/>
  <c r="L210" i="7" s="1"/>
  <c r="K211" i="7"/>
  <c r="L211" i="7" s="1"/>
  <c r="K212" i="7"/>
  <c r="L212" i="7" s="1"/>
  <c r="K213" i="7"/>
  <c r="L213" i="7" s="1"/>
  <c r="K214" i="7"/>
  <c r="L214" i="7" s="1"/>
  <c r="F154" i="7"/>
  <c r="F155" i="7" s="1"/>
  <c r="F483" i="7"/>
  <c r="F484" i="7" s="1"/>
  <c r="F204" i="7"/>
  <c r="F205" i="7" s="1"/>
  <c r="F142" i="7"/>
  <c r="F143" i="7" s="1"/>
  <c r="F180" i="7"/>
  <c r="F181" i="7" s="1"/>
  <c r="F166" i="7"/>
  <c r="F167" i="7" s="1"/>
  <c r="F399" i="7"/>
  <c r="F400" i="7" s="1"/>
  <c r="F327" i="7"/>
  <c r="F328" i="7" s="1"/>
  <c r="F543" i="7"/>
  <c r="F544" i="7" s="1"/>
  <c r="F255" i="7"/>
  <c r="F256" i="7" s="1"/>
  <c r="F192" i="7"/>
  <c r="F193" i="7" s="1"/>
  <c r="K512" i="7" l="1"/>
  <c r="L512" i="7" s="1"/>
  <c r="K513" i="7"/>
  <c r="L513" i="7" s="1"/>
  <c r="K514" i="7"/>
  <c r="L514" i="7" s="1"/>
  <c r="K515" i="7"/>
  <c r="L515" i="7" s="1"/>
  <c r="K516" i="7"/>
  <c r="L516" i="7" s="1"/>
  <c r="K517" i="7"/>
  <c r="L517" i="7" s="1"/>
  <c r="K511" i="7"/>
  <c r="L511" i="7" s="1"/>
  <c r="K500" i="7"/>
  <c r="L500" i="7" s="1"/>
  <c r="K501" i="7"/>
  <c r="L501" i="7" s="1"/>
  <c r="K502" i="7"/>
  <c r="L502" i="7" s="1"/>
  <c r="K503" i="7"/>
  <c r="L503" i="7" s="1"/>
  <c r="K504" i="7"/>
  <c r="L504" i="7" s="1"/>
  <c r="K505" i="7"/>
  <c r="L505" i="7" s="1"/>
  <c r="K499" i="7"/>
  <c r="L499" i="7" s="1"/>
  <c r="K488" i="7"/>
  <c r="K489" i="7"/>
  <c r="L489" i="7" s="1"/>
  <c r="K490" i="7"/>
  <c r="L490" i="7" s="1"/>
  <c r="K491" i="7"/>
  <c r="L491" i="7" s="1"/>
  <c r="K492" i="7"/>
  <c r="K493" i="7"/>
  <c r="L493" i="7" s="1"/>
  <c r="K487" i="7"/>
  <c r="L487" i="7" s="1"/>
  <c r="L492" i="7"/>
  <c r="L488" i="7"/>
  <c r="K233" i="7"/>
  <c r="L233" i="7" s="1"/>
  <c r="K234" i="7"/>
  <c r="L234" i="7" s="1"/>
  <c r="K235" i="7"/>
  <c r="L235" i="7" s="1"/>
  <c r="K236" i="7"/>
  <c r="L236" i="7" s="1"/>
  <c r="K237" i="7"/>
  <c r="L237" i="7" s="1"/>
  <c r="K238" i="7"/>
  <c r="L238" i="7" s="1"/>
  <c r="K232" i="7"/>
  <c r="L232" i="7" s="1"/>
  <c r="L216" i="7"/>
  <c r="L217" i="7" s="1"/>
  <c r="K220" i="7"/>
  <c r="L220" i="7" s="1"/>
  <c r="K221" i="7"/>
  <c r="L221" i="7" s="1"/>
  <c r="K222" i="7"/>
  <c r="L222" i="7" s="1"/>
  <c r="K223" i="7"/>
  <c r="L223" i="7" s="1"/>
  <c r="K224" i="7"/>
  <c r="L224" i="7" s="1"/>
  <c r="K225" i="7"/>
  <c r="L225" i="7" s="1"/>
  <c r="K226" i="7"/>
  <c r="L226" i="7" s="1"/>
  <c r="L519" i="7" l="1"/>
  <c r="L520" i="7" s="1"/>
  <c r="L507" i="7"/>
  <c r="L508" i="7" s="1"/>
  <c r="L495" i="7"/>
  <c r="L496" i="7" s="1"/>
  <c r="L240" i="7"/>
  <c r="L241" i="7" s="1"/>
  <c r="L228" i="7"/>
  <c r="L229" i="7" s="1"/>
</calcChain>
</file>

<file path=xl/sharedStrings.xml><?xml version="1.0" encoding="utf-8"?>
<sst xmlns="http://schemas.openxmlformats.org/spreadsheetml/2006/main" count="27067" uniqueCount="2410">
  <si>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</si>
  <si>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</si>
  <si>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</si>
  <si>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</si>
  <si>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</si>
  <si>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</si>
  <si>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</si>
  <si>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</si>
  <si>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</si>
  <si>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</si>
  <si>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</si>
  <si>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</si>
  <si>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</si>
  <si>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</si>
  <si>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</si>
  <si>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</si>
  <si>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</si>
  <si>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</si>
  <si>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</si>
  <si>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</si>
  <si>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</si>
  <si>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</si>
  <si>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</si>
  <si>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</si>
  <si>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</si>
  <si>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</si>
  <si>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</si>
  <si>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</si>
  <si>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</si>
  <si>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</si>
  <si>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</si>
  <si>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</si>
  <si>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</si>
  <si>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</si>
  <si>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</si>
  <si>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</si>
  <si>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</si>
  <si>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</si>
  <si>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</si>
  <si>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</si>
  <si>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</si>
  <si>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</si>
  <si>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</si>
  <si>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</si>
  <si>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</si>
  <si>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</si>
  <si>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</si>
  <si>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</si>
  <si>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</si>
  <si>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</si>
  <si>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</si>
  <si>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</si>
  <si>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</si>
  <si>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</si>
  <si>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</si>
  <si>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</si>
  <si>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</si>
  <si>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</si>
  <si>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</si>
  <si>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</si>
  <si>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</si>
  <si>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</si>
  <si>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</si>
  <si>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</si>
  <si>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</si>
  <si>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</si>
  <si>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</si>
  <si>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</si>
  <si>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</si>
  <si>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</si>
  <si>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</si>
  <si>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</si>
  <si>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</si>
  <si>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</si>
  <si>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</si>
  <si>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</si>
  <si>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</si>
  <si>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</si>
  <si>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</si>
  <si>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</si>
  <si>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</si>
  <si>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</si>
  <si>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</si>
  <si>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</si>
  <si>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</si>
  <si>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</si>
  <si>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</si>
  <si>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</si>
  <si>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</si>
  <si>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</si>
  <si>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</si>
  <si>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</si>
  <si>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</si>
  <si>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</si>
  <si>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</si>
  <si>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</si>
  <si>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</si>
  <si>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</si>
  <si>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</si>
  <si>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</si>
  <si>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</si>
  <si>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</si>
  <si>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</si>
  <si>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</si>
  <si>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</si>
  <si>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</si>
  <si>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</si>
  <si>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</si>
  <si>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</si>
  <si>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</si>
  <si>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</si>
  <si>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</si>
  <si>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</si>
  <si>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</si>
  <si>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</si>
  <si>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</si>
  <si>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</si>
  <si>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</si>
  <si>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</si>
  <si>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</si>
  <si>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</si>
  <si>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</si>
  <si>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</si>
  <si>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</si>
  <si>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</si>
  <si>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</si>
  <si>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</si>
  <si>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</si>
  <si>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</si>
  <si>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</si>
  <si>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</si>
  <si>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</si>
  <si>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</si>
  <si>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</si>
  <si>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</si>
  <si>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</si>
  <si>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</si>
  <si>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</si>
  <si>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</si>
  <si>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</si>
  <si>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</si>
  <si>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</si>
  <si>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</si>
  <si>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</si>
  <si>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</si>
  <si>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</si>
  <si>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</si>
  <si>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</si>
  <si>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</si>
  <si>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</si>
  <si>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</si>
  <si>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</si>
  <si>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</si>
  <si>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</si>
  <si>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</si>
  <si>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</si>
  <si>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</si>
  <si>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</si>
  <si>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</si>
  <si>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</si>
  <si>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</si>
  <si>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</si>
  <si>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</si>
  <si>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</si>
  <si>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</si>
  <si>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</si>
  <si>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</si>
  <si>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</si>
  <si>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</si>
  <si>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</si>
  <si>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</si>
  <si>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</si>
  <si>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</si>
  <si>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</si>
  <si>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</si>
  <si>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</si>
  <si>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</si>
  <si>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</si>
  <si>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</si>
  <si>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</si>
  <si>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</si>
  <si>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</si>
  <si>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</si>
  <si>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</si>
  <si>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</si>
  <si>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</si>
  <si>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</si>
  <si>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</si>
  <si>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</si>
  <si>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</si>
  <si>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</si>
  <si>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</si>
  <si>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</si>
  <si>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</si>
  <si>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</si>
  <si>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</si>
  <si>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</si>
  <si>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</si>
  <si>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</si>
  <si>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</si>
  <si>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</si>
  <si>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</si>
  <si>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</si>
  <si>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</si>
  <si>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</si>
  <si>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</si>
  <si>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</si>
  <si>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</si>
  <si>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</si>
  <si>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</si>
  <si>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</si>
  <si>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</si>
  <si>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</si>
  <si>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</si>
  <si>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</si>
  <si>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</si>
  <si>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</si>
  <si>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</si>
  <si>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</si>
  <si>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</si>
  <si>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</si>
  <si>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</si>
  <si>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</si>
  <si>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</si>
  <si>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</si>
  <si>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</si>
  <si>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</si>
  <si>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</si>
  <si>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</si>
  <si>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</si>
  <si>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</si>
  <si>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</si>
  <si>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</si>
  <si>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</si>
  <si>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</si>
  <si>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</si>
  <si>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</si>
  <si>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</si>
  <si>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</si>
  <si>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</si>
  <si>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</si>
  <si>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</si>
  <si>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</si>
  <si>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</si>
  <si>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</si>
  <si>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</si>
  <si>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</si>
  <si>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</si>
  <si>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</si>
  <si>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</si>
  <si>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</si>
  <si>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</si>
  <si>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</si>
  <si>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</si>
  <si>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</si>
  <si>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</si>
  <si>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</si>
  <si>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</si>
  <si>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</si>
  <si>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</si>
  <si>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</si>
  <si>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</si>
  <si>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</si>
  <si>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</si>
  <si>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</si>
  <si>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</si>
  <si>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</si>
  <si>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</si>
  <si>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</si>
  <si>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</si>
  <si>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</si>
  <si>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</si>
  <si>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</si>
  <si>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</si>
  <si>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</si>
  <si>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</si>
  <si>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</si>
  <si>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</si>
  <si>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</si>
  <si>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</si>
  <si>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</si>
  <si>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</si>
  <si>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</si>
  <si>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</si>
  <si>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</si>
  <si>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</si>
  <si>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</si>
  <si>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</si>
  <si>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</si>
  <si>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</si>
  <si>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</si>
  <si>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</si>
  <si>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</si>
  <si>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</si>
  <si>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</si>
  <si>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</si>
  <si>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</si>
  <si>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</si>
  <si>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</si>
  <si>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</si>
  <si>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</si>
  <si>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</si>
  <si>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</si>
  <si>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</si>
  <si>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</si>
  <si>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</si>
  <si>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</si>
  <si>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</si>
  <si>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</si>
  <si>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</si>
  <si>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</si>
  <si>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</si>
  <si>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</si>
  <si>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</si>
  <si>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</si>
  <si>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</si>
  <si>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</si>
  <si>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</si>
  <si>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</si>
  <si>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</si>
  <si>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</si>
  <si>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</si>
  <si>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</si>
  <si>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</si>
  <si>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</si>
  <si>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</si>
  <si>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</si>
  <si>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</si>
  <si>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</si>
  <si>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</si>
  <si>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</si>
  <si>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</si>
  <si>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</si>
  <si>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</si>
  <si>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</si>
  <si>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</si>
  <si>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</si>
  <si>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</si>
  <si>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</si>
  <si>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</si>
  <si>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</si>
  <si>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</si>
  <si>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</si>
  <si>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</si>
  <si>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</si>
  <si>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</si>
  <si>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</si>
  <si>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</si>
  <si>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</si>
  <si>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</si>
  <si>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</si>
  <si>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</si>
  <si>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</si>
  <si>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</si>
  <si>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</si>
  <si>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</si>
  <si>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</si>
  <si>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</si>
  <si>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</si>
  <si>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</si>
  <si>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</si>
  <si>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</si>
  <si>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</si>
  <si>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</si>
  <si>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</si>
  <si>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</si>
  <si>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</si>
  <si>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</si>
  <si>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</si>
  <si>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</si>
  <si>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</si>
  <si>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</si>
  <si>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</si>
  <si>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</si>
  <si>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</si>
  <si>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</si>
  <si>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</si>
  <si>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</si>
  <si>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</si>
  <si>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</si>
  <si>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</si>
  <si>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</si>
  <si>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</si>
  <si>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</si>
  <si>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</si>
  <si>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</si>
  <si>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</si>
  <si>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</si>
  <si>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</si>
  <si>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</si>
  <si>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</si>
  <si>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</si>
  <si>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</si>
  <si>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</si>
  <si>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</si>
  <si>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</si>
  <si>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</si>
  <si>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</si>
  <si>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</si>
  <si>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</si>
  <si>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</si>
  <si>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</si>
  <si>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</si>
  <si>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</si>
  <si>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</si>
  <si>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</si>
  <si>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</si>
  <si>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</si>
  <si>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</si>
  <si>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</si>
  <si>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</si>
  <si>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</si>
  <si>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</si>
  <si>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</si>
  <si>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</si>
  <si>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</si>
  <si>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</si>
  <si>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</si>
  <si>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</si>
  <si>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</si>
  <si>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</si>
  <si>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</si>
  <si>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</si>
  <si>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</si>
  <si>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</si>
  <si>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</si>
  <si>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</si>
  <si>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</si>
  <si>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</si>
  <si>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</si>
  <si>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</si>
  <si>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</si>
  <si>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</si>
  <si>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</si>
  <si>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</si>
  <si>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</si>
  <si>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</si>
  <si>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</si>
  <si>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</si>
  <si>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</si>
  <si>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</si>
  <si>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</si>
  <si>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</si>
  <si>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</si>
  <si>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</si>
  <si>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</si>
  <si>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</si>
  <si>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</si>
  <si>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</si>
  <si>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</si>
  <si>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</si>
  <si>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</si>
  <si>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</si>
  <si>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</si>
  <si>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</si>
  <si>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</si>
  <si>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</si>
  <si>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</si>
  <si>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</si>
  <si>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</si>
  <si>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</si>
  <si>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</si>
  <si>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</si>
  <si>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</si>
  <si>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</si>
  <si>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</si>
  <si>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</si>
  <si>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</si>
  <si>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</si>
  <si>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</si>
  <si>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</si>
  <si>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</si>
  <si>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</si>
  <si>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</si>
  <si>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</si>
  <si>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</si>
  <si>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</si>
  <si>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</si>
  <si>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</si>
  <si>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</si>
  <si>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</si>
  <si>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</si>
  <si>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</si>
  <si>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</si>
  <si>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</si>
  <si>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</si>
  <si>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</si>
  <si>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</si>
  <si>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</si>
  <si>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</si>
  <si>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</si>
  <si>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</si>
  <si>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</si>
  <si>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</si>
  <si>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</si>
  <si>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</si>
  <si>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</si>
  <si>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</si>
  <si>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</si>
  <si>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</si>
  <si>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</si>
  <si>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</si>
  <si>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</si>
  <si>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</si>
  <si>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</si>
  <si>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</si>
  <si>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</si>
  <si>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</si>
  <si>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</si>
  <si>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</si>
  <si>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</si>
  <si>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</si>
  <si>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</si>
  <si>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</si>
  <si>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</si>
  <si>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</si>
  <si>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</si>
  <si>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</si>
  <si>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</si>
  <si>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</si>
  <si>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</si>
  <si>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</si>
  <si>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</si>
  <si>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</si>
  <si>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</si>
  <si>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</si>
  <si>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</si>
  <si>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</si>
  <si>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</si>
  <si>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</si>
  <si>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</si>
  <si>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</si>
  <si>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</si>
  <si>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</si>
  <si>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</si>
  <si>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</si>
  <si>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</si>
  <si>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</si>
  <si>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</si>
  <si>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</si>
  <si>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</si>
  <si>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</si>
  <si>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</si>
  <si>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</si>
  <si>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</si>
  <si>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</si>
  <si>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</si>
  <si>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</si>
  <si>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</si>
  <si>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</si>
  <si>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</si>
  <si>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</si>
  <si>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</si>
  <si>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</si>
  <si>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</si>
  <si>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</si>
  <si>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</si>
  <si>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</si>
  <si>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</si>
  <si>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</si>
  <si>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</si>
  <si>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</si>
  <si>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</si>
  <si>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</si>
  <si>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</si>
  <si>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</si>
  <si>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</si>
  <si>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</si>
  <si>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</si>
  <si>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</si>
  <si>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</si>
  <si>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</si>
  <si>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</si>
  <si>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</si>
  <si>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</si>
  <si>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</si>
  <si>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</si>
  <si>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</si>
  <si>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</si>
  <si>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</si>
  <si>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</si>
  <si>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</si>
  <si>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</si>
  <si>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</si>
  <si>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</si>
  <si>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</si>
  <si>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</si>
  <si>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</si>
  <si>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</si>
  <si>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</si>
  <si>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</si>
  <si>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</si>
  <si>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</si>
  <si>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</si>
  <si>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</si>
  <si>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</si>
  <si>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</si>
  <si>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</si>
  <si>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</si>
  <si>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</si>
  <si>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</si>
  <si>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</si>
  <si>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</si>
  <si>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</si>
  <si>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</si>
  <si>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</si>
  <si>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</si>
  <si>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</si>
  <si>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</si>
  <si>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</si>
  <si>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</si>
  <si>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</si>
  <si>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</si>
  <si>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</si>
  <si>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</si>
  <si>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</si>
  <si>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</si>
  <si>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</si>
  <si>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</si>
  <si>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</si>
  <si>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</si>
  <si>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</si>
  <si>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</si>
  <si>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</si>
  <si>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</si>
  <si>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</si>
  <si>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</si>
  <si>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</si>
  <si>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</si>
  <si>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</si>
  <si>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</si>
  <si>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</si>
  <si>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</si>
  <si>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</si>
  <si>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</si>
  <si>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</si>
  <si>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</si>
  <si>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</si>
  <si>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</si>
  <si>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</si>
  <si>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</si>
  <si>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</si>
  <si>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</si>
  <si>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</si>
  <si>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</si>
  <si>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</si>
  <si>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</si>
  <si>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</si>
  <si>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</si>
  <si>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</si>
  <si>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</si>
  <si>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</si>
  <si>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</si>
  <si>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</si>
  <si>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</si>
  <si>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</si>
  <si>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</si>
  <si>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</si>
  <si>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</si>
  <si>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</si>
  <si>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</si>
  <si>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</si>
  <si>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</si>
  <si>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</si>
  <si>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</si>
  <si>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</si>
  <si>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</si>
  <si>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</si>
  <si>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</si>
  <si>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</si>
  <si>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</si>
  <si>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</si>
  <si>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</si>
  <si>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</si>
  <si>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</si>
  <si>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</si>
  <si>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</si>
  <si>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</si>
  <si>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</si>
  <si>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</si>
  <si>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</si>
  <si>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</si>
  <si>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</si>
  <si>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</si>
  <si>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</si>
  <si>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</si>
  <si>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</si>
  <si>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</si>
  <si>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</si>
  <si>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</si>
  <si>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</si>
  <si>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</si>
  <si>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</si>
  <si>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</si>
  <si>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</si>
  <si>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</si>
  <si>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</si>
  <si>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</si>
  <si>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</si>
  <si>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</si>
  <si>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</si>
  <si>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</si>
  <si>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</si>
  <si>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</si>
  <si>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</si>
  <si>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</si>
  <si>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</si>
  <si>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</si>
  <si>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</si>
  <si>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</si>
  <si>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</si>
  <si>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</si>
  <si>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</si>
  <si>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</si>
  <si>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</si>
  <si>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</si>
  <si>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</si>
  <si>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</si>
  <si>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</si>
  <si>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</si>
  <si>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</si>
  <si>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</si>
  <si>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</si>
  <si>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</si>
  <si>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</si>
  <si>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</si>
  <si>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</si>
  <si>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</si>
  <si>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</si>
  <si>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</si>
  <si>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</si>
  <si>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</si>
  <si>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</si>
  <si>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</si>
  <si>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</si>
  <si>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</si>
  <si>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</si>
  <si>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</si>
  <si>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</si>
  <si>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</si>
  <si>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</si>
  <si>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</si>
  <si>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</si>
  <si>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</si>
  <si>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</si>
  <si>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</si>
  <si>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</si>
  <si>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</si>
  <si>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</si>
  <si>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</si>
  <si>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</si>
  <si>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</si>
  <si>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</si>
  <si>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</si>
  <si>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</si>
  <si>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</si>
  <si>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</si>
  <si>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</si>
  <si>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</si>
  <si>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</si>
  <si>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</si>
  <si>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</si>
  <si>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</si>
  <si>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</si>
  <si>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</si>
  <si>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</si>
  <si>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</si>
  <si>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</si>
  <si>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</si>
  <si>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</si>
  <si>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</si>
  <si>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</si>
  <si>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</si>
  <si>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</si>
  <si>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</si>
  <si>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</si>
  <si>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</si>
  <si>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</si>
  <si>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</si>
  <si>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</si>
  <si>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</si>
  <si>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</si>
  <si>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</si>
  <si>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</si>
  <si>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</si>
  <si>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</si>
  <si>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</si>
  <si>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</si>
  <si>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</si>
  <si>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</si>
  <si>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</si>
  <si>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</si>
  <si>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</si>
  <si>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</si>
  <si>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</si>
  <si>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</si>
  <si>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</si>
  <si>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</si>
  <si>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</si>
  <si>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</si>
  <si>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</si>
  <si>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</si>
  <si>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</si>
  <si>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</si>
  <si>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</si>
  <si>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</si>
  <si>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</si>
  <si>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</si>
  <si>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</si>
  <si>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</si>
  <si>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</si>
  <si>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</si>
  <si>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</si>
  <si>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</si>
  <si>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</si>
  <si>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</si>
  <si>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</si>
  <si>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</si>
  <si>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</si>
  <si>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</si>
  <si>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</si>
  <si>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</si>
  <si>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</si>
  <si>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</si>
  <si>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</si>
  <si>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</si>
  <si>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</si>
  <si>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</si>
  <si>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</si>
  <si>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</si>
  <si>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</si>
  <si>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</si>
  <si>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</si>
  <si>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</si>
  <si>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</si>
  <si>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</si>
  <si>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</si>
  <si>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</si>
  <si>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</si>
  <si>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</si>
  <si>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</si>
  <si>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</si>
  <si>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</si>
  <si>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</si>
  <si>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</si>
  <si>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</si>
  <si>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</si>
  <si>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</si>
  <si>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</si>
  <si>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</si>
  <si>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</si>
  <si>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</si>
  <si>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</si>
  <si>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</si>
  <si>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</si>
  <si>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</si>
  <si>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</si>
  <si>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</si>
  <si>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</si>
  <si>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</si>
  <si>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</si>
  <si>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</si>
  <si>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</si>
  <si>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</si>
  <si>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</si>
  <si>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</si>
  <si>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</si>
  <si>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</si>
  <si>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</si>
  <si>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</si>
  <si>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</si>
  <si>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</si>
  <si>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</si>
  <si>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</si>
  <si>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</si>
  <si>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</si>
  <si>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</si>
  <si>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</si>
  <si>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</si>
  <si>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</si>
  <si>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</si>
  <si>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</si>
  <si>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</si>
  <si>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</si>
  <si>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</si>
  <si>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</si>
  <si>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</si>
  <si>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</si>
  <si>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</si>
  <si>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</si>
  <si>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</si>
  <si>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</si>
  <si>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</si>
  <si>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</si>
  <si>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</si>
  <si>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</si>
  <si>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</si>
  <si>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</si>
  <si>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</si>
  <si>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</si>
  <si>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</si>
  <si>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</si>
  <si>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</si>
  <si>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</si>
  <si>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</si>
  <si>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</si>
  <si>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</si>
  <si>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</si>
  <si>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</si>
  <si>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</si>
  <si>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</si>
  <si>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</si>
  <si>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</si>
  <si>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</si>
  <si>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</si>
  <si>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</si>
  <si>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</si>
  <si>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</si>
  <si>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</si>
  <si>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</si>
  <si>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</si>
  <si>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</si>
  <si>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</si>
  <si>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</si>
  <si>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</si>
  <si>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</si>
  <si>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</si>
  <si>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</si>
  <si>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</si>
  <si>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</si>
  <si>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</si>
  <si>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</si>
  <si>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</si>
  <si>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</si>
  <si>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</si>
  <si>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</si>
  <si>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</si>
  <si>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</si>
  <si>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</si>
  <si>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</si>
  <si>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</si>
  <si>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</si>
  <si>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</si>
  <si>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</si>
  <si>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</si>
  <si>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</si>
  <si>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</si>
  <si>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</si>
  <si>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</si>
  <si>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</si>
  <si>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</si>
  <si>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</si>
  <si>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</si>
  <si>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</si>
  <si>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</si>
  <si>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</si>
  <si>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</si>
  <si>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</si>
  <si>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</si>
  <si>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</si>
  <si>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</si>
  <si>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</si>
  <si>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</si>
  <si>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</si>
  <si>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</si>
  <si>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</si>
  <si>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</si>
  <si>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</si>
  <si>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</si>
  <si>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</si>
  <si>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</si>
  <si>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</si>
  <si>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</si>
  <si>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</si>
  <si>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</si>
  <si>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</si>
  <si>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</si>
  <si>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</si>
  <si>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</si>
  <si>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</si>
  <si>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</si>
  <si>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</si>
  <si>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</si>
  <si>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</si>
  <si>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</si>
  <si>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</si>
  <si>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</si>
  <si>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</si>
  <si>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</si>
  <si>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</si>
  <si>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</si>
  <si>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</si>
  <si>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</si>
  <si>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</si>
  <si>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</si>
  <si>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</si>
  <si>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</si>
  <si>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</si>
  <si>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</si>
  <si>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</si>
  <si>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</si>
  <si>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</si>
  <si>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</si>
  <si>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</si>
  <si>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</si>
  <si>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</si>
  <si>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</si>
  <si>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</si>
  <si>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</si>
  <si>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</si>
  <si>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</si>
  <si>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</si>
  <si>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</si>
  <si>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</si>
  <si>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</si>
  <si>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</si>
  <si>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</si>
  <si>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</si>
  <si>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</si>
  <si>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</si>
  <si>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</si>
  <si>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</si>
  <si>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</si>
  <si>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</si>
  <si>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</si>
  <si>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</si>
  <si>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</si>
  <si>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</si>
  <si>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</si>
  <si>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</si>
  <si>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</si>
  <si>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</si>
  <si>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</si>
  <si>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</si>
  <si>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</si>
  <si>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</si>
  <si>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</si>
  <si>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</si>
  <si>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</si>
  <si>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</si>
  <si>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</si>
  <si>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</si>
  <si>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</si>
  <si>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</si>
  <si>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</si>
  <si>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</si>
  <si>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</si>
  <si>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</si>
  <si>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</si>
  <si>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</si>
  <si>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</si>
  <si>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</si>
  <si>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</si>
  <si>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</si>
  <si>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</si>
  <si>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</si>
  <si>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</si>
  <si>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</si>
  <si>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</si>
  <si>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</si>
  <si>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</si>
  <si>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</si>
  <si>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</si>
  <si>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</si>
  <si>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</si>
  <si>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</si>
  <si>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</si>
  <si>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</si>
  <si>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</si>
  <si>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</si>
  <si>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</si>
  <si>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</si>
  <si>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</si>
  <si>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</si>
  <si>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</si>
  <si>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</si>
  <si>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</si>
  <si>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</si>
  <si>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</si>
  <si>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</si>
  <si>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</si>
  <si>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</si>
  <si>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</si>
  <si>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</si>
  <si>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</si>
  <si>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</si>
  <si>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</si>
  <si>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</si>
  <si>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</si>
  <si>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</si>
  <si>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</si>
  <si>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</si>
  <si>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</si>
  <si>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</si>
  <si>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</si>
  <si>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</si>
  <si>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</si>
  <si>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</si>
  <si>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</si>
  <si>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</si>
  <si>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</si>
  <si>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</si>
  <si>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</si>
  <si>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</si>
  <si>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</si>
  <si>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</si>
  <si>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</si>
  <si>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</si>
  <si>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</si>
  <si>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</si>
  <si>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</si>
  <si>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</si>
  <si>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</si>
  <si>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</si>
  <si>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</si>
  <si>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</si>
  <si>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</si>
  <si>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</si>
  <si>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</si>
  <si>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</si>
  <si>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</si>
  <si>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</si>
  <si>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</si>
  <si>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</si>
  <si>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</si>
  <si>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</si>
  <si>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</si>
  <si>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</si>
  <si>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</si>
  <si>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</si>
  <si>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</si>
  <si>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</si>
  <si>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</si>
  <si>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</si>
  <si>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</si>
  <si>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</si>
  <si>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</si>
  <si>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</si>
  <si>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</si>
  <si>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</si>
  <si>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</si>
  <si>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</si>
  <si>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</si>
  <si>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</si>
  <si>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</si>
  <si>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</si>
  <si>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</si>
  <si>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</si>
  <si>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</si>
  <si>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</si>
  <si>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</si>
  <si>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</si>
  <si>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</si>
  <si>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</si>
  <si>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</si>
  <si>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</si>
  <si>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</si>
  <si>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</si>
  <si>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</si>
  <si>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</si>
  <si>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</si>
  <si>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</si>
  <si>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</si>
  <si>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</si>
  <si>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</si>
  <si>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</si>
  <si>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</si>
  <si>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</si>
  <si>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</si>
  <si>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</si>
  <si>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</si>
  <si>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</si>
  <si>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</si>
  <si>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</si>
  <si>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</si>
  <si>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</si>
  <si>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</si>
  <si>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</si>
  <si>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</si>
  <si>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</si>
  <si>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</si>
  <si>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</si>
  <si>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</si>
  <si>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</si>
  <si>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</si>
  <si>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</si>
  <si>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</si>
  <si>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</si>
  <si>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</si>
  <si>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</si>
  <si>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</si>
  <si>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</si>
  <si>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</si>
  <si>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</si>
  <si>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</si>
  <si>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</si>
  <si>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</si>
  <si>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</si>
  <si>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</si>
  <si>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</si>
  <si>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</si>
  <si>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</si>
  <si>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</si>
  <si>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</si>
  <si>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</si>
  <si>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</si>
  <si>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</si>
  <si>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</si>
  <si>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</si>
  <si>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</si>
  <si>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</si>
  <si>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</si>
  <si>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</si>
  <si>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</si>
  <si>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</si>
  <si>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</si>
  <si>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</si>
  <si>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</si>
  <si>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</si>
  <si>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</si>
  <si>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</si>
  <si>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</si>
  <si>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</si>
  <si>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</si>
  <si>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</si>
  <si>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</si>
  <si>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</si>
  <si>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</si>
  <si>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</si>
  <si>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</si>
  <si>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</si>
  <si>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</si>
  <si>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</si>
  <si>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</si>
  <si>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</si>
  <si>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</si>
  <si>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</si>
  <si>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</si>
  <si>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</si>
  <si>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</si>
  <si>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</si>
  <si>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</si>
  <si>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</si>
  <si>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</si>
  <si>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</si>
  <si>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</si>
  <si>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</si>
  <si>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</si>
  <si>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</si>
  <si>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</si>
  <si>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</si>
  <si>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</si>
  <si>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</si>
  <si>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</si>
  <si>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</si>
  <si>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</si>
  <si>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</si>
  <si>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</si>
  <si>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</si>
  <si>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</si>
  <si>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</si>
  <si>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</si>
  <si>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</si>
  <si>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</si>
  <si>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</si>
  <si>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</si>
  <si>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</si>
  <si>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</si>
  <si>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</si>
  <si>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</si>
  <si>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</si>
  <si>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</si>
  <si>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</si>
  <si>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</si>
  <si>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</si>
  <si>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</si>
  <si>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</si>
  <si>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</si>
  <si>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</si>
  <si>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</si>
  <si>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</si>
  <si>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</si>
  <si>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</si>
  <si>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</si>
  <si>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</si>
  <si>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</si>
  <si>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</si>
  <si>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</si>
  <si>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</si>
  <si>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</si>
  <si>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</si>
  <si>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</si>
  <si>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</si>
  <si>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</si>
  <si>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</si>
  <si>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</si>
  <si>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</si>
  <si>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</si>
  <si>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</si>
  <si>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</si>
  <si>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</si>
  <si>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</si>
  <si>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</si>
  <si>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</si>
  <si>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</si>
  <si>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</si>
  <si>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</si>
  <si>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</si>
  <si>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</si>
  <si>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</si>
  <si>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</si>
  <si>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</si>
  <si>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</si>
  <si>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</si>
  <si>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</si>
  <si>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</si>
  <si>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</si>
  <si>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</si>
  <si>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</si>
  <si>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</si>
  <si>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</si>
  <si>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</si>
  <si>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</si>
  <si>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</si>
  <si>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</si>
  <si>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</si>
  <si>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</si>
  <si>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</si>
  <si>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</si>
  <si>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</si>
  <si>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</si>
  <si>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</si>
  <si>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</si>
  <si>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</si>
  <si>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</si>
  <si>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</si>
  <si>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</si>
  <si>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</si>
  <si>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</si>
  <si>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</si>
  <si>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</si>
  <si>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</si>
  <si>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</si>
  <si>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</si>
  <si>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</si>
  <si>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</si>
  <si>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</si>
  <si>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</si>
  <si>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</si>
  <si>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</si>
  <si>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</si>
  <si>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</si>
  <si>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</si>
  <si>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</si>
  <si>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</si>
  <si>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</si>
  <si>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</si>
  <si>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</si>
  <si>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</si>
  <si>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</si>
  <si>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</si>
  <si>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</si>
  <si>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</si>
  <si>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</si>
  <si>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</si>
  <si>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</si>
  <si>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</si>
  <si>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</si>
  <si>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</si>
  <si>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</si>
  <si>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</si>
  <si>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</si>
  <si>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</si>
  <si>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</si>
  <si>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</si>
  <si>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</si>
  <si>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</si>
  <si>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</si>
  <si>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</si>
  <si>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</si>
  <si>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</si>
  <si>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</si>
  <si>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</si>
  <si>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</si>
  <si>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</si>
  <si>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</si>
  <si>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</si>
  <si>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</si>
  <si>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</si>
  <si>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</si>
  <si>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</si>
  <si>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</si>
  <si>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</si>
  <si>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</si>
  <si>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</si>
  <si>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</si>
  <si>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</si>
  <si>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</si>
  <si>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</si>
  <si>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</si>
  <si>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</si>
  <si>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</si>
  <si>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</si>
  <si>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</si>
  <si>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</si>
  <si>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</si>
  <si>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</si>
  <si>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</si>
  <si>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</si>
  <si>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</si>
  <si>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</si>
  <si>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</si>
  <si>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</si>
  <si>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</si>
  <si>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</si>
  <si>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</si>
  <si>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</si>
  <si>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</si>
  <si>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</si>
  <si>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</si>
  <si>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</si>
  <si>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</si>
  <si>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</si>
  <si>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</si>
  <si>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</si>
  <si>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</si>
  <si>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</si>
  <si>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</si>
  <si>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</si>
  <si>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</si>
  <si>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</si>
  <si>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</si>
  <si>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</si>
  <si>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</si>
  <si>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</si>
  <si>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</si>
  <si>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</si>
  <si>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</si>
  <si>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</si>
  <si>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</si>
  <si>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</si>
  <si>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</si>
  <si>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</si>
  <si>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</si>
  <si>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</si>
  <si>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</si>
  <si>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</si>
  <si>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</si>
  <si>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</si>
  <si>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</si>
  <si>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</si>
  <si>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</si>
  <si>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</si>
  <si>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</si>
  <si>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</si>
  <si>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</si>
  <si>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</si>
  <si>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</si>
  <si>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</si>
  <si>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</si>
  <si>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</si>
  <si>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</si>
  <si>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</si>
  <si>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</si>
  <si>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</si>
  <si>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</si>
  <si>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</si>
  <si>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</si>
  <si>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</si>
  <si>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</si>
  <si>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</si>
  <si>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</si>
  <si>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</si>
  <si>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</si>
  <si>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</si>
  <si>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</si>
  <si>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</si>
  <si>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</si>
  <si>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</si>
  <si>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</si>
  <si>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</si>
  <si>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</si>
  <si>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</si>
  <si>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</si>
  <si>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</si>
  <si>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</si>
  <si>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</si>
  <si>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</si>
  <si>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</si>
  <si>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</si>
  <si>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</si>
  <si>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</si>
  <si>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</si>
  <si>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</si>
  <si>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</si>
  <si>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</si>
  <si>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</si>
  <si>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</si>
  <si>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</si>
  <si>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</si>
  <si>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</si>
  <si>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</si>
  <si>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</si>
  <si>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</si>
  <si>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</si>
  <si>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</si>
  <si>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</si>
  <si>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</si>
  <si>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</si>
  <si>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</si>
  <si>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</si>
  <si>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</si>
  <si>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</si>
  <si>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</si>
  <si>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</si>
  <si>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</si>
  <si>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</si>
  <si>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</si>
  <si>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</si>
  <si>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</si>
  <si>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</si>
  <si>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</si>
  <si>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</si>
  <si>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</si>
  <si>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</si>
  <si>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</si>
  <si>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</si>
  <si>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</si>
  <si>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</si>
  <si>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</si>
  <si>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</si>
  <si>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</si>
  <si>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</si>
  <si>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</si>
  <si>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</si>
  <si>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</si>
  <si>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</si>
  <si>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</si>
  <si>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</si>
  <si>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</si>
  <si>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</si>
  <si>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</si>
  <si>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</si>
  <si>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</si>
  <si>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</si>
  <si>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</si>
  <si>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</si>
  <si>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</si>
  <si>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</si>
  <si>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</si>
  <si>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</si>
  <si>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</si>
  <si>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</si>
  <si>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</si>
  <si>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</si>
  <si>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</si>
  <si>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</si>
  <si>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</si>
  <si>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</si>
  <si>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</si>
  <si>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</si>
  <si>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</si>
  <si>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</si>
  <si>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</si>
  <si>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</si>
  <si>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</si>
  <si>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</si>
  <si>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</si>
  <si>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</si>
  <si>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</si>
  <si>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</si>
  <si>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</si>
  <si>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</si>
  <si>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</si>
  <si>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</si>
  <si>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</si>
  <si>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</si>
  <si>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</si>
  <si>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</si>
  <si>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</si>
  <si>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</si>
  <si>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</si>
  <si>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</si>
  <si>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</si>
  <si>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</si>
  <si>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</si>
  <si>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</si>
  <si>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</si>
  <si>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</si>
  <si>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</si>
  <si>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</si>
  <si>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</si>
  <si>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</si>
  <si>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</si>
  <si>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</si>
  <si>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</si>
  <si>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</si>
  <si>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</si>
  <si>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</si>
  <si>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</si>
  <si>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</si>
  <si>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</si>
  <si>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</si>
  <si>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</si>
  <si>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</si>
  <si>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</si>
  <si>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</si>
  <si>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</si>
  <si>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</si>
  <si>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</si>
  <si>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</si>
  <si>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</si>
  <si>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</si>
  <si>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</si>
  <si>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</si>
  <si>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</si>
  <si>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</si>
  <si>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</si>
  <si>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</si>
  <si>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</si>
  <si>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</si>
  <si>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</si>
  <si>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</si>
  <si>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</si>
  <si>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</si>
  <si>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</si>
  <si>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</si>
  <si>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</si>
  <si>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</si>
  <si>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</si>
  <si>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</si>
  <si>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</si>
  <si>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</si>
  <si>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</si>
  <si>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</si>
  <si>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</si>
  <si>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</si>
  <si>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</si>
  <si>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</si>
  <si>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</si>
  <si>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</si>
  <si>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</si>
  <si>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</si>
  <si>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</si>
  <si>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</si>
  <si>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</si>
  <si>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</si>
  <si>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</si>
  <si>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</si>
  <si>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</si>
  <si>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</si>
  <si>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</si>
  <si>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</si>
  <si>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</si>
  <si>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</si>
  <si>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</si>
  <si>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</si>
  <si>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</si>
  <si>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</si>
  <si>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</si>
  <si>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</si>
  <si>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</si>
  <si>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</si>
  <si>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</si>
  <si>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</si>
  <si>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</si>
  <si>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</si>
  <si>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</si>
  <si>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</si>
  <si>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</si>
  <si>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</si>
  <si>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</si>
  <si>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</si>
  <si>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</si>
  <si>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</si>
  <si>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</si>
  <si>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</si>
  <si>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</si>
  <si>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</si>
  <si>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</si>
  <si>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</si>
  <si>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</si>
  <si>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</si>
  <si>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</si>
  <si>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</si>
  <si>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</si>
  <si>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</si>
  <si>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</si>
  <si>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</si>
  <si>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</si>
  <si>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</si>
  <si>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</si>
  <si>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</si>
  <si>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</si>
  <si>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</si>
  <si>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</si>
  <si>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</si>
  <si>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</si>
  <si>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</si>
  <si>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</si>
  <si>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</si>
  <si>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</si>
  <si>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</si>
  <si>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</si>
  <si>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</si>
  <si>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</si>
  <si>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</si>
  <si>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</si>
  <si>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</si>
  <si>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</si>
  <si>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</si>
  <si>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</si>
  <si>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</si>
  <si>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</si>
  <si>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</si>
  <si>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</si>
  <si>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</si>
  <si>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</si>
  <si>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</si>
  <si>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</si>
  <si>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</si>
  <si>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</si>
  <si>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</si>
  <si>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</si>
  <si>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</si>
  <si>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</si>
  <si>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</si>
  <si>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</si>
  <si>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</si>
  <si>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</si>
  <si>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</si>
  <si>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</si>
  <si>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</si>
  <si>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</si>
  <si>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</si>
  <si>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</si>
  <si>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</si>
  <si>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</si>
  <si>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</si>
  <si>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</si>
  <si>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</si>
  <si>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</si>
  <si>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</si>
  <si>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</si>
  <si>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</si>
  <si>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</si>
  <si>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</si>
  <si>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</si>
  <si>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</si>
  <si>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</si>
  <si>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</si>
  <si>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</si>
  <si>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</si>
  <si>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</si>
  <si>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</si>
  <si>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</si>
  <si>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</si>
  <si>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</si>
  <si>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</si>
  <si>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</si>
  <si>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</si>
  <si>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</si>
  <si>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</si>
  <si>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</si>
  <si>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</si>
  <si>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</si>
  <si>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</si>
  <si>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</si>
  <si>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</si>
  <si>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</si>
  <si>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</si>
  <si>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</si>
  <si>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</si>
  <si>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</si>
  <si>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</si>
  <si>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</si>
  <si>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</si>
  <si>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</si>
  <si>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</si>
  <si>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</si>
  <si>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</si>
  <si>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</si>
  <si>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</si>
  <si>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</si>
  <si>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</si>
  <si>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</si>
  <si>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</si>
  <si>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</si>
  <si>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</si>
  <si>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</si>
  <si>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</si>
  <si>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</si>
  <si>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</si>
  <si>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</si>
  <si>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</si>
  <si>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</si>
  <si>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</si>
  <si>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</si>
  <si>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</si>
  <si>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</si>
  <si>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</si>
  <si>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</si>
  <si>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</si>
  <si>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</si>
  <si>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</si>
  <si>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</si>
  <si>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</si>
  <si>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</si>
  <si>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</si>
  <si>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</si>
  <si>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</si>
  <si>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</si>
  <si>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</si>
  <si>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</si>
  <si>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</si>
  <si>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</si>
  <si>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</si>
  <si>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</si>
  <si>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</si>
  <si>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</si>
  <si>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</si>
  <si>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</si>
  <si>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</si>
  <si>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</si>
  <si>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</si>
  <si>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</si>
  <si>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</si>
  <si>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</si>
  <si>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</si>
  <si>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</si>
  <si>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</si>
  <si>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</si>
  <si>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</si>
  <si>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</si>
  <si>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</si>
  <si>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</si>
  <si>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</si>
  <si>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</si>
  <si>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</si>
  <si>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</si>
  <si>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</si>
  <si>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</si>
  <si>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</si>
  <si>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</si>
  <si>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</si>
  <si>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</si>
  <si>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</si>
  <si>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</si>
  <si>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</si>
  <si>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</si>
  <si>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</si>
  <si>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</si>
  <si>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</si>
  <si>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</si>
  <si>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</si>
  <si>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</si>
  <si>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</si>
  <si>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</si>
  <si>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</si>
  <si>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</si>
  <si>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</si>
  <si>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</si>
  <si>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</si>
  <si>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</si>
  <si>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</si>
  <si>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</si>
  <si>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</si>
  <si>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</si>
  <si>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</si>
  <si>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</si>
  <si>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</si>
  <si>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</si>
  <si>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</si>
  <si>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</si>
  <si>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</si>
  <si>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</si>
  <si>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</si>
  <si>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</si>
  <si>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</si>
  <si>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</si>
  <si>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</si>
  <si>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</si>
  <si>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</si>
  <si>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</si>
  <si>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</si>
  <si>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</si>
  <si>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</si>
  <si>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</si>
  <si>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</si>
  <si>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</si>
  <si>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</si>
  <si>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</si>
  <si>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</si>
  <si>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</si>
  <si>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</si>
  <si>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</si>
  <si>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</si>
  <si>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</si>
  <si>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</si>
  <si>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</si>
  <si>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</si>
  <si>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</si>
  <si>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</si>
  <si>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</si>
  <si>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</si>
  <si>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</si>
  <si>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</si>
  <si>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</si>
  <si>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</si>
  <si>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</si>
  <si>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</si>
  <si>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</si>
  <si>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</si>
  <si>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</si>
  <si>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</si>
  <si>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</si>
  <si>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</si>
  <si>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</si>
  <si>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</si>
  <si>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</si>
  <si>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</si>
  <si>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</si>
  <si>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</si>
  <si>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</si>
  <si>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</si>
  <si>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</si>
  <si>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</si>
  <si>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</si>
  <si>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</si>
  <si>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</si>
  <si>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</si>
  <si>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</si>
  <si>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</si>
  <si>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</si>
  <si>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</si>
  <si>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</si>
  <si>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</si>
  <si>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</si>
  <si>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</si>
  <si>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</si>
  <si>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</si>
  <si>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</si>
  <si>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</si>
  <si>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</si>
  <si>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</si>
  <si>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</si>
  <si>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</si>
  <si>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</si>
  <si>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</si>
  <si>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</si>
  <si>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</si>
  <si>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</si>
  <si>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</si>
  <si>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</si>
  <si>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</si>
  <si>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</si>
  <si>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</si>
  <si>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</si>
  <si>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</si>
  <si>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</si>
  <si>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</si>
  <si>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</si>
  <si>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</si>
  <si>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</si>
  <si>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</si>
  <si>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</si>
  <si>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</si>
  <si>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</si>
  <si>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</si>
  <si>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</si>
  <si>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</si>
  <si>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</si>
  <si>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</si>
  <si>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</si>
  <si>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</si>
  <si>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</si>
  <si>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</si>
  <si>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</si>
  <si>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</si>
  <si>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</si>
  <si>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</si>
  <si>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</si>
  <si>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</si>
  <si>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</si>
  <si>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</si>
  <si>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</si>
  <si>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</si>
  <si>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</si>
  <si>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</si>
  <si>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</si>
  <si>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</si>
  <si>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</si>
  <si>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</si>
  <si>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</si>
  <si>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</si>
  <si>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</si>
  <si>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</si>
  <si>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</si>
  <si>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</si>
  <si>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</si>
  <si>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</si>
  <si>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</si>
  <si>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</si>
  <si>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</si>
  <si>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</si>
  <si>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</si>
  <si>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</si>
  <si>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</si>
  <si>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</si>
  <si>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</si>
  <si>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</si>
  <si>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</si>
  <si>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</si>
  <si>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</si>
  <si>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5.173.8.81</t>
  </si>
  <si>
    <t>2022-08-15 09:35:07</t>
  </si>
  <si>
    <t>2022-08-15 09:58:57</t>
  </si>
  <si>
    <t>architektura i budownictwo (ISCED '11 - 58)</t>
  </si>
  <si>
    <t>Ukierunkowanie w pracy samorządowej, kontakty, umiejętność myślenia, poszerzenie horyzontów (również pozaedukacyjnie)</t>
  </si>
  <si>
    <t>inż. energetyka ; mgr. wentylacje</t>
  </si>
  <si>
    <t>praca jeszcze przed ukończeniem studiów</t>
  </si>
  <si>
    <t>umiejętność uczenia się, przebranżowienia, wiedza techniczna, umiejętność myślenia</t>
  </si>
  <si>
    <t>Tak (kontynuacja badania przedstawicieli władz samorządowych)</t>
  </si>
  <si>
    <t>przedstawiciel władz gminy</t>
  </si>
  <si>
    <t>Gmina Czersk</t>
  </si>
  <si>
    <t>pozytywny wpływ na przedsięwzięcia w regionie, komunikacja, zagospodarowanie przestrzeni</t>
  </si>
  <si>
    <t>Studia podyplomowe</t>
  </si>
  <si>
    <t>B01</t>
  </si>
  <si>
    <t>2022-08-15 10:01:31</t>
  </si>
  <si>
    <t>2022-08-15 10:13:32</t>
  </si>
  <si>
    <t>Studia muzyczne, wydział instrumentalny</t>
  </si>
  <si>
    <t>praktyczne uprawianie zawodu muzyka; otoczenie, spotkane osobowości z różnych dziedzin</t>
  </si>
  <si>
    <t>jednolite magisterskie</t>
  </si>
  <si>
    <t xml:space="preserve">  </t>
  </si>
  <si>
    <t>2022-08-15 10:14:24</t>
  </si>
  <si>
    <t>2022-08-15 10:33:35</t>
  </si>
  <si>
    <t>brak odp.</t>
  </si>
  <si>
    <t>jednolite magisterkie</t>
  </si>
  <si>
    <t>Robotyka</t>
  </si>
  <si>
    <t>praca przed ukończeniem studió</t>
  </si>
  <si>
    <t>w pracy 10% wiedzy wykorzystanej</t>
  </si>
  <si>
    <t>dodatkowy kurs pedagogiczny dający możliwość uczenia w szkole</t>
  </si>
  <si>
    <t>Inżynieria maszyn i urządzeń (ISCED '11 - 52)</t>
  </si>
  <si>
    <t>zwiększona wiedza techniczna</t>
  </si>
  <si>
    <t>studia doktoranckie</t>
  </si>
  <si>
    <t>[03]</t>
  </si>
  <si>
    <t>2022-08-15 10:35:41</t>
  </si>
  <si>
    <t>2022-08-15 10:47:28</t>
  </si>
  <si>
    <t>umiejętności uczenia się, wnioskowania logicznego, tworzenia</t>
  </si>
  <si>
    <t>inżynieria maszyn i urządzeń (ISCED '11 - 52)</t>
  </si>
  <si>
    <t>wiedza teoretyczna, mało wiedzy praktycznej</t>
  </si>
  <si>
    <t>Informatyka - umiejętności zawodowe, uczenie się, kreatywność</t>
  </si>
  <si>
    <t>Informatyka, wsparcie techniczne</t>
  </si>
  <si>
    <t>Kontakt z ludźmi, wiedza o zarządzaniu, uczenie się, kreatywność</t>
  </si>
  <si>
    <t>Wdrażanie, sprzedaż, marketing</t>
  </si>
  <si>
    <t>Podyplomowe - Zarządzanie</t>
  </si>
  <si>
    <t>[A01]</t>
  </si>
  <si>
    <t>2022-08-15 10:49:03</t>
  </si>
  <si>
    <t>2022-08-15 10:59:19</t>
  </si>
  <si>
    <t>Historia</t>
  </si>
  <si>
    <t>poszerzenie horyzontów, kontakt ze środowiskiem zawodowym</t>
  </si>
  <si>
    <t>kształtowanie poglądów; kontakty w środowisku zawodowym</t>
  </si>
  <si>
    <t>Podyplomowe - logopedia</t>
  </si>
  <si>
    <t>Rada gminy Czersk</t>
  </si>
  <si>
    <t>[A02]</t>
  </si>
  <si>
    <t>Kolumna1</t>
  </si>
  <si>
    <t>Kolumna2</t>
  </si>
  <si>
    <t>Kolumna3</t>
  </si>
  <si>
    <t>Kolumna4</t>
  </si>
  <si>
    <t>Kolumna5</t>
  </si>
  <si>
    <t>Kolumna6</t>
  </si>
  <si>
    <t>Usługi edukacyjne ocenianej uczelni mają wysoką wartość (okazja / szansa rozwoju własnego lub kariery).3</t>
  </si>
  <si>
    <t>w pierwszym roku po ukończeniu studiów : wybierz wartość z listy rozwijanej4</t>
  </si>
  <si>
    <t>w 3 lata po ukończeniu studiów : wybierz wartość z listy rozwijanej5</t>
  </si>
  <si>
    <t>Pole dodatkowe7</t>
  </si>
  <si>
    <t>Moja satysfakcja z (efektów) usług edukacyjnych ocenianej uczelni jest wysoka.8</t>
  </si>
  <si>
    <t>Usługi edukacyjne ocenianej uczelni mają wysoką wartość (okazja / szansa rozwoju własnego lub kariery).9</t>
  </si>
  <si>
    <t>Pole dodatkowe10</t>
  </si>
  <si>
    <t>Jak się nazywa uczelnia, którą ukończył/a Twoja/Twój podopieczna/podopieczny? (proszę o wybranie jednej uczelni podlegającej ocenie)11</t>
  </si>
  <si>
    <t>W którym roku Twoja/Twój podopieczna/y ukończył/a studia (rok w którym uzyskano dyplom ukończenia studiów drugiego stopnia, albo pierwszego stopnia, jeśli nie uzyskano dyplomu 2. stopnia)?12</t>
  </si>
  <si>
    <t>Czy ukończony kierunek był kierunkiem technicznym, tzn. takim, po którym uzyskano tytuł inżyniera?13</t>
  </si>
  <si>
    <t>Jak się nazywa kierunek, który ukończył/a Twoja/Twój podopieczna/podopieczny?14</t>
  </si>
  <si>
    <t>Moja satysfakcja z (efektów) usług edukacyjnych ocenianej uczelni jest wysoka.15</t>
  </si>
  <si>
    <t>Usługi edukacyjne ocenianej uczelni mają wysoką wartość (okazja / szansa rozwoju własnego lub kariery).16</t>
  </si>
  <si>
    <t>Kształcenie na ocenianej uczelni ma/będzie miało pozytywny wpływ na zwiększenie zarobków mojej/mojego podopiecznej/podopiecznego.17</t>
  </si>
  <si>
    <t>Zarobki uzyskiwane przez mojego/moją podopieczną/podopiecznego w pierwszym roku po ukończeniu studiów były satysfakcjonujące (z mojego punktu widzenia)18</t>
  </si>
  <si>
    <t>Zarobki uzyskiwane przez mojego/moją podopieczną/podopiecznego w 3 lata po ukończeniu studiów były satysfakcjonujące (z mojego punktu widzenia)19</t>
  </si>
  <si>
    <t>W ile miesięcy po ukończeniu studiów Twoja/Twój podopieczna/podopieczny uzyskał/a zatrudnienie? Proszę podać liczbę miesięcy lub wpisać inną opcję (np. praca przed ukończeniem studiów; założenie własnej firmy; nie zamierzam pracować)20</t>
  </si>
  <si>
    <t>Jakie inne (poza zarobkami) efekty kształcenia na ocenianej uczelni się dostrzegasz obecnie?21</t>
  </si>
  <si>
    <t>Jakiego rodzaju były studia, które ukończył/a Twoja/Twój podopieczna/podopieczny?22</t>
  </si>
  <si>
    <t>Pole dodatkowe23</t>
  </si>
  <si>
    <t>Jeśli Twoja/Twój podopieczna/podopieczny ukończył/a również inne szkoły / kierunki studiów to proszę wpisz je tutaj.24</t>
  </si>
  <si>
    <t>Jak się nazywa uczelnia, którą ukończył/a Twoja/Twój podopieczna/podopieczny? (proszę o wybranie jednej uczelni podlegającej ocenie)25</t>
  </si>
  <si>
    <t>W którym roku Twoja/Twój podopieczna/y ukończył/a studia (rok w którym uzyskano dyplom ukończenia studiów drugiego stopnia, albo pierwszego stopnia, jeśli nie uzyskano dyplomu 2. stopnia)?26</t>
  </si>
  <si>
    <t>Czy ukończony kierunek był kierunkiem technicznym, tzn. takim, po którym uzyskano tytuł inżyniera?27</t>
  </si>
  <si>
    <t>Jak się nazywa kierunek, który ukończył/a Twoja/Twój podopieczna/podopieczny?28</t>
  </si>
  <si>
    <t>Moja satysfakcja z (efektów) usług edukacyjnych ocenianej uczelni jest wysoka.29</t>
  </si>
  <si>
    <t>Usługi edukacyjne ocenianej uczelni mają wysoką wartość (okazja / szansa rozwoju własnego lub kariery).30</t>
  </si>
  <si>
    <t>Kształcenie na ocenianej uczelni ma/będzie miało pozytywny wpływ na zwiększenie zarobków mojej/mojego podopiecznej/podopiecznego.31</t>
  </si>
  <si>
    <t>Zarobki uzyskiwane przez mojego/moją podopieczną/podopiecznego w pierwszym roku po ukończeniu studiów były satysfakcjonujące (z mojego punktu widzenia)32</t>
  </si>
  <si>
    <t>Zarobki uzyskiwane przez mojego/moją podopieczną/podopiecznego w 3 lata po ukończeniu studiów były satysfakcjonujące (z mojego punktu widzenia)33</t>
  </si>
  <si>
    <t>W ile miesięcy po ukończeniu studiów Twoja/Twój podopieczna/podopieczny uzyskał/a zatrudnienie? Proszę podać liczbę miesięcy lub wpisać inną opcję (np. praca przed ukończeniem studiów; założenie własnej firmy; nie zamierzam pracować)34</t>
  </si>
  <si>
    <t>Jakie inne (poza zarobkami) efekty kształcenia na ocenianej uczelni się dostrzegasz obecnie?35</t>
  </si>
  <si>
    <t>Jakiego rodzaju były studia, które ukończył/a Twoja/Twój podopieczna/podopieczny?36</t>
  </si>
  <si>
    <t>Pole dodatkowe37</t>
  </si>
  <si>
    <t>Jeśli Twoja/Twój podopieczna/podopieczny ukończył/a również inne szkoły / kierunki studiów to proszę wpisz je tutaj.38</t>
  </si>
  <si>
    <t>Jakie inne (poza zarobkami) efekty kształcenia na ocenianej uczelni się dostrzegasz obecnie?39</t>
  </si>
  <si>
    <t>Jak się nazywa uczelnia, na której pracujesz? (proszę o wybranie jednej uczelni podlegającej ocenie)40</t>
  </si>
  <si>
    <t>Na jakim wydziale pracujesz?41</t>
  </si>
  <si>
    <t>Moja satysfakcja z pracy na ocenianej uczelni jest wysoka.42</t>
  </si>
  <si>
    <t>Atmosfera w zespole współpracowników jest dobra.43</t>
  </si>
  <si>
    <t>Moje zarobki są satysfakcjonujące.44</t>
  </si>
  <si>
    <t>Praca na ocenianej uczelni daje mi duże szanse rozwoju.45</t>
  </si>
  <si>
    <t>Wartość wykształcenia zdobywanego przez studentów ocenianej uczelni jest wysoka.46</t>
  </si>
  <si>
    <t>Zdobyte na ocenianej uczelni wykształcenie ma pozytywny wpływ na zwiększenie zarobków absolwentów.47</t>
  </si>
  <si>
    <t>Jakie inne (poza zarobkami) efekty kształcenia na ocenianej uczelni dostrzegasz obecnie?48</t>
  </si>
  <si>
    <t>Pole dodatkowe4</t>
  </si>
  <si>
    <t>Studenci : wybierz wartość z listy rozwijanej5</t>
  </si>
  <si>
    <t>Absolwenci : wybierz wartość z listy rozwijanej6</t>
  </si>
  <si>
    <t>Rodzice absolwentów : wybierz wartość z listy rozwijanej7</t>
  </si>
  <si>
    <t>Pracownicy administracyjni : wybierz wartość z listy rozwijanej8</t>
  </si>
  <si>
    <t>Pracownicy naukowi i dydaktyczni : wybierz wartość z listy rozwijanej9</t>
  </si>
  <si>
    <t>Pracodawcy : wybierz wartość z listy rozwijanej10</t>
  </si>
  <si>
    <t>Władze samorządowe i centralne : wybierz wartość z listy rozwijanej11</t>
  </si>
  <si>
    <t>Pole dodatkowe12</t>
  </si>
  <si>
    <t>Jak się nazywa uczelnia, którą ocenisz? 13</t>
  </si>
  <si>
    <t>Moja satysfakcja z (efektów) usług edukacyjnych na ocenianej uczelni jest wysoka.14</t>
  </si>
  <si>
    <t>Kompetencje absolwentów ocenianej uczelni są wysokie.15</t>
  </si>
  <si>
    <t>Zarobki absolwentów ocenianej uczelni zatrudnionych w mojej firmie są wyższe od zarobków absolwentów innych polskich uczelni.16</t>
  </si>
  <si>
    <t>Czy w Twojej firmie są zatrudniani absolwenci uczelni w pierwszym roku po ukończeniu studiów (do 12 miesięcy od uzyskania dyplomu)?17</t>
  </si>
  <si>
    <t>Jakie kompetencje absolwentów ocenianej uczelni są w Twojej firmie najwyżej wyceniane?18</t>
  </si>
  <si>
    <t>Jakiego rodzaju prace wykonują absolwenci ocenianej uczelni w Twojej firmie?19</t>
  </si>
  <si>
    <t>Jak się nazywa uczelnia, którą ocenisz? 20</t>
  </si>
  <si>
    <t>Moja satysfakcja z (efektów) usług edukacyjnych na ocenianej uczelni jest wysoka.21</t>
  </si>
  <si>
    <t>Kompetencje absolwentów ocenianej uczelni są wysokie.22</t>
  </si>
  <si>
    <t>Zarobki absolwentów ocenianej uczelni zatrudnionych w mojej firmie są wyższe od zarobków absolwentów innych polskich uczelni.23</t>
  </si>
  <si>
    <t>Czy w Twojej firmie są zatrudniani absolwenci uczelni w pierwszym roku po ukończeniu studiów (do 12 miesięcy od uzyskania dyplomu)?24</t>
  </si>
  <si>
    <t>Jakie kompetencje absolwentów ocenianej uczelni są w Twojej firmie najwyżej wyceniane?25</t>
  </si>
  <si>
    <t>Ile uczelni będziesz oceniać?26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</si>
  <si>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</si>
  <si>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</si>
  <si>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</si>
  <si>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</si>
  <si>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</si>
  <si>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</si>
  <si>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Pole dodatkowe33</t>
  </si>
  <si>
    <t>Jak się nazywa uczelnia, którą ocenisz?34</t>
  </si>
  <si>
    <t>Efekty działań ocenianej uczelni na rzesz jakości edukacji są zgodne ze strategią rozwoju w regionie.35</t>
  </si>
  <si>
    <t>Wartość wykształcenia zdobywanego przez studentów na ocenianej uczelni jest wysoka.36</t>
  </si>
  <si>
    <t>Zdobyte przez studentów ocenianej uczelni wykształcenie miało/ma pozytywny wpływ na ich zarobki.37</t>
  </si>
  <si>
    <t>Efekty działań ocenianej uczelni na rzecz jakości edukacji mają dobry wpływ na rozwój regionu.38</t>
  </si>
  <si>
    <t>Efekty działań ocenianej uczelni na rzecz jakości edukacji mają dobry wpływ na rozwój Polski.39</t>
  </si>
  <si>
    <t>Współpraca ocenianej uczelni z biznesem ma pozytywne efekty dla rozwoju regionu / kraju.40</t>
  </si>
  <si>
    <t>Ogólny poziom mojej satysfakcji z jakości usług edukacyjnych ocenianej uczelni jest wysoki.41</t>
  </si>
  <si>
    <t>Jak się nazywa uczelnia, którą ocenisz?42</t>
  </si>
  <si>
    <t>Efekty działań ocenianej uczelni na rzesz jakości edukacji są zgodne ze strategią rozwoju w regionie.43</t>
  </si>
  <si>
    <t>Wartość wykształcenia zdobywanego przez studentów na ocenianej uczelni jest wysoka.44</t>
  </si>
  <si>
    <t>Zdobyte przez studentów ocenianej uczelni wykształcenie miało/ma pozytywny wpływ na ich zarobki.45</t>
  </si>
  <si>
    <t>Efekty działań ocenianej uczelni na rzecz jakości edukacji mają dobry wpływ na rozwój regionu.46</t>
  </si>
  <si>
    <t>Efekty działań ocenianej uczelni na rzecz jakości edukacji mają dobry wpływ na rozwój Polski.47</t>
  </si>
  <si>
    <t>Współpraca ocenianej uczelni z biznesem ma pozytywne efekty dla rozwoju regionu / kraju.48</t>
  </si>
  <si>
    <t>Ogólny poziom mojej satysfakcji z jakości usług edukacyjnych ocenianej uczelni jest wysoki.49</t>
  </si>
  <si>
    <t>Jakie inne efekty pracy ocenianej uczelni dostrzegasz obecnie?50</t>
  </si>
  <si>
    <t>Kolumna51</t>
  </si>
  <si>
    <t>Kolumna52</t>
  </si>
  <si>
    <t>Pole dodatkowe52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</si>
  <si>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</si>
  <si>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</si>
  <si>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</si>
  <si>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</si>
  <si>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</si>
  <si>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</si>
  <si>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</si>
  <si>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</si>
  <si>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</si>
  <si>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</si>
  <si>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</si>
  <si>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</si>
  <si>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</si>
  <si>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</si>
  <si>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</si>
  <si>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</si>
  <si>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</si>
  <si>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</si>
  <si>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</si>
  <si>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</si>
  <si>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</si>
  <si>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</si>
  <si>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</si>
  <si>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</si>
  <si>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</si>
  <si>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</si>
  <si>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</si>
  <si>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</si>
  <si>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</si>
  <si>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</si>
  <si>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</si>
  <si>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</si>
  <si>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</si>
  <si>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</si>
  <si>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</si>
  <si>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</si>
  <si>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</si>
  <si>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</si>
  <si>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</si>
  <si>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</si>
  <si>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</si>
  <si>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</si>
  <si>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</si>
  <si>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</si>
  <si>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</si>
  <si>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Kolumna48</t>
  </si>
  <si>
    <t>Kolumna49</t>
  </si>
  <si>
    <t>Kolumna50</t>
  </si>
  <si>
    <t>Pole dodatkowe51</t>
  </si>
  <si>
    <t>Studenci : wybierz wartość z listy rozwijanej52</t>
  </si>
  <si>
    <t>Absolwenci : wybierz wartość z listy rozwijanej53</t>
  </si>
  <si>
    <t>Rodzice absolwentów : wybierz wartość z listy rozwijanej54</t>
  </si>
  <si>
    <t>Pracownicy administracyjni : wybierz wartość z listy rozwijanej55</t>
  </si>
  <si>
    <t>Pracownicy naukowi i dydaktyczni : wybierz wartość z listy rozwijanej56</t>
  </si>
  <si>
    <t>Pracodawcy : wybierz wartość z listy rozwijanej57</t>
  </si>
  <si>
    <t>Władze samorządowe i centralne : wybierz wartość z listy rozwijanej58</t>
  </si>
  <si>
    <t>Pole dodatkowe59</t>
  </si>
  <si>
    <t>Jak się nazywa uczelnia, którą ocenisz? 60</t>
  </si>
  <si>
    <t>Moja satysfakcja z (efektów) usług edukacyjnych na ocenianej uczelni jest wysoka.61</t>
  </si>
  <si>
    <t>Kompetencje absolwentów ocenianej uczelni są wysokie.62</t>
  </si>
  <si>
    <t>Zarobki absolwentów ocenianej uczelni zatrudnionych w mojej firmie są wyższe od zarobków absolwentów innych polskich uczelni.63</t>
  </si>
  <si>
    <t>Czy w Twojej firmie są zatrudniani absolwenci uczelni w pierwszym roku po ukończeniu studiów (do 12 miesięcy od uzyskania dyplomu)?64</t>
  </si>
  <si>
    <t>Jakie kompetencje absolwentów ocenianej uczelni są w Twojej firmie najwyżej wyceniane?65</t>
  </si>
  <si>
    <t>Jakiego rodzaju prace wykonują absolwenci ocenianej uczelni w Twojej firmie?66</t>
  </si>
  <si>
    <t>Jak się nazywa uczelnia, którą ocenisz? 67</t>
  </si>
  <si>
    <t>Moja satysfakcja z (efektów) usług edukacyjnych na ocenianej uczelni jest wysoka.68</t>
  </si>
  <si>
    <t>Kompetencje absolwentów ocenianej uczelni są wysokie.69</t>
  </si>
  <si>
    <t>Zarobki absolwentów ocenianej uczelni zatrudnionych w mojej firmie są wyższe od zarobków absolwentów innych polskich uczelni.70</t>
  </si>
  <si>
    <t>Czy w Twojej firmie są zatrudniani absolwenci uczelni w pierwszym roku po ukończeniu studiów (do 12 miesięcy od uzyskania dyplomu)?71</t>
  </si>
  <si>
    <t>Jakie kompetencje absolwentów ocenianej uczelni są w Twojej firmie najwyżej wyceniane?72</t>
  </si>
  <si>
    <t>Ile uczelni będziesz oceniać?73</t>
  </si>
  <si>
    <t>Wartość wykształcenia zdobywanego przez studentów na ocenianej uczelni jest wysoka.74</t>
  </si>
  <si>
    <t>Zdobyte przez studentów ocenianej uczelni wykształcenie miało/ma pozytywny wpływ na ich zarobki.75</t>
  </si>
  <si>
    <t>Efekty działań ocenianej uczelni na rzecz jakości edukacji mają dobry wpływ na rozwój regionu.76</t>
  </si>
  <si>
    <t>Efekty działań ocenianej uczelni na rzecz jakości edukacji mają dobry wpływ na rozwój Polski.77</t>
  </si>
  <si>
    <t>Współpraca ocenianej uczelni z biznesem ma pozytywne efekty dla rozwoju regionu / kraju.78</t>
  </si>
  <si>
    <t>Ogólny poziom mojej satysfakcji z jakości usług edukacyjnych ocenianej uczelni jest wysoki.79</t>
  </si>
  <si>
    <t>Pole dodatkowe80</t>
  </si>
  <si>
    <t>Jak się nazywa uczelnia, którą ocenisz?81</t>
  </si>
  <si>
    <t>Efekty działań ocenianej uczelni na rzesz jakości edukacji są zgodne ze strategią rozwoju w regionie.82</t>
  </si>
  <si>
    <t>Wartość wykształcenia zdobywanego przez studentów na ocenianej uczelni jest wysoka.83</t>
  </si>
  <si>
    <t>Zdobyte przez studentów ocenianej uczelni wykształcenie miało/ma pozytywny wpływ na ich zarobki.84</t>
  </si>
  <si>
    <t>Efekty działań ocenianej uczelni na rzecz jakości edukacji mają dobry wpływ na rozwój regionu.85</t>
  </si>
  <si>
    <t>Efekty działań ocenianej uczelni na rzecz jakości edukacji mają dobry wpływ na rozwój Polski.86</t>
  </si>
  <si>
    <t>Współpraca ocenianej uczelni z biznesem ma pozytywne efekty dla rozwoju regionu / kraju.87</t>
  </si>
  <si>
    <t>Ogólny poziom mojej satysfakcji z jakości usług edukacyjnych ocenianej uczelni jest wysoki.88</t>
  </si>
  <si>
    <t>Jak się nazywa uczelnia, którą ocenisz?89</t>
  </si>
  <si>
    <t>Efekty działań ocenianej uczelni na rzesz jakości edukacji są zgodne ze strategią rozwoju w regionie.90</t>
  </si>
  <si>
    <t>Wartość wykształcenia zdobywanego przez studentów na ocenianej uczelni jest wysoka.91</t>
  </si>
  <si>
    <t>Zdobyte przez studentów ocenianej uczelni wykształcenie miało/ma pozytywny wpływ na ich zarobki.92</t>
  </si>
  <si>
    <t>Efekty działań ocenianej uczelni na rzecz jakości edukacji mają dobry wpływ na rozwój regionu.93</t>
  </si>
  <si>
    <t>Efekty działań ocenianej uczelni na rzecz jakości edukacji mają dobry wpływ na rozwój Polski.94</t>
  </si>
  <si>
    <t>Współpraca ocenianej uczelni z biznesem ma pozytywne efekty dla rozwoju regionu / kraju.95</t>
  </si>
  <si>
    <t>Ogólny poziom mojej satysfakcji z jakości usług edukacyjnych ocenianej uczelni jest wysoki.96</t>
  </si>
  <si>
    <t>Jakie inne efekty pracy ocenianej uczelni dostrzegasz obecnie?97</t>
  </si>
  <si>
    <t>Kolumna98</t>
  </si>
  <si>
    <t>Kolumna99</t>
  </si>
  <si>
    <t>Pole dodatkowe100</t>
  </si>
  <si>
    <t>ID_zakończone</t>
  </si>
  <si>
    <t>Jakie elementy lub cechy sprawiały, że Tobie studiowało się dobrze?</t>
  </si>
  <si>
    <t>Jakie elementy lub cechy sprawiały, że Tobie studiowało się źle?</t>
  </si>
  <si>
    <t>ILE niepustych</t>
  </si>
  <si>
    <t>Akademia Sztuk Pięknych we Wrocławiu</t>
  </si>
  <si>
    <t>Akademia Sztuk Pięknych w Łodzi</t>
  </si>
  <si>
    <t>Akademia Nauk Stosowanych w Elblągu</t>
  </si>
  <si>
    <t>Uniwersytet Adama Mickiewicza w Poznaniu</t>
  </si>
  <si>
    <t>Uniwersytet Kardynała Stefana Wyszyńskiego w Warszawie</t>
  </si>
  <si>
    <t>Zarządzanie i Marketing</t>
  </si>
  <si>
    <t>Malarstwa i Rzeźby</t>
  </si>
  <si>
    <t>ASP w Gdańsku</t>
  </si>
  <si>
    <t>Architektura i Wzornictwo</t>
  </si>
  <si>
    <t>Wydział Elektroniki Telekomunikacji i Informatyki</t>
  </si>
  <si>
    <t>(Wszystko)</t>
  </si>
  <si>
    <t>Etykiety wierszy</t>
  </si>
  <si>
    <t>Suma końcowa</t>
  </si>
  <si>
    <t>Liczba z Czy jesteś absolwentem uczelni wyższej?</t>
  </si>
  <si>
    <t>(puste)</t>
  </si>
  <si>
    <t>Liczba z Czy jesteś studentem uczelni wyższej?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</si>
  <si>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</si>
  <si>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</si>
  <si>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</si>
  <si>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Etykiety kolumn</t>
  </si>
  <si>
    <t>Wartości</t>
  </si>
  <si>
    <t>Liczba z Czy jesteś przedstawicielem władz uczelni z grupy rektorów, prorektorów, dziekanów, prodziekanów, członków senatu lub członków rady uczelni?</t>
  </si>
  <si>
    <t>Liczba z Czy jesteś przedstawicielem władz samorządowych lub centralnych Rzeczypospolitej Polskiej?</t>
  </si>
  <si>
    <t>Liczba z Czy jesteś przedstawicielem firmy, w której są zatrudniani absolwenci uczelni wyższych (tytuł licencjata, magistra lub wyższy)?</t>
  </si>
  <si>
    <t>TAK</t>
  </si>
  <si>
    <t>NIE</t>
  </si>
  <si>
    <t>PUSTE</t>
  </si>
  <si>
    <t>Absolwenci: Liczba respondentów przynależących do grupy interesariuszy</t>
  </si>
  <si>
    <t>Studenci</t>
  </si>
  <si>
    <t>Absolwenci</t>
  </si>
  <si>
    <t>Rodzice / opiekunowie</t>
  </si>
  <si>
    <t>Pracownicy administracyjni</t>
  </si>
  <si>
    <t>Pracownicy naukowi lub dydaktyczni</t>
  </si>
  <si>
    <t>Władze uczelni</t>
  </si>
  <si>
    <t>Przedsiębiorcy</t>
  </si>
  <si>
    <t>Władze samorządowe</t>
  </si>
  <si>
    <t>N (łącznie respondentów)</t>
  </si>
  <si>
    <t>udział ról wśród respondentów</t>
  </si>
  <si>
    <t>suma kontrolna</t>
  </si>
  <si>
    <r>
      <t>N</t>
    </r>
    <r>
      <rPr>
        <b/>
        <vertAlign val="subscript"/>
        <sz val="11"/>
        <color rgb="FF000000"/>
        <rFont val="Calibri"/>
        <family val="2"/>
        <charset val="238"/>
      </rPr>
      <t>abs</t>
    </r>
    <r>
      <rPr>
        <b/>
        <sz val="11"/>
        <color rgb="FF000000"/>
        <rFont val="Calibri"/>
        <family val="2"/>
        <charset val="238"/>
      </rPr>
      <t>(łącznie respondentó będących absolwentami)</t>
    </r>
  </si>
  <si>
    <t>Udział absolwentów wśród pozostałych ról</t>
  </si>
  <si>
    <t>nie powinno się sumować do 100%!</t>
  </si>
  <si>
    <t>Absolwenci: Podział respondentów wg płci</t>
  </si>
  <si>
    <t>Absolwenci: Podział respondentów wg grup wiekowych</t>
  </si>
  <si>
    <t>Kategorie wiekowe</t>
  </si>
  <si>
    <t>poniżej 26 lat</t>
  </si>
  <si>
    <t>26-35 lat</t>
  </si>
  <si>
    <t>36-45 lat</t>
  </si>
  <si>
    <t>46-55 lat</t>
  </si>
  <si>
    <t>56-65 lat</t>
  </si>
  <si>
    <t>powyżej 65 lat</t>
  </si>
  <si>
    <t>Wiek</t>
  </si>
  <si>
    <t>GrupaWiekowa</t>
  </si>
  <si>
    <t>udział %</t>
  </si>
  <si>
    <t>Politechnika Krakowska</t>
  </si>
  <si>
    <t>Nazwa uczelni</t>
  </si>
  <si>
    <t>Absolwenci: podział respondentów wg ukończonych uczelni (ocenianych)</t>
  </si>
  <si>
    <t>Publiczna</t>
  </si>
  <si>
    <t>Zagraniczna</t>
  </si>
  <si>
    <t>Niepubliczna</t>
  </si>
  <si>
    <t>Kategoria uczelni</t>
  </si>
  <si>
    <t>KategoriaUczelni</t>
  </si>
  <si>
    <t>Rodzaj uczelni</t>
  </si>
  <si>
    <t>Absolwenci: podział respondentów wg rodzaju uczelni</t>
  </si>
  <si>
    <t>Skala Likerta</t>
  </si>
  <si>
    <t>N/D</t>
  </si>
  <si>
    <t>Opis słowny oceny</t>
  </si>
  <si>
    <t>Przypisana wartość oceny</t>
  </si>
  <si>
    <t>Liczba respondentów badania ilościowego przynależących do grupy interesariuszy</t>
  </si>
  <si>
    <t>Udział %</t>
  </si>
  <si>
    <t>Interesariusze: Podział respondentów wg płci</t>
  </si>
  <si>
    <t>Interesariusze: Podział respondentów wg grup wiekowych</t>
  </si>
  <si>
    <t>B/D</t>
  </si>
  <si>
    <t>Liczba rozpoczętych ankiet: 259</t>
  </si>
  <si>
    <t>Liczba zakończonych ankiet: 138</t>
  </si>
  <si>
    <t>Liczba respondentów ankiet zakończonych: 133</t>
  </si>
  <si>
    <t>Liczba respondentów ankiet rozpoczętych: 249 (ankiety rozpoczęte z odpowiedziami wskazującymi na osoby pełnoletnie, należące do co najmniej jednej grupy interesriuszy)</t>
  </si>
  <si>
    <t>Proporcja</t>
  </si>
  <si>
    <t>Interesariusze: Podział respondentów wg kategorii wielkości i rodzaju miejscowości pochodzenia</t>
  </si>
  <si>
    <t xml:space="preserve">Liczba ankiet rozpoczętych: </t>
  </si>
  <si>
    <t>Liczba ankiet zakończonych:</t>
  </si>
  <si>
    <t>Liczba respondentów z rozpoczętym badaniem</t>
  </si>
  <si>
    <t>Liczba respondentów z zakończonym badaniem</t>
  </si>
  <si>
    <t>Udział wybranych grup interesariuszy w badaniu kwestionariuszowym wśród grupy absolwentów</t>
  </si>
  <si>
    <t>Studenci: Moja satysfakcja z usług edukacyjnych ocenianej uczelni jest wysoka.</t>
  </si>
  <si>
    <t>liczba odpowiedzi</t>
  </si>
  <si>
    <t>wariancja</t>
  </si>
  <si>
    <t>Absolwenci: Moja satysfakcja z (efektów) usług edukacyjnych ocenianej uczelni jest wysoka.</t>
  </si>
  <si>
    <t>Suma kontrolna</t>
  </si>
  <si>
    <t>Suma do średniej</t>
  </si>
  <si>
    <t>średnia</t>
  </si>
  <si>
    <t>Rodzice: Moja satysfakcja z (efektów) usług edukacyjnych ocenianej uczelni jest wysoka.8</t>
  </si>
  <si>
    <t>Pracownicy administracyjni: Moja satysfakcja z pracy na ocenianej uczelni jest wysoka.</t>
  </si>
  <si>
    <t>Pracownicy naukowi lub dydaktyczni: Moja satysfakcja z pracy na ocenianej uczelni jest wysoka.42</t>
  </si>
  <si>
    <t>Władze uczelni: Efekty działań ocenianej uczelni na rzesz jakości edukacji są dobre</t>
  </si>
  <si>
    <t>Przedsiębiorcy: Moja satysfakcja z (efektów) usług edukacyjnych na ocenianej uczelni jest wysoka.</t>
  </si>
  <si>
    <t>Władze samorządowe: Efekty działań ocenianej uczelni na rzesz jakości edukacji są zgodne ze strategią rozwoju w regionie.</t>
  </si>
  <si>
    <t>Studenci: Usługi edukacyjne ocenianej uczelni mają wysoką wartość (okazja / szansa rozwoju własnego lub kariery).</t>
  </si>
  <si>
    <t>Studenci: Kształcenie na ocenianej uczelni ma/będzie miało pozytywny wpływ na zwiększenie moich zarobków.</t>
  </si>
  <si>
    <t>kwadrat odchyleń od średniej</t>
  </si>
  <si>
    <t>suma kwadratów odchyleń</t>
  </si>
  <si>
    <t>ochylenie standardowe</t>
  </si>
  <si>
    <t>Absolwenci: Usługi edukacyjne ocenianej uczelni mają wysoką wartość (okazja / szansa rozwoju własnego lub kariery).3</t>
  </si>
  <si>
    <t>Absolwenci: Kształcenie na ocenianej uczelni ma/miało pozytywny wpływ na zwiększenie moich zarobków.</t>
  </si>
  <si>
    <t>Rodzice: Usługi edukacyjne ocenianej uczelni mają wysoką wartość (okazja / szansa rozwoju własnego lub kariery).9</t>
  </si>
  <si>
    <t>liczba odpowiedzi 1 podopieczny</t>
  </si>
  <si>
    <t>liczba odpowiedzi 2 podopieczny</t>
  </si>
  <si>
    <t>liczba odpowiedzi 3 podopieczny</t>
  </si>
  <si>
    <t>dla 1.podopiecznego</t>
  </si>
  <si>
    <t>dla 2. podopiecznego</t>
  </si>
  <si>
    <t>dla 3. podopiecznego</t>
  </si>
  <si>
    <t>łącznie</t>
  </si>
  <si>
    <t>łącznie liczba odpowiedzi</t>
  </si>
  <si>
    <t>Rodzice: Kształcenie na ocenianej uczelni ma/będzie miało pozytywny wpływ na zwiększenie zarobków mojej/mojego podopiecznej/podopiecznego.</t>
  </si>
  <si>
    <t>Pracownicy administracyjni: Atmosfera w zespole współpracowników jest dobra.</t>
  </si>
  <si>
    <t>Pracownicy administracyjni: Moje zarobki są satysfakcjonujące.</t>
  </si>
  <si>
    <t>Pracownicy administracyjni: Praca na ocenianej uczelni daje mi duże szanse rozwoju.</t>
  </si>
  <si>
    <t>Pracownicy naukowi lub dydaktyczni: Atmosfera w zespole współpracowników jest dobra.43</t>
  </si>
  <si>
    <t>Pracownicy naukowi lub dydaktyczni: Moje zarobki są satysfakcjonujące.44</t>
  </si>
  <si>
    <t>Pracownicy naukowi lub dydaktyczni: Praca na ocenianej uczelni daje mi duże szanse rozwoju.45</t>
  </si>
  <si>
    <t>Pracownicy naukowi lub dydaktyczni: Wartość wykształcenia zdobywanego przez studentów ocenianej uczelni jest wysoka.46</t>
  </si>
  <si>
    <t>Pracownicy naukowi lub dydaktyczni: Zdobyte na ocenianej uczelni wykształcenie ma pozytywny wpływ na zwiększenie zarobków absolwentów.47</t>
  </si>
  <si>
    <t>Władze uczelni: Ogólny poziom mojej satysfakcji z jakości usług edukacyjnych ocenianej uczelni jest wysoki.</t>
  </si>
  <si>
    <t>Władze uczelni: Wartość wykształcenia zdobywanego przez studentów na ocenianej uczelni jest wysoka.</t>
  </si>
  <si>
    <t>Władze uczelni: Zdobyte przez studentów ocenianej uczelni wykształcenie miało/ma pozytywny wpływ na ich zarobki.</t>
  </si>
  <si>
    <t>Władze uczelni: Efekty działań ocenianej uczelni na rzecz jakości edukacji mają dobry wpływ na rozwój regionu.</t>
  </si>
  <si>
    <t>Władze uczelni: Efekty działań ocenianej uczelni na rzecz jakości edukacji mają dobry wpływ na rozwój Polski.</t>
  </si>
  <si>
    <t>Władze uczelni: Współpraca ocenianej uczelni z biznesem ma pozytywne efekty dla rozwoju regionu / kraju.</t>
  </si>
  <si>
    <t>liczba odpowiedzi 1 uczelnia</t>
  </si>
  <si>
    <t>liczba odpowiedzi 2 uczelnia</t>
  </si>
  <si>
    <t>liczba odpowiedzi 3 uczelnia</t>
  </si>
  <si>
    <t>dla 1. uczelni</t>
  </si>
  <si>
    <t>dla 2. uczelni</t>
  </si>
  <si>
    <t>dla 3. uczelni</t>
  </si>
  <si>
    <t>Przedsiębiorcy: Kompetencje absolwentów ocenianej uczelni są wysokie.</t>
  </si>
  <si>
    <t>Przedsiębiorcy: Zarobki absolwentów ocenianej uczelni zatrudnionych w mojej firmie są wyższe od zarobków absolwentów innych polskich uczelni.</t>
  </si>
  <si>
    <t>Władze samorządowe: Wartość wykształcenia zdobywanego przez studentów na ocenianej uczelni jest wysoka.27</t>
  </si>
  <si>
    <t>Władze samorządowe: Zdobyte przez studentów ocenianej uczelni wykształcenie miało/ma pozytywny wpływ na ich zarobki.28</t>
  </si>
  <si>
    <t>Władze samorządowe: Efekty działań ocenianej uczelni na rzecz jakości edukacji mają dobry wpływ na rozwój regionu.29</t>
  </si>
  <si>
    <t>Władze samorządowe: Efekty działań ocenianej uczelni na rzecz jakości edukacji mają dobry wpływ na rozwój Polski.30</t>
  </si>
  <si>
    <t>Władze samorządowe: Współpraca ocenianej uczelni z biznesem ma pozytywne efekty dla rozwoju regionu / kraju.31</t>
  </si>
  <si>
    <t>Władze samorządowe: Ogólny poziom mojej satysfakcji z jakości usług edukacyjnych ocenianej uczelni jest wysoki.32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</si>
</sst>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0"/>
      <name val="Calibri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i/>
      <strike/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2" fillId="0" borderId="0" xfId="1"/>
    <xf numFmtId="0" fontId="0" fillId="2" borderId="0" xfId="0" applyFill="1" applyAlignment="1">
      <alignment wrapText="1"/>
    </xf>
    <xf numFmtId="0" fontId="3" fillId="3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7" xfId="0" pivotButton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pivotButton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10" fontId="0" fillId="0" borderId="0" xfId="2" applyNumberFormat="1" applyFont="1"/>
    <xf numFmtId="2" fontId="8" fillId="0" borderId="0" xfId="2" applyNumberFormat="1" applyFont="1"/>
    <xf numFmtId="0" fontId="8" fillId="0" borderId="0" xfId="0" applyFont="1"/>
    <xf numFmtId="9" fontId="0" fillId="0" borderId="0" xfId="2" applyFont="1"/>
    <xf numFmtId="0" fontId="4" fillId="0" borderId="0" xfId="0" applyFont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1" fontId="0" fillId="0" borderId="0" xfId="0" applyNumberFormat="1"/>
    <xf numFmtId="0" fontId="11" fillId="4" borderId="15" xfId="0" applyFont="1" applyFill="1" applyBorder="1"/>
    <xf numFmtId="0" fontId="11" fillId="5" borderId="15" xfId="0" applyFont="1" applyFill="1" applyBorder="1"/>
    <xf numFmtId="164" fontId="0" fillId="0" borderId="0" xfId="0" applyNumberFormat="1"/>
  </cellXfs>
  <cellStyles count="3">
    <cellStyle name="Normalny" xfId="0" builtinId="0"/>
    <cellStyle name="Normalny 2" xfId="1" xr:uid="{B583D91A-72FD-4F8D-9274-2D4BD9705AA5}"/>
    <cellStyle name="Procentowy" xfId="2" builtinId="5"/>
  </cellStyles>
  <dxfs count="5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Zestawienia!$A$16</c:f>
              <c:strCache>
                <c:ptCount val="1"/>
                <c:pt idx="0">
                  <c:v>Liczba respondentów badania ilościowego przynależących do grupy interesariuszy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Zestawienia!$B$17:$B$24</c:f>
              <c:strCache>
                <c:ptCount val="8"/>
                <c:pt idx="0">
                  <c:v>Studenci</c:v>
                </c:pt>
                <c:pt idx="1">
                  <c:v>Absolwenci</c:v>
                </c:pt>
                <c:pt idx="2">
                  <c:v>Rodzice / opiekunowie</c:v>
                </c:pt>
                <c:pt idx="3">
                  <c:v>Pracownicy administracyjni</c:v>
                </c:pt>
                <c:pt idx="4">
                  <c:v>Pracownicy naukowi lub dydaktyczni</c:v>
                </c:pt>
                <c:pt idx="5">
                  <c:v>Władze uczelni</c:v>
                </c:pt>
                <c:pt idx="6">
                  <c:v>Przedsiębiorcy</c:v>
                </c:pt>
                <c:pt idx="7">
                  <c:v>Władze samorządowe</c:v>
                </c:pt>
              </c:strCache>
            </c:strRef>
          </c:cat>
          <c:val>
            <c:numRef>
              <c:f>Zestawienia!$A$17:$A$24</c:f>
              <c:numCache>
                <c:formatCode>General</c:formatCode>
                <c:ptCount val="8"/>
                <c:pt idx="0">
                  <c:v>14</c:v>
                </c:pt>
                <c:pt idx="1">
                  <c:v>120</c:v>
                </c:pt>
                <c:pt idx="2">
                  <c:v>17</c:v>
                </c:pt>
                <c:pt idx="3">
                  <c:v>4</c:v>
                </c:pt>
                <c:pt idx="4">
                  <c:v>16</c:v>
                </c:pt>
                <c:pt idx="5">
                  <c:v>5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6-487C-BDBD-7BC65A36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819544"/>
        <c:axId val="602821840"/>
      </c:barChart>
      <c:catAx>
        <c:axId val="60281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21840"/>
        <c:crosses val="autoZero"/>
        <c:auto val="1"/>
        <c:lblAlgn val="ctr"/>
        <c:lblOffset val="100"/>
        <c:noMultiLvlLbl val="0"/>
      </c:catAx>
      <c:valAx>
        <c:axId val="6028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Zestawienia!$C$133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Zestawienia!$A$134:$B$140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Zestawienia!$C$134:$C$140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45C5-BCDB-82DEEA7E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Zestawienia!$C$145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Zestawienia!$A$146:$B$152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Zestawienia!$C$146:$C$152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B52-8CF1-BB85B2E5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Zestawienia!$C$157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Zestawienia!$A$158:$B$164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Zestawienia!$C$158:$C$164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2-4604-9B75-064FDE01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Zestawienia!$C$171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Zestawienia!$A$172:$B$178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Zestawienia!$C$172:$C$178</c:f>
              <c:numCache>
                <c:formatCode>General</c:formatCode>
                <c:ptCount val="7"/>
                <c:pt idx="0">
                  <c:v>17</c:v>
                </c:pt>
                <c:pt idx="1">
                  <c:v>43</c:v>
                </c:pt>
                <c:pt idx="2">
                  <c:v>32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4235-BE0F-691EFA62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postrzegana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Zestawienia!$C$183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Zestawienia!$A$184:$B$190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Zestawienia!$C$184:$C$190</c:f>
              <c:numCache>
                <c:formatCode>General</c:formatCode>
                <c:ptCount val="7"/>
                <c:pt idx="0">
                  <c:v>19</c:v>
                </c:pt>
                <c:pt idx="1">
                  <c:v>34</c:v>
                </c:pt>
                <c:pt idx="2">
                  <c:v>32</c:v>
                </c:pt>
                <c:pt idx="3">
                  <c:v>18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B-4CFD-86AF-E0E1968A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Zestawienia!$C$195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Zestawienia!$A$196:$B$202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Zestawienia!$C$196:$C$202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27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CFC-86E2-05EF0341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Zestawienia!$C$207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Zestawienia!$A$208:$B$214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Zestawienia!$C$208:$C$214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D-40F6-8182-4EDA2149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postrzegana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Zestawienia!$C$219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Zestawienia!$A$220:$B$226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Zestawienia!$C$220:$C$226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1-4803-8B0E-52CA7DC5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Zestawienia!$C$231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Zestawienia!$A$232:$B$238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Zestawienia!$C$232:$C$238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9-46DD-8025-A678B226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administracyjni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Zestawienia!$C$246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Zestawienia!$A$247:$B$253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Zestawienia!$C$247:$C$253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4676-BC0F-53644AA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Zestawienia!$C$119</c:f>
              <c:strCache>
                <c:ptCount val="1"/>
                <c:pt idx="0">
                  <c:v>Udział %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C-4EB3-801A-57627A7E05BC}"/>
              </c:ext>
            </c:extLst>
          </c:dPt>
          <c:dPt>
            <c:idx val="1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C-4EB3-801A-57627A7E05B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C-4EB3-801A-57627A7E05BC}"/>
              </c:ext>
            </c:extLst>
          </c:dPt>
          <c:cat>
            <c:multiLvlStrRef>
              <c:f>Zestawienia!$A$120:$B$122</c:f>
              <c:multiLvlStrCache>
                <c:ptCount val="3"/>
                <c:lvl>
                  <c:pt idx="0">
                    <c:v>Publiczna</c:v>
                  </c:pt>
                  <c:pt idx="1">
                    <c:v>Niepubliczna</c:v>
                  </c:pt>
                  <c:pt idx="2">
                    <c:v>Zagraniczna</c:v>
                  </c:pt>
                </c:lvl>
                <c:lvl>
                  <c:pt idx="0">
                    <c:v>113</c:v>
                  </c:pt>
                  <c:pt idx="1">
                    <c:v>6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Zestawienia!$C$120:$C$122</c:f>
              <c:numCache>
                <c:formatCode>0.00%</c:formatCode>
                <c:ptCount val="3"/>
                <c:pt idx="0">
                  <c:v>0.94166666666666665</c:v>
                </c:pt>
                <c:pt idx="1">
                  <c:v>0.05</c:v>
                </c:pt>
                <c:pt idx="2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EB3-801A-57627A7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naukowi / dydaktyczni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Zestawienia!$C$318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Zestawienia!$A$319:$B$325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Zestawienia!$C$319:$C$325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4CA9-8626-1E16C061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atmosfera w zespole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Zestawienia!$C$330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Zestawienia!$A$331:$B$337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Zestawienia!$C$331:$C$337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AC1-A222-572DFC7D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zarobki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Zestawienia!$C$342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Zestawienia!$A$343:$B$349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Zestawienia!$C$343:$C$349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F-4F86-8947-6909ACAC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rozwój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Zestawienia!$C$354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Zestawienia!$A$355:$B$361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Zestawienia!$C$355:$C$361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266-8A90-53BD2869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wartość wykształcenia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Zestawienia!$C$366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Zestawienia!$A$367:$B$373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Zestawienia!$C$367:$C$373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C71-8742-2869E43B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Zestawienia!$C$378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Zestawienia!$A$379:$B$385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Zestawienia!$C$379:$C$385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0-412E-8DA7-22133529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Władze uczelni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Zestawienia!$C$390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Zestawienia!$A$391:$B$397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Zestawienia!$C$391:$C$397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B-45C1-803B-A34C3D4E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Zestawienia!$F$486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Zestawienia!$A$487:$B$493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Zestawienia!$F$487:$F$493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A7A-8F83-55B77A2F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kompetencje absolwentów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Zestawienia!$F$498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Zestawienia!$A$499:$B$505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Zestawienia!$F$499:$F$505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7AE-BF0C-7B1A9CBA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zarobki absolwentów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Zestawienia!$F$510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Zestawienia!$A$511:$B$517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Zestawienia!$F$511:$F$517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4-4E31-9886-81EB243C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Zestawienia!$A$28</c:f>
              <c:strCache>
                <c:ptCount val="1"/>
                <c:pt idx="0">
                  <c:v>Interesariusze: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6-43C8-9FCF-F30447807D97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6D36-43C8-9FCF-F30447807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Zestawienia!$B$29:$B$30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Zestawienia!$A$29:$A$30</c:f>
              <c:numCache>
                <c:formatCode>0</c:formatCode>
                <c:ptCount val="2"/>
                <c:pt idx="0">
                  <c:v>67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6-43C8-9FCF-F3044780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Władze samorządowe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Zestawienia!$C$522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Zestawienia!$A$523:$B$529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Zestawienia!$C$523:$C$529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5-4ABB-9AD0-1BC35F99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Zestawienia!$A$33</c:f>
              <c:strCache>
                <c:ptCount val="1"/>
                <c:pt idx="0">
                  <c:v>Interesariusze: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296-4DA4-B7F3-11AAEE63D158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296-4DA4-B7F3-11AAEE63D158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296-4DA4-B7F3-11AAEE63D158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296-4DA4-B7F3-11AAEE63D158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296-4DA4-B7F3-11AAEE63D158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296-4DA4-B7F3-11AAEE63D158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296-4DA4-B7F3-11AAEE63D15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96-4DA4-B7F3-11AAEE63D158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6-4DA4-B7F3-11AAEE63D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Zestawienia!$B$35:$B$41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Zestawienia!$A$35:$A$41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30</c:v>
                </c:pt>
                <c:pt idx="4">
                  <c:v>61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843-9BCB-3E47254CD6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5287728974973"/>
          <c:y val="0.15921102095560929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Zestawienia!$A$44</c:f>
              <c:strCache>
                <c:ptCount val="1"/>
                <c:pt idx="0">
                  <c:v>Interesariusze: Podział respondentów wg kategorii wielkości i rodzaju miejscowości pochodzenia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F89-42CD-B845-39AC1E0271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F89-42CD-B845-39AC1E0271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F89-42CD-B845-39AC1E0271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F89-42CD-B845-39AC1E027163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F89-42CD-B845-39AC1E027163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F89-42CD-B845-39AC1E027163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F89-42CD-B845-39AC1E027163}"/>
              </c:ext>
            </c:extLst>
          </c:dPt>
          <c:dLbls>
            <c:dLbl>
              <c:idx val="0"/>
              <c:layout>
                <c:manualLayout>
                  <c:x val="-4.0498309785289628E-2"/>
                  <c:y val="-1.3896933628828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89-42CD-B845-39AC1E027163}"/>
                </c:ext>
              </c:extLst>
            </c:dLbl>
            <c:dLbl>
              <c:idx val="1"/>
              <c:layout>
                <c:manualLayout>
                  <c:x val="4.672908314835942E-2"/>
                  <c:y val="-2.1413444839737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582728289363"/>
                      <c:h val="0.229550321199143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89-42CD-B845-39AC1E027163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9-42CD-B845-39AC1E027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Zestawienia!$B$46:$B$51</c:f>
              <c:strCache>
                <c:ptCount val="6"/>
                <c:pt idx="0">
                  <c:v>miasto wojewódzkie</c:v>
                </c:pt>
                <c:pt idx="1">
                  <c:v>duże miasto powiatowe</c:v>
                </c:pt>
                <c:pt idx="2">
                  <c:v>nieduże miasto powiatowe</c:v>
                </c:pt>
                <c:pt idx="3">
                  <c:v>miasto gminne</c:v>
                </c:pt>
                <c:pt idx="4">
                  <c:v>wieś gminna</c:v>
                </c:pt>
                <c:pt idx="5">
                  <c:v>wieś</c:v>
                </c:pt>
              </c:strCache>
            </c:strRef>
          </c:cat>
          <c:val>
            <c:numRef>
              <c:f>Zestawienia!$A$46:$A$51</c:f>
              <c:numCache>
                <c:formatCode>General</c:formatCode>
                <c:ptCount val="6"/>
                <c:pt idx="0">
                  <c:v>60</c:v>
                </c:pt>
                <c:pt idx="1">
                  <c:v>24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9-42CD-B845-39AC1E0271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Zestawienia!$C$58</c:f>
              <c:strCache>
                <c:ptCount val="1"/>
                <c:pt idx="0">
                  <c:v>Udział wybranych grup interesariuszy w badaniu kwestionariuszowym wśród grupy absolwentów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Zestawienia!$C$59:$D$66</c15:sqref>
                  </c15:fullRef>
                </c:ext>
              </c:extLst>
              <c:f>(Zestawienia!$C$59:$D$59,Zestawienia!$C$61:$D$66)</c:f>
              <c:multiLvlStrCache>
                <c:ptCount val="7"/>
                <c:lvl>
                  <c:pt idx="0">
                    <c:v>Studenci</c:v>
                  </c:pt>
                  <c:pt idx="1">
                    <c:v>Rodzice / opiekunowie</c:v>
                  </c:pt>
                  <c:pt idx="2">
                    <c:v>Pracownicy administracyjni</c:v>
                  </c:pt>
                  <c:pt idx="3">
                    <c:v>Pracownicy naukowi lub dydaktyczni</c:v>
                  </c:pt>
                  <c:pt idx="4">
                    <c:v>Władze uczelni</c:v>
                  </c:pt>
                  <c:pt idx="5">
                    <c:v>Przedsiębiorcy</c:v>
                  </c:pt>
                  <c:pt idx="6">
                    <c:v>Władze samorządowe</c:v>
                  </c:pt>
                </c:lvl>
                <c:lvl>
                  <c:pt idx="0">
                    <c:v>21%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94%</c:v>
                  </c:pt>
                  <c:pt idx="4">
                    <c:v>100%</c:v>
                  </c:pt>
                  <c:pt idx="5">
                    <c:v>89%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Zestawienia!$A$59:$A$66</c15:sqref>
                  </c15:fullRef>
                </c:ext>
              </c:extLst>
              <c:f>(Zestawienia!$A$59,Zestawienia!$A$61:$A$66)</c:f>
              <c:numCache>
                <c:formatCode>0.00%</c:formatCode>
                <c:ptCount val="7"/>
                <c:pt idx="0">
                  <c:v>2.5000000000000001E-2</c:v>
                </c:pt>
                <c:pt idx="1">
                  <c:v>0.14166666666666666</c:v>
                </c:pt>
                <c:pt idx="2">
                  <c:v>3.3333333333333333E-2</c:v>
                </c:pt>
                <c:pt idx="3">
                  <c:v>0.125</c:v>
                </c:pt>
                <c:pt idx="4">
                  <c:v>4.1666666666666664E-2</c:v>
                </c:pt>
                <c:pt idx="5">
                  <c:v>0.13333333333333333</c:v>
                </c:pt>
                <c:pt idx="6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54E-AC95-7B9269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15792"/>
        <c:axId val="510614808"/>
      </c:barChart>
      <c:valAx>
        <c:axId val="510614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10615792"/>
        <c:crosses val="autoZero"/>
        <c:crossBetween val="between"/>
      </c:valAx>
      <c:catAx>
        <c:axId val="51061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61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Zestawienia!$A$71</c:f>
              <c:strCache>
                <c:ptCount val="1"/>
                <c:pt idx="0">
                  <c:v>Absolwenci: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E13-479F-9A74-DBE32E4D04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E13-479F-9A74-DBE32E4D0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Zestawienia!$B$72:$B$73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Zestawienia!$A$72:$A$73</c:f>
              <c:numCache>
                <c:formatCode>General</c:formatCode>
                <c:ptCount val="2"/>
                <c:pt idx="0">
                  <c:v>58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3-479F-9A74-DBE32E4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Zestawienia!$A$75</c:f>
              <c:strCache>
                <c:ptCount val="1"/>
                <c:pt idx="0">
                  <c:v>Absolwenci: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B8C-4725-B0E7-658DC7046065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B8C-4725-B0E7-658DC7046065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B8C-4725-B0E7-658DC7046065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7B8C-4725-B0E7-658DC7046065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7B8C-4725-B0E7-658DC7046065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7B8C-4725-B0E7-658DC7046065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7B8C-4725-B0E7-658DC7046065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8C-4725-B0E7-658DC7046065}"/>
                </c:ext>
              </c:extLst>
            </c:dLbl>
            <c:dLbl>
              <c:idx val="5"/>
              <c:layout>
                <c:manualLayout>
                  <c:x val="-0.10890700003724153"/>
                  <c:y val="1.88458863136807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3892485637506"/>
                      <c:h val="0.1835100117785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B8C-4725-B0E7-658DC7046065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8C-4725-B0E7-658DC7046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Zestawienia!$B$77:$B$83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Zestawienia!$A$77:$A$83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29</c:v>
                </c:pt>
                <c:pt idx="4">
                  <c:v>57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8C-4725-B0E7-658DC70460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Zestawienia!$A$86</c:f>
              <c:strCache>
                <c:ptCount val="1"/>
                <c:pt idx="0">
                  <c:v>Absolwenci: podział respondentów wg ukończonych uczelni (ocenianych)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Zestawienia!$B$87:$B$116</c:f>
              <c:strCache>
                <c:ptCount val="30"/>
                <c:pt idx="0">
                  <c:v>Akademia Ignatianum </c:v>
                </c:pt>
                <c:pt idx="1">
                  <c:v>Akademia Morska w Gdyni</c:v>
                </c:pt>
                <c:pt idx="2">
                  <c:v>Akademia Muzyczna w Gdańsku</c:v>
                </c:pt>
                <c:pt idx="3">
                  <c:v>Akademia Nauk Stosowanych w Elblągu</c:v>
                </c:pt>
                <c:pt idx="4">
                  <c:v>Akademia Sztuk Pięknych w Łodzi</c:v>
                </c:pt>
                <c:pt idx="5">
                  <c:v>Akademia Sztuk Pięknych we Wrocławiu</c:v>
                </c:pt>
                <c:pt idx="6">
                  <c:v>AWF Kraków</c:v>
                </c:pt>
                <c:pt idx="7">
                  <c:v>AWFiS Gdańsk</c:v>
                </c:pt>
                <c:pt idx="8">
                  <c:v>Gdański Uniwersytet Medyczny</c:v>
                </c:pt>
                <c:pt idx="9">
                  <c:v>Politechnika Gdańska</c:v>
                </c:pt>
                <c:pt idx="10">
                  <c:v>Politechnika Krakowska</c:v>
                </c:pt>
                <c:pt idx="11">
                  <c:v>Politechnika Łódzka</c:v>
                </c:pt>
                <c:pt idx="12">
                  <c:v>Politechnika Warszawska</c:v>
                </c:pt>
                <c:pt idx="13">
                  <c:v>SGH</c:v>
                </c:pt>
                <c:pt idx="14">
                  <c:v>SWPS</c:v>
                </c:pt>
                <c:pt idx="15">
                  <c:v>University of Suffolk </c:v>
                </c:pt>
                <c:pt idx="16">
                  <c:v>Uniwersytet Adama Mickiewicza w Poznaniu</c:v>
                </c:pt>
                <c:pt idx="17">
                  <c:v>Uniwersytet Ekonomiczny w Katowicach</c:v>
                </c:pt>
                <c:pt idx="18">
                  <c:v>Uniwersytet Ekonomiczny w Poznaniu</c:v>
                </c:pt>
                <c:pt idx="19">
                  <c:v>Uniwersytet Gdański</c:v>
                </c:pt>
                <c:pt idx="20">
                  <c:v>Uniwersytet Jagielloński</c:v>
                </c:pt>
                <c:pt idx="21">
                  <c:v>Uniwersytet Kardynała Stefana Wyszyńskiego w Warszawie</c:v>
                </c:pt>
                <c:pt idx="22">
                  <c:v>Uniwersytet Łódzki</c:v>
                </c:pt>
                <c:pt idx="23">
                  <c:v>Uniwersytet Medyczny w Poznaniu</c:v>
                </c:pt>
                <c:pt idx="24">
                  <c:v>Uniwersytet Mikołaja Kopernika w Toruniu</c:v>
                </c:pt>
                <c:pt idx="25">
                  <c:v>Uniwersytet Szczeciński</c:v>
                </c:pt>
                <c:pt idx="26">
                  <c:v>Uniwersytet Śląski</c:v>
                </c:pt>
                <c:pt idx="27">
                  <c:v>Uniwersytet Warmińsko-Mazurski</c:v>
                </c:pt>
                <c:pt idx="28">
                  <c:v>Uniwersytet Warszawski</c:v>
                </c:pt>
                <c:pt idx="29">
                  <c:v>WSB</c:v>
                </c:pt>
              </c:strCache>
            </c:strRef>
          </c:cat>
          <c:val>
            <c:numRef>
              <c:f>Zestawienia!$A$87:$A$116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659-909B-05E75699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588560"/>
        <c:axId val="556590200"/>
      </c:barChart>
      <c:catAx>
        <c:axId val="5565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90200"/>
        <c:crosses val="autoZero"/>
        <c:auto val="1"/>
        <c:lblAlgn val="ctr"/>
        <c:lblOffset val="100"/>
        <c:noMultiLvlLbl val="0"/>
      </c:catAx>
      <c:valAx>
        <c:axId val="5565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627062</xdr:colOff>
      <xdr:row>11</xdr:row>
      <xdr:rowOff>88901</xdr:rowOff>
    </xdr:from>
    <xdr:to>
      <xdr:col>28</xdr:col>
      <xdr:colOff>133349</xdr:colOff>
      <xdr:row>23</xdr:row>
      <xdr:rowOff>141289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ADF44C-8D2A-17DD-8B4A-3D8DCB25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388937</xdr:colOff>
      <xdr:row>114</xdr:row>
      <xdr:rowOff>6350</xdr:rowOff>
    </xdr:from>
    <xdr:to>
      <xdr:col>11</xdr:col>
      <xdr:colOff>427037</xdr:colOff>
      <xdr:row>128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126BDD-6CD9-A2F7-D72C-7EFFB94A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1462087</xdr:colOff>
      <xdr:row>26</xdr:row>
      <xdr:rowOff>163511</xdr:rowOff>
    </xdr:from>
    <xdr:to>
      <xdr:col>8</xdr:col>
      <xdr:colOff>215900</xdr:colOff>
      <xdr:row>41</xdr:row>
      <xdr:rowOff>144461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ADD9F9-4A76-FEE1-97FB-D25AE9F7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427035</xdr:colOff>
      <xdr:row>26</xdr:row>
      <xdr:rowOff>153987</xdr:rowOff>
    </xdr:from>
    <xdr:to>
      <xdr:col>17</xdr:col>
      <xdr:colOff>622299</xdr:colOff>
      <xdr:row>41</xdr:row>
      <xdr:rowOff>134937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B1073F-97ED-775B-11FE-784F7EC1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147637</xdr:colOff>
      <xdr:row>34</xdr:row>
      <xdr:rowOff>44449</xdr:rowOff>
    </xdr:from>
    <xdr:to>
      <xdr:col>25</xdr:col>
      <xdr:colOff>338138</xdr:colOff>
      <xdr:row>51</xdr:row>
      <xdr:rowOff>134937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D474BA-60C7-4500-9100-A9AD9C51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642937</xdr:colOff>
      <xdr:row>56</xdr:row>
      <xdr:rowOff>46035</xdr:rowOff>
    </xdr:from>
    <xdr:to>
      <xdr:col>20</xdr:col>
      <xdr:colOff>490537</xdr:colOff>
      <xdr:row>74</xdr:row>
      <xdr:rowOff>6350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8398AAE-5D6C-403A-F68E-259CE92DD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68</xdr:row>
      <xdr:rowOff>171450</xdr:rowOff>
    </xdr:from>
    <xdr:to>
      <xdr:col>9</xdr:col>
      <xdr:colOff>511175</xdr:colOff>
      <xdr:row>83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0921B-47B8-44E1-ABAF-CE6CD847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104775</xdr:colOff>
      <xdr:row>75</xdr:row>
      <xdr:rowOff>47625</xdr:rowOff>
    </xdr:from>
    <xdr:to>
      <xdr:col>17</xdr:col>
      <xdr:colOff>300039</xdr:colOff>
      <xdr:row>88</xdr:row>
      <xdr:rowOff>209550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45EBB2D-E6E2-45CA-A5FD-DEE52624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1021554</xdr:colOff>
      <xdr:row>87</xdr:row>
      <xdr:rowOff>42863</xdr:rowOff>
    </xdr:from>
    <xdr:to>
      <xdr:col>12</xdr:col>
      <xdr:colOff>223837</xdr:colOff>
      <xdr:row>108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E1EFB0A-3389-C171-42C1-0BB0575B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59531</xdr:colOff>
      <xdr:row>130</xdr:row>
      <xdr:rowOff>161925</xdr:rowOff>
    </xdr:from>
    <xdr:to>
      <xdr:col>14</xdr:col>
      <xdr:colOff>14288</xdr:colOff>
      <xdr:row>140</xdr:row>
      <xdr:rowOff>157163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1C8D2ED-7266-6F13-D5BF-CADF5389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144</xdr:row>
      <xdr:rowOff>0</xdr:rowOff>
    </xdr:from>
    <xdr:to>
      <xdr:col>13</xdr:col>
      <xdr:colOff>602457</xdr:colOff>
      <xdr:row>153</xdr:row>
      <xdr:rowOff>176213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F9A0EA4-37A9-4E09-8437-42033E07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156</xdr:row>
      <xdr:rowOff>0</xdr:rowOff>
    </xdr:from>
    <xdr:to>
      <xdr:col>13</xdr:col>
      <xdr:colOff>602457</xdr:colOff>
      <xdr:row>165</xdr:row>
      <xdr:rowOff>176213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B1BDF93-AB58-4DD7-BC36-EE63489B1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170</xdr:row>
      <xdr:rowOff>0</xdr:rowOff>
    </xdr:from>
    <xdr:to>
      <xdr:col>13</xdr:col>
      <xdr:colOff>602457</xdr:colOff>
      <xdr:row>179</xdr:row>
      <xdr:rowOff>176213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4AF1E45-CF5F-47D9-ACDB-06D579470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13</xdr:col>
      <xdr:colOff>602457</xdr:colOff>
      <xdr:row>191</xdr:row>
      <xdr:rowOff>176213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4EA7FBE9-6AB3-4C62-9123-37F377B40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194</xdr:row>
      <xdr:rowOff>0</xdr:rowOff>
    </xdr:from>
    <xdr:to>
      <xdr:col>13</xdr:col>
      <xdr:colOff>602457</xdr:colOff>
      <xdr:row>203</xdr:row>
      <xdr:rowOff>176213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359D035-5DFE-4D85-AEBF-202B65314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206</xdr:row>
      <xdr:rowOff>0</xdr:rowOff>
    </xdr:from>
    <xdr:to>
      <xdr:col>19</xdr:col>
      <xdr:colOff>602457</xdr:colOff>
      <xdr:row>215</xdr:row>
      <xdr:rowOff>176213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B6329370-0640-4F49-9D18-66CDFE912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218</xdr:row>
      <xdr:rowOff>0</xdr:rowOff>
    </xdr:from>
    <xdr:to>
      <xdr:col>19</xdr:col>
      <xdr:colOff>602457</xdr:colOff>
      <xdr:row>227</xdr:row>
      <xdr:rowOff>176213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FCF20792-C92C-4AAD-943C-F2FF7F21C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230</xdr:row>
      <xdr:rowOff>0</xdr:rowOff>
    </xdr:from>
    <xdr:to>
      <xdr:col>19</xdr:col>
      <xdr:colOff>602457</xdr:colOff>
      <xdr:row>239</xdr:row>
      <xdr:rowOff>176213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552CB340-3EBE-4564-B829-36C81110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245</xdr:row>
      <xdr:rowOff>0</xdr:rowOff>
    </xdr:from>
    <xdr:to>
      <xdr:col>13</xdr:col>
      <xdr:colOff>602457</xdr:colOff>
      <xdr:row>254</xdr:row>
      <xdr:rowOff>176213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F6B376AB-C44A-49A9-8E42-060CBE96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317</xdr:row>
      <xdr:rowOff>0</xdr:rowOff>
    </xdr:from>
    <xdr:to>
      <xdr:col>13</xdr:col>
      <xdr:colOff>602457</xdr:colOff>
      <xdr:row>326</xdr:row>
      <xdr:rowOff>176213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56604E74-D7CF-400D-A343-E592D5641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329</xdr:row>
      <xdr:rowOff>0</xdr:rowOff>
    </xdr:from>
    <xdr:to>
      <xdr:col>13</xdr:col>
      <xdr:colOff>602457</xdr:colOff>
      <xdr:row>338</xdr:row>
      <xdr:rowOff>176213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55C820A5-E845-4984-93D5-1DD5950EA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341</xdr:row>
      <xdr:rowOff>0</xdr:rowOff>
    </xdr:from>
    <xdr:to>
      <xdr:col>13</xdr:col>
      <xdr:colOff>602457</xdr:colOff>
      <xdr:row>350</xdr:row>
      <xdr:rowOff>176213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23A10CCC-A74F-4B95-86F9-9CE9F3B01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353</xdr:row>
      <xdr:rowOff>0</xdr:rowOff>
    </xdr:from>
    <xdr:to>
      <xdr:col>13</xdr:col>
      <xdr:colOff>602457</xdr:colOff>
      <xdr:row>362</xdr:row>
      <xdr:rowOff>176213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1705CDA8-0883-4868-8101-569F6C4D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365</xdr:row>
      <xdr:rowOff>0</xdr:rowOff>
    </xdr:from>
    <xdr:to>
      <xdr:col>13</xdr:col>
      <xdr:colOff>602457</xdr:colOff>
      <xdr:row>374</xdr:row>
      <xdr:rowOff>176213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3DB6411C-2E46-4410-9C3D-55F76E901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377</xdr:row>
      <xdr:rowOff>0</xdr:rowOff>
    </xdr:from>
    <xdr:to>
      <xdr:col>13</xdr:col>
      <xdr:colOff>602457</xdr:colOff>
      <xdr:row>386</xdr:row>
      <xdr:rowOff>176213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62627070-FE93-49DC-893F-0B40ED556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389</xdr:row>
      <xdr:rowOff>0</xdr:rowOff>
    </xdr:from>
    <xdr:to>
      <xdr:col>13</xdr:col>
      <xdr:colOff>602457</xdr:colOff>
      <xdr:row>398</xdr:row>
      <xdr:rowOff>176213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3AA03D05-CC1C-4592-82E6-E3ACC0AF8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485</xdr:row>
      <xdr:rowOff>0</xdr:rowOff>
    </xdr:from>
    <xdr:to>
      <xdr:col>19</xdr:col>
      <xdr:colOff>602457</xdr:colOff>
      <xdr:row>494</xdr:row>
      <xdr:rowOff>176213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B980E97B-173C-4822-AC61-86F2B9558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497</xdr:row>
      <xdr:rowOff>0</xdr:rowOff>
    </xdr:from>
    <xdr:to>
      <xdr:col>19</xdr:col>
      <xdr:colOff>602457</xdr:colOff>
      <xdr:row>506</xdr:row>
      <xdr:rowOff>176213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D4A3E760-CB1C-4D0A-A6E7-BE5B5EC05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509</xdr:row>
      <xdr:rowOff>0</xdr:rowOff>
    </xdr:from>
    <xdr:to>
      <xdr:col>19</xdr:col>
      <xdr:colOff>602457</xdr:colOff>
      <xdr:row>518</xdr:row>
      <xdr:rowOff>176213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05A9938C-4EAA-45F5-909B-48E368D7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521</xdr:row>
      <xdr:rowOff>0</xdr:rowOff>
    </xdr:from>
    <xdr:to>
      <xdr:col>13</xdr:col>
      <xdr:colOff>602457</xdr:colOff>
      <xdr:row>530</xdr:row>
      <xdr:rowOff>176213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8FC35950-5CD1-4BD6-A0A4-12697758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7615739" createdVersion="8" refreshedVersion="8" minRefreshableVersion="3" recordCount="133" xr:uid="{5959FC96-C817-4981-8EAE-F6E083B4D0E0}">
  <cacheSource type="worksheet">
    <worksheetSource name="AnalizaCzyste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28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/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unt="2">
        <s v="Tak (kontynuowanie badania rodziców absolwentów)"/>
        <s v="Nie (przejście do kolejnej części)"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unt="2">
        <s v="Nie (przejście do kolejnej części)"/>
        <s v="Tak (kontynuowanie badania pracowników administracyjnych)"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unt="2">
        <s v="Nie (przejście do kolejnej części)"/>
        <s v="Tak (kontynuowanie badania pracowników naukowych lub dydaktycznych)"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unt="2">
        <s v="Tak (kontynuowanie badania przedstawicieli władz uczelni)"/>
        <s v="Nie (przejście do kolejnej części)"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unt="2">
        <s v="Tak (kontynuowanie badania przedstawicieli pracodawców)"/>
        <s v="Nie (przejście do kolejnej części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unt="2">
        <s v="Nie (przejście do kolejnej części)"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unt="2">
        <s v="Mężczyzna"/>
        <s v="Kobieta"/>
      </sharedItems>
    </cacheField>
    <cacheField name="Rok urodzenia" numFmtId="0">
      <sharedItems containsMixedTypes="1" containsNumber="1" containsInteger="1" minValue="72" maxValue="2007"/>
    </cacheField>
    <cacheField name="Z jakiej wielkości miejscowości pochodzisz? (dotyczy miejscowości, w której się wychowałaś/eś" numFmtId="0">
      <sharedItems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9930556" createdVersion="8" refreshedVersion="8" minRefreshableVersion="3" recordCount="157" xr:uid="{E126A9F0-9D45-4085-8E81-B3EBC54E111F}">
  <cacheSource type="worksheet">
    <worksheetSource name="Analiza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9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unt="1">
        <s v="Tak (kontynuacja ankiety)"/>
      </sharedItems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ntainsBlank="1" count="3">
        <s v="Nie (przejście do kolejnej części)"/>
        <s v="Tak (kontynuowanie badania rodziców absolwentów)"/>
        <m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ntainsBlank="1" count="3">
        <s v="Nie (przejście do kolejnej części)"/>
        <s v="Tak (kontynuowanie badania pracowników administracyjnych)"/>
        <m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ntainsBlank="1" count="3">
        <s v="Nie (przejście do kolejnej części)"/>
        <s v="Tak (kontynuowanie badania pracowników naukowych lub dydaktycznych)"/>
        <m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 count="3">
        <s v="Nie (przejście do kolejnej części)"/>
        <s v="Tak (kontynuowanie badania przedstawicieli władz uczelni)"/>
        <m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 count="3">
        <s v="Nie (przejście do kolejnej części)"/>
        <m/>
        <s v="Tak (kontynuowanie badania przedstawicieli pracodawców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 count="3">
        <s v="Nie (przejście do kolejnej części)"/>
        <m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ntainsBlank="1" count="3">
        <s v="Kobieta"/>
        <s v="Mężczyzn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2"/>
    <n v="2"/>
    <n v="95"/>
    <s v="31.179.150.134"/>
    <s v="Link"/>
    <m/>
    <m/>
    <m/>
    <m/>
    <s v="Zakończono"/>
    <s v="2020-04-30 13:28:06"/>
    <s v="2020-04-30 13:54:19"/>
    <n v="1573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0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0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s v="Tak (kontynuacja ankiety)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0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s v="Tak (kontynuacja ankiety)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0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0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0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s v="Tak (kontynuacja ankiety)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0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s v="Tak (kontynuacja ankiety)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0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</r>
  <r>
    <n v="83"/>
    <n v="48"/>
    <n v="75"/>
    <s v="83.23.239.59"/>
    <s v="Link"/>
    <m/>
    <m/>
    <m/>
    <m/>
    <s v="Zakończono"/>
    <s v="2020-06-04 20:57:39"/>
    <s v="2020-06-04 21:52:51"/>
    <n v="331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0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s v="Tak (kontynuacja ankiety)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0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62"/>
    <s v="miasto wojewódzkie"/>
    <m/>
    <m/>
    <s v="studia doktoranckie"/>
    <s v="[03]"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s v="Tak (kontynuacja ankiety)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0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s v="Tak (kontynuacja ankiety)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0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</r>
  <r>
    <n v="260"/>
    <n v="137"/>
    <n v="66"/>
    <s v="5.173.8.81"/>
    <s v="Link"/>
    <m/>
    <m/>
    <m/>
    <m/>
    <s v="Zakończono"/>
    <s v="2022-08-15 10:35:41"/>
    <s v="2022-08-15 10:47:28"/>
    <n v="707"/>
    <n v="0"/>
    <s v="Tak (kontynuacja ankiety)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0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59"/>
    <s v="miasto wojewódzkie"/>
    <m/>
    <s v="Podyplomowe - Zarządzanie"/>
    <m/>
    <s v="[A01]"/>
  </r>
  <r>
    <n v="11"/>
    <n v="10"/>
    <n v="62"/>
    <s v="83.23.251.56"/>
    <s v="Link"/>
    <m/>
    <m/>
    <m/>
    <m/>
    <s v="Zakończono"/>
    <s v="2020-05-06 08:27:07"/>
    <s v="2020-05-06 08:50:31"/>
    <n v="1404"/>
    <n v="0"/>
    <s v="Tak (kontynuacja ankiety)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0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s v="Tak (kontynuacja ankiety)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0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5"/>
    <s v="miasto gminne"/>
    <m/>
    <s v="Studia podyplomowe"/>
    <m/>
    <s v="B01"/>
  </r>
  <r>
    <n v="261"/>
    <n v="138"/>
    <n v="61"/>
    <s v="5.173.8.81"/>
    <s v="Link"/>
    <m/>
    <m/>
    <m/>
    <m/>
    <s v="Zakończono"/>
    <s v="2022-08-15 10:49:03"/>
    <s v="2022-08-15 10:59:19"/>
    <n v="616"/>
    <n v="0"/>
    <s v="Tak (kontynuacja ankiety)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0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8"/>
    <s v="miasto gminne"/>
    <m/>
    <s v="Podyplomowe - Zarządzanie"/>
    <m/>
    <s v="[A02]"/>
  </r>
  <r>
    <n v="8"/>
    <n v="8"/>
    <n v="58"/>
    <s v="94.172.217.53"/>
    <s v="Link"/>
    <m/>
    <m/>
    <m/>
    <m/>
    <s v="Zakończono"/>
    <s v="2020-05-04 18:33:10"/>
    <s v="2020-05-04 18:45:58"/>
    <n v="768"/>
    <n v="0"/>
    <s v="Tak (kontynuacja ankiety)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0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s v="Tak (kontynuacja ankiety)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0"/>
    <n v="1961"/>
    <s v="miasto wojewódzkie"/>
    <m/>
    <m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s v="Tak (kontynuacja ankiety)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</r>
  <r>
    <n v="196"/>
    <n v="112"/>
    <n v="54"/>
    <s v="185.244.97.163"/>
    <s v="Link"/>
    <m/>
    <m/>
    <m/>
    <m/>
    <s v="Zakończono"/>
    <s v="2020-12-18 16:04:15"/>
    <s v="2020-12-18 16:14:29"/>
    <n v="614"/>
    <n v="0"/>
    <s v="Tak (kontynuacja ankiety)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0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s v="Tak (kontynuacja ankiety)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s v="Tak (kontynuacja ankiety)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s v="Tak (kontynuacja ankiety)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s v="Tak (kontynuacja ankiety)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</r>
  <r>
    <n v="30"/>
    <n v="21"/>
    <n v="46"/>
    <s v="192.166.202.46"/>
    <s v="Link"/>
    <m/>
    <m/>
    <m/>
    <m/>
    <s v="Zakończono"/>
    <s v="2020-05-16 15:39:07"/>
    <s v="2020-05-16 17:32:39"/>
    <n v="6812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0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s v="Tak (kontynuacja ankiety)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0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s v="Tak (kontynuacja ankiety)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s v="Tak (kontynuacja ankiety)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s v="Tak (kontynuacja ankiety)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s v="Tak (kontynuacja ankiety)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s v="Tak (kontynuacja ankiety)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s v="Tak (kontynuacja ankiety)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s v="Tak (kontynuacja ankiety)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s v="Tak (kontynuacja ankiety)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s v="Tak (kontynuacja ankiety)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s v="Tak (kontynuacja ankiety)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s v="Tak (kontynuacja ankiety)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s v="Tak (kontynuacja ankiety)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s v="Tak (kontynuacja ankiety)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s v="Tak (kontynuacja ankiety)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s v="Tak (kontynuacja ankiety)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s v="Tak (kontynuacja ankiety)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s v="Tak (kontynuacja ankiety)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s v="Tak (kontynuacja ankiety)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s v="Tak (kontynuacja ankiety)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s v="Tak (kontynuacja ankiety)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s v="Tak (kontynuacja ankiety)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s v="Tak (kontynuacja ankiety)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</r>
  <r>
    <n v="211"/>
    <n v="115"/>
    <n v="35"/>
    <s v="89.64.126.173"/>
    <s v="Link"/>
    <m/>
    <m/>
    <m/>
    <m/>
    <s v="Zakończono"/>
    <s v="2020-12-19 09:07:09"/>
    <s v="2020-12-19 09:25:41"/>
    <n v="1112"/>
    <n v="0"/>
    <s v="Tak (kontynuacja ankiety)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1"/>
    <n v="1"/>
    <n v="34"/>
    <s v="37.47.232.142"/>
    <s v="Link"/>
    <m/>
    <m/>
    <m/>
    <m/>
    <s v="Zakończono"/>
    <s v="2020-04-20 14:55:16"/>
    <s v="2020-04-21 09:13:07"/>
    <n v="65871"/>
    <n v="0"/>
    <s v="Tak (kontynuacja ankiety)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16"/>
    <n v="15"/>
    <n v="34"/>
    <s v="5.173.194.58"/>
    <s v="Link"/>
    <m/>
    <m/>
    <m/>
    <m/>
    <s v="Zakończono"/>
    <s v="2020-05-13 16:46:26"/>
    <s v="2020-05-13 16:59:27"/>
    <n v="781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s v="Tak (kontynuacja ankiety)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s v="Tak (kontynuacja ankiety)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</r>
  <r>
    <n v="3"/>
    <n v="3"/>
    <n v="33"/>
    <s v="89.73.146.237"/>
    <s v="Link"/>
    <m/>
    <m/>
    <m/>
    <m/>
    <s v="Zakończono"/>
    <s v="2020-05-03 22:53:23"/>
    <s v="2020-05-03 23:07:36"/>
    <n v="853"/>
    <n v="0"/>
    <s v="Tak (kontynuacja ankiety)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s v="Tak (kontynuacja ankiety)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s v="Tak (kontynuacja ankiety)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s v="Tak (kontynuacja ankiety)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</r>
  <r>
    <n v="181"/>
    <n v="102"/>
    <n v="33"/>
    <s v="158.233.246.29"/>
    <s v="Link"/>
    <m/>
    <m/>
    <m/>
    <m/>
    <s v="Zakończono"/>
    <s v="2020-12-18 14:29:31"/>
    <s v="2020-12-18 14:36:37"/>
    <n v="426"/>
    <n v="0"/>
    <s v="Tak (kontynuacja ankiety)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</r>
  <r>
    <n v="184"/>
    <n v="105"/>
    <n v="33"/>
    <s v="37.47.212.241"/>
    <s v="Link"/>
    <m/>
    <m/>
    <m/>
    <m/>
    <s v="Zakończono"/>
    <s v="2020-12-18 15:25:33"/>
    <s v="2020-12-18 15:44:12"/>
    <n v="1119"/>
    <n v="0"/>
    <s v="Tak (kontynuacja ankiety)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s v="Tak (kontynuacja ankiety)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s v="Tak (kontynuacja ankiety)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s v="Tak (kontynuacja ankiety)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s v="Tak (kontynuacja ankiety)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s v="Tak (kontynuacja ankiety)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s v="Tak (kontynuacja ankiety)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s v="Tak (kontynuacja ankiety)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s v="Tak (kontynuacja ankiety)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s v="Tak (kontynuacja ankiety)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s v="Tak (kontynuacja ankiety)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s v="Tak (kontynuacja ankiety)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s v="Tak (kontynuacja ankiety)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</r>
  <r>
    <n v="167"/>
    <n v="96"/>
    <n v="32"/>
    <s v="158.233.246.28"/>
    <s v="Link"/>
    <m/>
    <m/>
    <m/>
    <m/>
    <s v="Zakończono"/>
    <s v="2020-12-18 11:24:10"/>
    <s v="2020-12-18 11:35:15"/>
    <n v="665"/>
    <n v="0"/>
    <s v="Tak (kontynuacja ankiety)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s v="Tak (kontynuacja ankiety)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s v="Tak (kontynuacja ankiety)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s v="Tak (kontynuacja ankiety)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s v="Tak (kontynuacja ankiety)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s v="Tak (kontynuacja ankiety)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s v="Tak (kontynuacja ankiety)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s v="Tak (kontynuacja ankiety)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</r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s v="Tak (kontynuacja ankiety)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s v="Tak (kontynuacja ankiety)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s v="Tak (kontynuacja ankiety)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s v="Tak (kontynuacja ankiety)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s v="Tak (kontynuacja ankiety)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s v="Tak (kontynuacja ankiety)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s v="Tak (kontynuacja ankiety)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s v="Tak (kontynuacja ankiety)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s v="Tak (kontynuacja ankiety)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s v="Tak (kontynuacja ankiety)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x v="0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0"/>
    <n v="1991"/>
    <s v="miasto gminne"/>
    <m/>
    <m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x v="0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1"/>
    <n v="72"/>
    <s v="wieś gminna"/>
    <m/>
    <m/>
    <s v="Kolegium Teologiczne"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x v="0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1"/>
    <n v="1991"/>
    <s v="duże miasto powiatowe"/>
    <m/>
    <m/>
    <m/>
    <m/>
  </r>
  <r>
    <n v="185"/>
    <s v="BRAK"/>
    <n v="24"/>
    <s v="158.233.246.27"/>
    <s v="Link"/>
    <m/>
    <m/>
    <m/>
    <m/>
    <s v="W trakcie"/>
    <s v="2020-12-18 15:26:50"/>
    <s v="2020-12-18 15:26:50"/>
    <n v="0"/>
    <n v="0"/>
    <x v="0"/>
    <x v="0"/>
    <m/>
    <m/>
    <m/>
    <m/>
    <m/>
    <m/>
    <m/>
    <m/>
    <m/>
    <m/>
    <m/>
    <m/>
    <m/>
    <m/>
    <m/>
    <x v="0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0"/>
    <n v="1961"/>
    <s v="miasto gminne"/>
    <m/>
    <m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x v="0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1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0"/>
    <n v="1958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x v="0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1"/>
    <n v="1961"/>
    <s v="miasto wojewódzkie"/>
    <m/>
    <m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x v="0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1"/>
    <n v="2007"/>
    <s v="duże miasto powiatowe"/>
    <m/>
    <s v="Magister na PG na wydziale ETI"/>
    <m/>
    <m/>
  </r>
  <r>
    <n v="121"/>
    <s v="BRAK"/>
    <n v="68"/>
    <s v="185.56.174.2"/>
    <s v="Link"/>
    <m/>
    <m/>
    <m/>
    <m/>
    <s v="W trakcie"/>
    <s v="2020-09-16 11:05:04"/>
    <s v="2020-09-16 11:05:04"/>
    <n v="0"/>
    <n v="0"/>
    <x v="0"/>
    <x v="0"/>
    <m/>
    <m/>
    <m/>
    <m/>
    <m/>
    <m/>
    <m/>
    <m/>
    <m/>
    <m/>
    <m/>
    <m/>
    <m/>
    <m/>
    <m/>
    <x v="0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x v="1"/>
    <n v="2"/>
    <s v="Gdański Uniwersytet Medyczny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x v="1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x v="0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1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1"/>
    <n v="1960"/>
    <s v="duże miasto powiatowe"/>
    <m/>
    <m/>
    <m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x v="0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1"/>
    <n v="1986"/>
    <s v="wieś"/>
    <m/>
    <s v="brak"/>
    <s v="brak"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x v="0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8"/>
    <s v="nieduże miasto powiatowe"/>
    <m/>
    <s v="psychologia - magisterka; oligofrenopedagogika - kurs kwalifikacyjny (jak studia podyplomowe)"/>
    <m/>
    <s v="&lt;&lt;Burza&gt;&gt;"/>
  </r>
  <r>
    <n v="167"/>
    <n v="96"/>
    <n v="32"/>
    <s v="158.233.246.28"/>
    <s v="Link"/>
    <m/>
    <m/>
    <m/>
    <m/>
    <s v="Zakończono"/>
    <s v="2020-12-18 11:24:10"/>
    <s v="2020-12-18 11:35:15"/>
    <n v="665"/>
    <n v="0"/>
    <x v="0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0"/>
    <n v="1982"/>
    <s v="duże miasto powiatowe"/>
    <m/>
    <s v="Studia podyplomowe na UG."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x v="0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1"/>
    <n v="1973"/>
    <s v="miasto wojewódzkie"/>
    <m/>
    <m/>
    <m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x v="0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0"/>
    <n v="1987"/>
    <s v="miasto wojewódzkie"/>
    <m/>
    <m/>
    <m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x v="0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1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1"/>
    <n v="1959"/>
    <s v="wieś"/>
    <m/>
    <s v="budowlane, elekrtyczne, elektroniczne - średnie"/>
    <s v="nie ma"/>
    <s v="Proszę nie wprowadzać w błąd, bo ankieta nie zajmuje min."/>
  </r>
  <r>
    <n v="83"/>
    <n v="48"/>
    <n v="75"/>
    <s v="83.23.239.59"/>
    <s v="Link"/>
    <m/>
    <m/>
    <m/>
    <m/>
    <s v="Zakończono"/>
    <s v="2020-06-04 20:57:39"/>
    <s v="2020-06-04 21:52:51"/>
    <n v="3312"/>
    <n v="0"/>
    <x v="0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1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1"/>
    <n v="1954"/>
    <s v="miasto wojewódzkie"/>
    <m/>
    <s v="nie posiadam"/>
    <s v="nie studiuję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x v="0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1"/>
    <n v="1977"/>
    <s v="miasto wojewódzkie"/>
    <m/>
    <s v="brak"/>
    <s v="brak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x v="0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9"/>
    <s v="miasto wojewódzkie"/>
    <m/>
    <s v="."/>
    <s v="."/>
    <s v="."/>
  </r>
  <r>
    <n v="25"/>
    <s v="BRAK"/>
    <n v="24"/>
    <s v="89.66.158.1"/>
    <s v="Link"/>
    <s v="https://l.facebook.com/"/>
    <m/>
    <m/>
    <m/>
    <s v="W trakcie"/>
    <s v="2020-05-15 21:18:13"/>
    <s v="2020-05-15 21:18:13"/>
    <n v="0"/>
    <n v="0"/>
    <x v="0"/>
    <x v="1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x v="0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1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x v="0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1"/>
    <n v="1992"/>
    <s v="duże miasto powiatowe"/>
    <m/>
    <s v="Liceum"/>
    <s v="Żadne"/>
    <m/>
  </r>
  <r>
    <n v="3"/>
    <n v="3"/>
    <n v="33"/>
    <s v="89.73.146.237"/>
    <s v="Link"/>
    <m/>
    <m/>
    <m/>
    <m/>
    <s v="Zakończono"/>
    <s v="2020-05-03 22:53:23"/>
    <s v="2020-05-03 23:07:36"/>
    <n v="853"/>
    <n v="0"/>
    <x v="0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1"/>
    <n v="1991"/>
    <s v="miasto wojewódzkie"/>
    <m/>
    <s v="Muzyczne podstawowe"/>
    <m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0"/>
    <n v="1988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8"/>
    <s v="miasto gminne"/>
    <m/>
    <s v="Nie dotyczy"/>
    <s v="Nie dotyczy"/>
    <m/>
  </r>
  <r>
    <n v="196"/>
    <n v="112"/>
    <n v="54"/>
    <s v="185.244.97.163"/>
    <s v="Link"/>
    <m/>
    <m/>
    <m/>
    <m/>
    <s v="Zakończono"/>
    <s v="2020-12-18 16:04:15"/>
    <s v="2020-12-18 16:14:29"/>
    <n v="614"/>
    <n v="0"/>
    <x v="0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1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1"/>
    <n v="1966"/>
    <s v="miasto wojewódzkie"/>
    <m/>
    <m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1"/>
    <n v="1988"/>
    <s v="miasto wojewódzkie"/>
    <m/>
    <m/>
    <m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x v="0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1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5"/>
    <s v="miasto gminne"/>
    <m/>
    <s v="Studia podyplomowe"/>
    <m/>
    <s v="B01"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x v="0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0"/>
    <n v="1993"/>
    <s v="wieś"/>
    <m/>
    <m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x v="0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1"/>
    <n v="1985"/>
    <s v="miasto wojewódzkie"/>
    <m/>
    <m/>
    <m/>
    <m/>
  </r>
  <r>
    <n v="221"/>
    <s v="BRAK"/>
    <n v="23"/>
    <s v="158.233.246.26"/>
    <s v="Link"/>
    <m/>
    <m/>
    <m/>
    <m/>
    <s v="W trakcie"/>
    <s v="2020-12-21 11:06:03"/>
    <s v="2020-12-21 11:06:03"/>
    <n v="0"/>
    <n v="0"/>
    <x v="0"/>
    <x v="1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"/>
    <n v="15"/>
    <n v="34"/>
    <s v="5.173.194.58"/>
    <s v="Link"/>
    <m/>
    <m/>
    <m/>
    <m/>
    <s v="Zakończono"/>
    <s v="2020-05-13 16:46:26"/>
    <s v="2020-05-13 16:59:27"/>
    <n v="781"/>
    <n v="0"/>
    <x v="0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0"/>
    <n v="1986"/>
    <s v="miasto wojewódzkie"/>
    <m/>
    <s v="ukończone studium doktoranckie z tytułem doktora nauk chemicznych, studium pedagogiczne, studia podyplomowe z pedagogiki przedszkolnej i wczesnoszkolnej"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x v="0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1"/>
    <n v="1983"/>
    <s v="miasto wojewódzkie"/>
    <m/>
    <s v="stopień doktora"/>
    <m/>
    <s v="Powodzenia;)"/>
  </r>
  <r>
    <n v="232"/>
    <s v="BRAK"/>
    <n v="22"/>
    <s v="89.64.102.166"/>
    <s v="Link"/>
    <m/>
    <m/>
    <m/>
    <m/>
    <s v="W trakcie"/>
    <s v="2020-12-23 20:17:37"/>
    <s v="2020-12-23 20:17:37"/>
    <n v="0"/>
    <n v="0"/>
    <x v="0"/>
    <x v="1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x v="0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0"/>
    <n v="1981"/>
    <s v="miasto wojewódzkie"/>
    <m/>
    <m/>
    <m/>
    <m/>
  </r>
  <r>
    <n v="57"/>
    <s v="BRAK"/>
    <n v="24"/>
    <s v="176.115.247.196"/>
    <s v="Link"/>
    <s v="https://m.facebook.com/"/>
    <m/>
    <m/>
    <m/>
    <s v="W trakcie"/>
    <s v="2020-05-16 20:14:51"/>
    <s v="2020-05-16 20:14:51"/>
    <n v="0"/>
    <n v="0"/>
    <x v="0"/>
    <x v="1"/>
    <s v="Uniwersytet Jagielloński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60"/>
    <n v="137"/>
    <n v="66"/>
    <s v="5.173.8.81"/>
    <s v="Link"/>
    <m/>
    <m/>
    <m/>
    <m/>
    <s v="Zakończono"/>
    <s v="2022-08-15 10:35:41"/>
    <s v="2022-08-15 10:47:28"/>
    <n v="707"/>
    <n v="0"/>
    <x v="0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1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59"/>
    <s v="miasto wojewódzkie"/>
    <m/>
    <s v="Podyplomowe - Zarządzanie"/>
    <m/>
    <s v="[A01]"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x v="0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0"/>
    <n v="1996"/>
    <s v="miasto wojewódzkie"/>
    <m/>
    <s v="Ukończone studia licencjackie, również na filologii polskiej"/>
    <s v="Przerwałam studia na filologii francuskiej"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x v="0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1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1"/>
    <n v="1961"/>
    <s v="nieduże miasto powiatowe"/>
    <m/>
    <s v="Akademia Muzyczna - instrumentalistyka"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1"/>
    <n v="1983"/>
    <s v="miasto wojewódzkie"/>
    <m/>
    <m/>
    <m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x v="0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1"/>
    <n v="1968"/>
    <s v="duże miasto powiatowe"/>
    <s v="Elbląg"/>
    <s v="historia - magisterskie"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x v="0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0"/>
    <n v="1996"/>
    <s v="wieś"/>
    <m/>
    <s v="Ukończone gimnazjum i liceum ogółnokształcące."/>
    <s v="Psychologia stosowana na UJ - przerwana po II latach"/>
    <m/>
  </r>
  <r>
    <n v="43"/>
    <s v="BRAK"/>
    <n v="27"/>
    <s v="5.173.40.129"/>
    <s v="Link"/>
    <s v="https://www.facebook.com/"/>
    <m/>
    <m/>
    <m/>
    <s v="W trakcie"/>
    <s v="2020-05-16 17:26:33"/>
    <s v="2020-05-16 17:26:33"/>
    <n v="0"/>
    <n v="0"/>
    <x v="0"/>
    <x v="1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x v="0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0"/>
    <n v="1996"/>
    <s v="wieś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x v="0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1"/>
    <n v="1991"/>
    <s v="miasto wojewódzkie"/>
    <m/>
    <s v="Studia II stopnia (magisterskie) na wydziale ETI, Politechnika Gdańska"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x v="0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1"/>
    <n v="1997"/>
    <s v="wieś"/>
    <m/>
    <s v="-"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x v="0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0"/>
    <n v="1997"/>
    <s v="miasto wojewódzkie"/>
    <m/>
    <s v="kurs instruktorki hipoterapii"/>
    <m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x v="0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0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x v="0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1"/>
    <s v="II"/>
    <s v="duże miasto powiatowe"/>
    <m/>
    <s v="Ukończone LO na akademickim profilu humanistycznym pod patronatem UAM. "/>
    <s v="Studia na kierunku amerykanistyka. "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x v="0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1"/>
    <n v="1992"/>
    <s v="nieduże miasto powiatowe"/>
    <m/>
    <s v="Finanse i Rachunkowość I st., Wydział Ekonomiczno - Socjologiczny UŁ"/>
    <m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0"/>
    <n v="1991"/>
    <s v="wieś"/>
    <m/>
    <s v="Inżynierskie"/>
    <s v="brak"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x v="0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0"/>
    <n v="1998"/>
    <s v="miasto wojewódzkie"/>
    <m/>
    <m/>
    <m/>
    <m/>
  </r>
  <r>
    <n v="181"/>
    <n v="102"/>
    <n v="33"/>
    <s v="158.233.246.29"/>
    <s v="Link"/>
    <m/>
    <m/>
    <m/>
    <m/>
    <s v="Zakończono"/>
    <s v="2020-12-18 14:29:31"/>
    <s v="2020-12-18 14:36:37"/>
    <n v="426"/>
    <n v="0"/>
    <x v="0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0"/>
    <n v="1991"/>
    <s v="miasto wojewódzkie"/>
    <m/>
    <s v="inzynier"/>
    <s v="n/a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x v="0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1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62"/>
    <s v="miasto wojewódzkie"/>
    <m/>
    <m/>
    <s v="studia doktoranckie"/>
    <s v="[03]"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1"/>
    <n v="1991"/>
    <s v="miasto wojewódzkie"/>
    <m/>
    <m/>
    <m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x v="0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1"/>
    <n v="1991"/>
    <s v="miasto gminne"/>
    <m/>
    <s v="inżynier Maszyn , Siłowni i Urządzeń Okrętowych"/>
    <s v="-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x v="0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1"/>
    <n v="1982"/>
    <s v="miasto wojewódzkie"/>
    <m/>
    <s v="certyfikaty branżowe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x v="0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0"/>
    <n v="1985"/>
    <s v="miasto wojewódzkie"/>
    <m/>
    <s v="studia magisterskie uzupełniające na wydziale WZiE PG"/>
    <m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x v="0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0"/>
    <n v="1985"/>
    <s v="miasto gminne"/>
    <m/>
    <s v="nie posiadam"/>
    <s v="Nie zdobywam"/>
    <m/>
  </r>
  <r>
    <n v="184"/>
    <n v="105"/>
    <n v="33"/>
    <s v="37.47.212.241"/>
    <s v="Link"/>
    <m/>
    <m/>
    <m/>
    <m/>
    <s v="Zakończono"/>
    <s v="2020-12-18 15:25:33"/>
    <s v="2020-12-18 15:44:12"/>
    <n v="1119"/>
    <n v="0"/>
    <x v="0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1"/>
    <n v="1972"/>
    <s v="wieś"/>
    <m/>
    <s v="Technikum mechaniczne"/>
    <s v="brak"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x v="0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1"/>
    <n v="1994"/>
    <s v="wieś"/>
    <m/>
    <s v="Politechnika Gdańska, Automatyka i Robotyka I st. inżynierskie dzienne"/>
    <m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x v="0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0"/>
    <n v="1993"/>
    <s v="miasto gminne"/>
    <m/>
    <m/>
    <m/>
    <m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x v="0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1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1"/>
    <s v="1956?"/>
    <s v="duże miasto powiatowe"/>
    <m/>
    <s v="doktorat, studium podyplomowe - podwyższanie trwałości maszyn"/>
    <s v="studia rolnicze"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x v="0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1"/>
    <n v="1984"/>
    <s v="duże miasto powiatow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1"/>
    <n v="1984"/>
    <s v="miasto wojewódzki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x v="0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0"/>
    <n v="1990"/>
    <s v="miasto wojewódzkie"/>
    <m/>
    <s v="SGH/ SP"/>
    <s v="WSAiB/ studia II st. + SP"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0"/>
    <n v="2006"/>
    <s v="wieś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x v="0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1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1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1"/>
    <s v="ankieta jest anonimowa"/>
    <s v="miasto wojewódzkie"/>
    <m/>
    <s v="stopnie naukowe dr i dr hab."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x v="0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1"/>
    <n v="1991"/>
    <s v="duże miasto powiatow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0"/>
    <n v="1991"/>
    <s v="duże miasto powiatow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0"/>
    <n v="1977"/>
    <s v="duże miasto powiatowe"/>
    <m/>
    <s v="studia podyplomowe"/>
    <m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0"/>
    <n v="1987"/>
    <s v="miasto gminne"/>
    <m/>
    <s v="SWPS Warszawa, SWPS Poznań"/>
    <s v="Nie dotyczy "/>
    <s v="Pytania można byłoby prościej opisać / przystępniej :) "/>
  </r>
  <r>
    <n v="11"/>
    <n v="10"/>
    <n v="62"/>
    <s v="83.23.251.56"/>
    <s v="Link"/>
    <m/>
    <m/>
    <m/>
    <m/>
    <s v="Zakończono"/>
    <s v="2020-05-06 08:27:07"/>
    <s v="2020-05-06 08:50:31"/>
    <n v="1404"/>
    <n v="0"/>
    <x v="0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1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1"/>
    <n v="1963"/>
    <s v="miasto wojewódzkie"/>
    <s v="Gdańsk"/>
    <s v="dr hab n. ekonomicznych dr nauk technicznych, magister inżynier mechanik"/>
    <s v="jw"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x v="0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0"/>
    <n v="1979"/>
    <s v="miasto wojewódzkie"/>
    <m/>
    <m/>
    <m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x v="0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1"/>
    <n v="1983"/>
    <s v="duże miasto powiatowe"/>
    <m/>
    <s v="Dr"/>
    <s v="-"/>
    <m/>
  </r>
  <r>
    <n v="261"/>
    <n v="138"/>
    <n v="61"/>
    <s v="5.173.8.81"/>
    <s v="Link"/>
    <m/>
    <m/>
    <m/>
    <m/>
    <s v="Zakończono"/>
    <s v="2022-08-15 10:49:03"/>
    <s v="2022-08-15 10:59:19"/>
    <n v="616"/>
    <n v="0"/>
    <x v="0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1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8"/>
    <s v="miasto gminne"/>
    <m/>
    <s v="Podyplomowe - Zarządzanie"/>
    <m/>
    <s v="[A02]"/>
  </r>
  <r>
    <n v="1"/>
    <n v="1"/>
    <n v="34"/>
    <s v="37.47.232.142"/>
    <s v="Link"/>
    <m/>
    <m/>
    <m/>
    <m/>
    <s v="Zakończono"/>
    <s v="2020-04-20 14:55:16"/>
    <s v="2020-04-21 09:13:07"/>
    <n v="65871"/>
    <n v="0"/>
    <x v="0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0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211"/>
    <n v="115"/>
    <n v="35"/>
    <s v="89.64.126.173"/>
    <s v="Link"/>
    <m/>
    <m/>
    <m/>
    <m/>
    <s v="Zakończono"/>
    <s v="2020-12-19 09:07:09"/>
    <s v="2020-12-19 09:25:41"/>
    <n v="1112"/>
    <n v="0"/>
    <x v="0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1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x v="0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0"/>
    <n v="1987"/>
    <s v="miasto gminne"/>
    <m/>
    <s v="Nd"/>
    <s v="Nd"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1"/>
    <n v="1987"/>
    <s v="nieduże miasto powiatowe"/>
    <m/>
    <s v="socjologia licencjat + III stopień"/>
    <s v="w trakcie pisania doktoratu"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x v="0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1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0"/>
    <n v="1957"/>
    <s v="miasto wojewódzkie"/>
    <m/>
    <s v="dr hab."/>
    <m/>
    <m/>
  </r>
  <r>
    <n v="95"/>
    <n v="58"/>
    <n v="19"/>
    <s v="37.47.232.179"/>
    <s v="Link"/>
    <s v="https://ankietaplus.pl/ankiety/analiza/statystyki/13308"/>
    <m/>
    <m/>
    <m/>
    <s v="Zakończono"/>
    <s v="2020-07-26 00:10:40"/>
    <s v="2020-07-26 00:18:16"/>
    <n v="456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1"/>
    <n v="1992"/>
    <s v="miasto wojewódzkie"/>
    <m/>
    <s v="Technik informatyk"/>
    <s v="Licencjat"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x v="0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1"/>
    <n v="1982"/>
    <s v="nieduże miasto powiatowe"/>
    <m/>
    <m/>
    <m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x v="0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0"/>
    <n v="1983"/>
    <s v="miasto wojewódzkie"/>
    <m/>
    <s v="kurs trenerski"/>
    <s v="Nie dotyczy"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x v="0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1"/>
    <n v="1982"/>
    <s v="miasto wojewódzkie"/>
    <m/>
    <m/>
    <m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x v="0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0"/>
    <n v="1976"/>
    <s v="miasto wojewódzkie"/>
    <m/>
    <m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x v="0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0"/>
    <n v="1991"/>
    <s v="miasto wojewódzkie"/>
    <m/>
    <m/>
    <m/>
    <m/>
  </r>
  <r>
    <n v="119"/>
    <s v="BRAK"/>
    <n v="16"/>
    <s v="185.56.174.2"/>
    <s v="Link"/>
    <m/>
    <m/>
    <m/>
    <m/>
    <s v="W trakcie"/>
    <s v="2020-09-16 09:47:58"/>
    <s v="2020-09-16 09:47:58"/>
    <n v="0"/>
    <n v="0"/>
    <x v="0"/>
    <x v="0"/>
    <m/>
    <m/>
    <m/>
    <m/>
    <m/>
    <m/>
    <m/>
    <m/>
    <m/>
    <m/>
    <m/>
    <m/>
    <m/>
    <m/>
    <m/>
    <x v="0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"/>
    <n v="2"/>
    <n v="95"/>
    <s v="31.179.150.134"/>
    <s v="Link"/>
    <m/>
    <m/>
    <m/>
    <m/>
    <s v="Zakończono"/>
    <s v="2020-04-30 13:28:06"/>
    <s v="2020-04-30 13:54:19"/>
    <n v="1573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1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2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1"/>
    <n v="1961"/>
    <s v="miasto wojewódzkie"/>
    <m/>
    <s v="Podyplomowe SGH"/>
    <m/>
    <m/>
  </r>
  <r>
    <n v="8"/>
    <n v="8"/>
    <n v="58"/>
    <s v="94.172.217.53"/>
    <s v="Link"/>
    <m/>
    <m/>
    <m/>
    <m/>
    <s v="Zakończono"/>
    <s v="2020-05-04 18:33:10"/>
    <s v="2020-05-04 18:45:58"/>
    <n v="768"/>
    <n v="0"/>
    <x v="0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1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1"/>
    <n v="1950"/>
    <s v="miasto wojewódzkie"/>
    <m/>
    <m/>
    <m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x v="0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1"/>
    <n v="1991"/>
    <s v="miasto gminne"/>
    <s v="Czersk"/>
    <s v="licencjat - studia pedagogiczne "/>
    <s v="brak"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x v="0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1"/>
    <n v="1987"/>
    <s v="nieduże miasto powiatowe"/>
    <m/>
    <s v="ukończone szkolenia/kursy ,  studia podyplomowe"/>
    <s v="szkolenia, certyfikaty, kursy, samodzielna nauka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x v="0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1"/>
    <n v="1978"/>
    <s v="miasto wojewódzkie"/>
    <m/>
    <s v="Szkolenia i kursy paychoterapeutyczne"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x v="0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1"/>
    <n v="1974"/>
    <s v="duże miasto powiatowe"/>
    <m/>
    <s v="ITIL masters"/>
    <m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x v="0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1"/>
    <n v="1966"/>
    <s v="miasto wojewódzkie"/>
    <m/>
    <m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x v="0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0"/>
    <n v="1994"/>
    <s v="wieś"/>
    <m/>
    <s v="Tytuł Licencjata na Uniwersytecie Śląskim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x v="0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0"/>
    <s v="NA"/>
    <s v="duże miasto powiatowe"/>
    <m/>
    <s v="studia podyplomowe z rachunkowości"/>
    <s v="NA"/>
    <s v="NA"/>
  </r>
  <r>
    <n v="30"/>
    <n v="21"/>
    <n v="46"/>
    <s v="192.166.202.46"/>
    <s v="Link"/>
    <m/>
    <m/>
    <m/>
    <m/>
    <s v="Zakończono"/>
    <s v="2020-05-16 15:39:07"/>
    <s v="2020-05-16 17:32:39"/>
    <n v="6812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0"/>
    <n v="1994"/>
    <s v="miasto gminne"/>
    <m/>
    <s v="dyplom studiów podyplomowych"/>
    <s v="kolejne studia podyplomowe"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x v="0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7"/>
    <s v="miasto wojewódzkie"/>
    <m/>
    <s v="Administracja, Politologia, Marketing internetowy"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x v="0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0"/>
    <n v="1980"/>
    <s v="wieś"/>
    <m/>
    <s v="Kolegium kształcenia nauczycieli języków obcycb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x v="0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0"/>
    <n v="1984"/>
    <s v="duże miasto powiatowe"/>
    <m/>
    <s v="podyplomowe"/>
    <m/>
    <m/>
  </r>
  <r>
    <n v="203"/>
    <s v="BRAK"/>
    <n v="21"/>
    <s v="188.147.68.194"/>
    <s v="Link"/>
    <m/>
    <m/>
    <m/>
    <m/>
    <s v="W trakcie"/>
    <s v="2020-12-18 17:56:43"/>
    <s v="2020-12-18 17:56:43"/>
    <n v="0"/>
    <n v="0"/>
    <x v="0"/>
    <x v="0"/>
    <m/>
    <m/>
    <m/>
    <m/>
    <m/>
    <m/>
    <m/>
    <m/>
    <m/>
    <m/>
    <m/>
    <m/>
    <m/>
    <m/>
    <m/>
    <x v="0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x v="0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0"/>
    <n v="1985"/>
    <s v="miasto wojewódzkie"/>
    <m/>
    <s v="Brak"/>
    <s v="Beak"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x v="0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1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x v="0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1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x v="0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0"/>
    <n v="1987"/>
    <s v="miasto wojewódzkie"/>
    <m/>
    <s v="Policealne, podyplomowe "/>
    <m/>
    <m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x v="0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1"/>
    <n v="1990"/>
    <s v="miasto wojewódzkie"/>
    <m/>
    <s v="studia podyplomowe w zakresie biznesu"/>
    <s v="zagraniczne studium w zakresie kompozycji, studia magisterskie (zarządzanie przedsiębiorstwem)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x v="0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88"/>
    <s v="nieduże miasto powiatowe"/>
    <m/>
    <m/>
    <s v="doktorat - ekonomia"/>
    <m/>
  </r>
  <r>
    <n v="118"/>
    <s v="BRAK"/>
    <n v="18"/>
    <s v="185.56.174.2"/>
    <s v="Link"/>
    <m/>
    <m/>
    <m/>
    <m/>
    <s v="W trakcie"/>
    <s v="2020-09-16 09:39:01"/>
    <s v="2020-09-16 09:39:01"/>
    <n v="0"/>
    <n v="0"/>
    <x v="0"/>
    <x v="1"/>
    <s v="Politechnika Warszawska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x v="0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0"/>
    <n v="1982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1"/>
    <n v="1987"/>
    <s v="miasto wojewódzkie"/>
    <m/>
    <s v="Politechnika Gdańska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x v="0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1"/>
    <n v="1974"/>
    <s v="miasto wojewódzkie"/>
    <s v="Gdańsk"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x v="0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1"/>
    <n v="1974"/>
    <s v="duże miasto powiatowe"/>
    <m/>
    <s v="podyplomowe - WSAiB"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x v="0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1"/>
    <n v="1982"/>
    <s v="miasto wojewódzkie"/>
    <m/>
    <m/>
    <m/>
    <m/>
  </r>
  <r>
    <n v="151"/>
    <s v="BRAK"/>
    <n v="25"/>
    <s v="158.233.246.27"/>
    <s v="Link"/>
    <m/>
    <m/>
    <m/>
    <m/>
    <s v="W trakcie"/>
    <s v="2020-12-15 14:27:58"/>
    <s v="2020-12-15 14:27:58"/>
    <n v="0"/>
    <n v="0"/>
    <x v="0"/>
    <x v="0"/>
    <m/>
    <m/>
    <m/>
    <m/>
    <m/>
    <m/>
    <m/>
    <m/>
    <m/>
    <m/>
    <m/>
    <m/>
    <m/>
    <m/>
    <m/>
    <x v="0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x v="0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0"/>
    <n v="1982"/>
    <s v="nieduże miasto powiatowe"/>
    <m/>
    <s v="brak"/>
    <s v="brak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x v="0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0"/>
    <n v="1984"/>
    <s v="miasto gminne"/>
    <m/>
    <s v="brak"/>
    <s v="brak"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x v="0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0"/>
    <n v="1991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1"/>
    <n v="1981"/>
    <s v="nieduże miasto powiatowe"/>
    <m/>
    <m/>
    <m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x v="0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0"/>
    <n v="1983"/>
    <s v="miasto gminne"/>
    <m/>
    <s v="nd"/>
    <s v="Nd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x v="0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0"/>
    <n v="1986"/>
    <s v="duże miasto powiatowe"/>
    <m/>
    <s v="Szkoła wieczorowa"/>
    <m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x v="0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0"/>
    <n v="1986"/>
    <s v="nieduże miasto powiatowe"/>
    <m/>
    <s v="studia 2 stopnia (magisterskie): skandynawistyka"/>
    <s v="studia podyplomowe: Analiza Biznesowa w IT"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0"/>
    <n v="1981"/>
    <s v="miasto wojewódzkie"/>
    <m/>
    <s v="stopień naukowy doktora"/>
    <m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x v="0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0"/>
    <n v="1994"/>
    <s v="miasto wojewódzkie"/>
    <s v="Gdansk"/>
    <s v="Podyplomowe studia z zakresu kadr i płac"/>
    <m/>
    <m/>
  </r>
  <r>
    <n v="219"/>
    <s v="BRAK"/>
    <n v="20"/>
    <s v="31.60.245.10"/>
    <s v="Link"/>
    <s v="http://m.facebook.com/"/>
    <m/>
    <m/>
    <m/>
    <s v="W trakcie"/>
    <s v="2020-12-20 19:09:01"/>
    <s v="2020-12-20 19:09:01"/>
    <n v="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40"/>
    <s v="BRAK"/>
    <n v="20"/>
    <s v="188.47.126.140"/>
    <s v="Link"/>
    <m/>
    <m/>
    <m/>
    <m/>
    <s v="W trakcie"/>
    <s v="2020-12-29 20:12:53"/>
    <s v="2020-12-29 20:12:53"/>
    <n v="0"/>
    <n v="0"/>
    <x v="0"/>
    <x v="0"/>
    <m/>
    <m/>
    <m/>
    <m/>
    <m/>
    <m/>
    <m/>
    <m/>
    <m/>
    <m/>
    <m/>
    <m/>
    <m/>
    <m/>
    <m/>
    <x v="0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x v="0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n v="1981"/>
    <s v="wieś"/>
    <m/>
    <s v="Brak"/>
    <s v="Nie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x v="0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0"/>
    <n v="1986"/>
    <s v="wieś gminna"/>
    <m/>
    <s v="Technikum Hotelarsko Turystyczne"/>
    <s v="Brak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1"/>
    <n v="1994"/>
    <s v="wieś"/>
    <m/>
    <s v="Wyłącznie ukończony kurs przewodnicki (oprowadzanie grup po Zamku Królewskim na Wawelu)"/>
    <s v="Żadne "/>
    <m/>
  </r>
  <r>
    <n v="154"/>
    <n v="89"/>
    <n v="17"/>
    <s v="158.233.246.27"/>
    <s v="Link"/>
    <m/>
    <m/>
    <m/>
    <m/>
    <s v="Zakończono"/>
    <s v="2020-12-16 00:42:24"/>
    <s v="2020-12-16 00:45:11"/>
    <n v="167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1"/>
    <n v="1987"/>
    <s v="miasto wojewódzkie"/>
    <m/>
    <s v="-"/>
    <s v="przerwane studia na kierunku informatyka"/>
    <m/>
  </r>
  <r>
    <n v="155"/>
    <s v="BRAK"/>
    <n v="9"/>
    <s v="158.233.246.28"/>
    <s v="Link"/>
    <m/>
    <m/>
    <m/>
    <m/>
    <s v="W trakcie"/>
    <s v="2020-12-16 07:43:49"/>
    <s v="2020-12-16 07:43:49"/>
    <n v="0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0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1"/>
    <n v="1994"/>
    <s v="miasto wojewódzkie"/>
    <m/>
    <m/>
    <s v="Studia doktoranckie"/>
    <m/>
  </r>
  <r>
    <n v="200"/>
    <s v="BRAK"/>
    <n v="21"/>
    <s v="153.19.11.181"/>
    <s v="Link"/>
    <s v="https://zasobygwp.pl/"/>
    <m/>
    <m/>
    <m/>
    <s v="W trakcie"/>
    <s v="2020-12-18 17:17:49"/>
    <s v="2020-12-18 17:17:49"/>
    <n v="0"/>
    <n v="0"/>
    <x v="0"/>
    <x v="0"/>
    <m/>
    <m/>
    <m/>
    <m/>
    <m/>
    <m/>
    <m/>
    <m/>
    <m/>
    <m/>
    <m/>
    <m/>
    <m/>
    <m/>
    <m/>
    <x v="0"/>
    <s v="Uniwersytet Gdański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x v="0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0"/>
    <n v="1989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0"/>
    <n v="1994"/>
    <s v="wieś"/>
    <m/>
    <m/>
    <m/>
    <m/>
  </r>
  <r>
    <n v="66"/>
    <s v="BRAK"/>
    <n v="25"/>
    <s v="83.29.163.195"/>
    <s v="Link"/>
    <s v="http://m.facebook.com/"/>
    <m/>
    <m/>
    <m/>
    <s v="W trakcie"/>
    <s v="2020-05-17 10:13:52"/>
    <s v="2020-05-17 10:13:52"/>
    <n v="0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0"/>
    <n v="1994"/>
    <s v="wieś"/>
    <m/>
    <s v="Ukończyłam studia podyplomowe z logopedii"/>
    <s v="Studia podyplomowe z oligofrenopedagogiki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x v="0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0"/>
    <n v="1994"/>
    <s v="nieduże miasto powiatowe"/>
    <m/>
    <s v="Brak"/>
    <s v="Brak"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x v="0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0"/>
    <n v="1985"/>
    <s v="duże miasto powiatowe"/>
    <m/>
    <s v="technik masażysta, nauczyciel "/>
    <m/>
    <m/>
  </r>
  <r>
    <n v="46"/>
    <s v="BRAK"/>
    <n v="16"/>
    <s v="5.173.27.250"/>
    <s v="Link"/>
    <s v="http://m.facebook.com/"/>
    <m/>
    <m/>
    <m/>
    <s v="W trakcie"/>
    <s v="2020-05-16 18:03:00"/>
    <s v="2020-05-16 18:03:00"/>
    <n v="0"/>
    <n v="0"/>
    <x v="0"/>
    <x v="0"/>
    <m/>
    <m/>
    <m/>
    <m/>
    <m/>
    <m/>
    <m/>
    <m/>
    <m/>
    <m/>
    <m/>
    <m/>
    <m/>
    <m/>
    <m/>
    <x v="0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x v="0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0"/>
    <n v="1933"/>
    <s v="miasto gminne"/>
    <m/>
    <m/>
    <m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x v="0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1"/>
    <n v="1934"/>
    <s v="miasto gminne"/>
    <m/>
    <m/>
    <m/>
    <m/>
  </r>
  <r>
    <n v="147"/>
    <s v="BRAK"/>
    <n v="25"/>
    <s v="158.233.246.26"/>
    <s v="Link"/>
    <m/>
    <m/>
    <m/>
    <m/>
    <s v="W trakcie"/>
    <s v="2020-12-15 11:10:41"/>
    <s v="2020-12-15 11:10:41"/>
    <n v="0"/>
    <n v="0"/>
    <x v="0"/>
    <x v="0"/>
    <m/>
    <m/>
    <m/>
    <m/>
    <m/>
    <m/>
    <m/>
    <m/>
    <m/>
    <m/>
    <m/>
    <m/>
    <m/>
    <m/>
    <m/>
    <x v="0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x v="0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0"/>
    <n v="1985"/>
    <s v="nieduże miasto powiatowe"/>
    <m/>
    <s v="specjalizacja "/>
    <s v="-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x v="0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0"/>
    <n v="1977"/>
    <s v="miasto wojewódzkie"/>
    <s v="Olsztyn"/>
    <s v="Studia podyplomowe na University of Illinois"/>
    <m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x v="0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0"/>
    <n v="1962"/>
    <s v="miasto gminne"/>
    <m/>
    <s v="historia - podyplomowe; bibliotekarstwo, ekonomia - policealne studium"/>
    <s v="brak"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x v="0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0"/>
    <n v="1994"/>
    <s v="miasto gminne"/>
    <m/>
    <m/>
    <m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x v="0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0"/>
    <n v="1978"/>
    <s v="miasto wojewódzkie"/>
    <m/>
    <s v="brak"/>
    <s v="brak"/>
    <m/>
  </r>
  <r>
    <n v="202"/>
    <s v="BRAK"/>
    <n v="21"/>
    <s v="46.175.228.124"/>
    <s v="Link"/>
    <m/>
    <m/>
    <m/>
    <m/>
    <s v="W trakcie"/>
    <s v="2020-12-18 17:30:51"/>
    <s v="2020-12-18 17:30:51"/>
    <n v="0"/>
    <n v="0"/>
    <x v="0"/>
    <x v="0"/>
    <m/>
    <m/>
    <m/>
    <m/>
    <m/>
    <m/>
    <m/>
    <m/>
    <m/>
    <m/>
    <m/>
    <m/>
    <m/>
    <m/>
    <m/>
    <x v="0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x v="0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0"/>
    <n v="1986"/>
    <s v="duże miasto powiatowe"/>
    <m/>
    <s v="Mgr nauk politycznych, studia podyplomowe w zakresie zarzadzania projektami (Uniwersytet Gdański) "/>
    <m/>
    <m/>
  </r>
  <r>
    <n v="244"/>
    <s v="BRAK"/>
    <n v="24"/>
    <s v="158.233.246.29"/>
    <s v="Link"/>
    <m/>
    <m/>
    <m/>
    <m/>
    <s v="W trakcie"/>
    <s v="2021-01-07 08:59:06"/>
    <s v="2021-01-07 08:59:06"/>
    <n v="0"/>
    <n v="0"/>
    <x v="0"/>
    <x v="0"/>
    <m/>
    <m/>
    <m/>
    <m/>
    <m/>
    <m/>
    <m/>
    <m/>
    <m/>
    <m/>
    <m/>
    <m/>
    <m/>
    <m/>
    <m/>
    <x v="0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x v="0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0"/>
    <n v="1990"/>
    <s v="duże miasto powiatowe"/>
    <m/>
    <s v="Licencjat, mgr absolutorium na UG"/>
    <s v="Studia psychologii biznesu na UG"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x v="0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1"/>
    <n v="1986"/>
    <s v="duże miasto powiatowe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x v="0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0"/>
    <n v="1991"/>
    <s v="duże miasto powiatowe"/>
    <m/>
    <m/>
    <s v="przerwane studia na PG na wydziale mechanicznym , przerwane studia na WSKS w Gdyni z zakresu pedagogiki "/>
    <m/>
  </r>
  <r>
    <n v="112"/>
    <s v="BRAK"/>
    <n v="25"/>
    <s v="83.20.239.253"/>
    <s v="Link"/>
    <m/>
    <m/>
    <m/>
    <m/>
    <s v="W trakcie"/>
    <s v="2020-08-27 22:16:34"/>
    <s v="2020-08-27 22:16:34"/>
    <n v="0"/>
    <n v="0"/>
    <x v="0"/>
    <x v="0"/>
    <m/>
    <m/>
    <m/>
    <m/>
    <m/>
    <m/>
    <m/>
    <m/>
    <m/>
    <m/>
    <m/>
    <m/>
    <m/>
    <m/>
    <m/>
    <x v="0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53"/>
    <s v="BRAK"/>
    <n v="17"/>
    <s v="5.173.225.128"/>
    <s v="Link"/>
    <s v="http://m.facebook.com/"/>
    <m/>
    <m/>
    <m/>
    <s v="W trakcie"/>
    <s v="2021-01-26 18:04:13"/>
    <s v="2021-01-26 18:04:13"/>
    <n v="0"/>
    <n v="0"/>
    <x v="0"/>
    <x v="1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x v="0"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109C-F15F-470F-9BAB-059408B26827}" name="Tabela przestawna6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2:B35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naukowym lub dydaktycznym uczelni wyższej?" fld="105" subtotal="count" baseField="0" baseItem="0"/>
  </dataFields>
  <formats count="6">
    <format dxfId="356">
      <pivotArea type="all" dataOnly="0" outline="0" fieldPosition="0"/>
    </format>
    <format dxfId="355">
      <pivotArea outline="0" collapsedLevelsAreSubtotals="1" fieldPosition="0"/>
    </format>
    <format dxfId="354">
      <pivotArea field="105" type="button" dataOnly="0" labelOnly="1" outline="0" axis="axisRow" fieldPosition="0"/>
    </format>
    <format dxfId="353">
      <pivotArea dataOnly="0" labelOnly="1" fieldPosition="0">
        <references count="1">
          <reference field="105" count="0"/>
        </references>
      </pivotArea>
    </format>
    <format dxfId="352">
      <pivotArea dataOnly="0" labelOnly="1" grandRow="1" outline="0" fieldPosition="0"/>
    </format>
    <format dxfId="35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EC02-372C-4B4B-89DB-A7B0C2050D92}" name="Tabela przestawna1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2:D21" firstHeaderRow="1" firstDataRow="2" firstDataCol="1" rowPageCount="9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5"/>
  </colFields>
  <colItems count="3">
    <i>
      <x/>
    </i>
    <i>
      <x v="1"/>
    </i>
    <i t="grand">
      <x/>
    </i>
  </colItems>
  <pageFields count="9">
    <pageField fld="207" item="2" hier="-1"/>
    <pageField fld="14" hier="-1"/>
    <pageField fld="31" hier="-1"/>
    <pageField fld="49" hier="-1"/>
    <pageField fld="95" hier="-1"/>
    <pageField fld="105" hier="-1"/>
    <pageField fld="115" hier="-1"/>
    <pageField fld="170" hier="-1"/>
    <pageField fld="144" hier="-1"/>
  </pageFields>
  <dataFields count="8">
    <dataField name="Liczba z Czy jesteś absolwentem uczelni wyższej?" fld="31" subtotal="count" baseField="0" baseItem="0"/>
    <dataField name="Liczba z Czy jesteś studentem uczelni wyższej?" fld="15" subtotal="count" baseField="0" baseItem="0"/>
    <dataField name="Liczba z Czy jesteś rodzicem / opiekunem absolwenta uczelni wyższej?" fld="49" subtotal="count" baseField="0" baseItem="0"/>
    <dataField name="Liczba z Czy jesteś aktualnie pracownikiem administracyjnym uczelni wyższej?" fld="95" subtotal="count" baseField="0" baseItem="0"/>
    <dataField name="Liczba z Czy jesteś aktualnie pracownikiem naukowym lub dydaktycznym uczelni wyższej?" fld="10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władz samorządowych lub centralnych Rzeczypospolitej Polskiej?" fld="170" subtotal="count" baseField="0" baseItem="0"/>
    <dataField name="Liczba z Czy jesteś przedstawicielem firmy, w której są zatrudniani absolwenci uczelni wyższych (tytuł licencjata, magistra lub wyższy)?" fld="14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DBF73-8FE8-4122-BDC0-05F7CF4EAD75}" name="Tabela przestawna1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8:F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31" hier="-1"/>
  </pageFields>
  <dataFields count="1">
    <dataField name="Liczba z Czy jesteś rodzicem / opiekunem absolwenta uczelni wyższej?" fld="49" subtotal="count" baseField="0" baseItem="0"/>
  </dataFields>
  <formats count="5">
    <format dxfId="361">
      <pivotArea type="all" dataOnly="0" outline="0" fieldPosition="0"/>
    </format>
    <format dxfId="360">
      <pivotArea outline="0" collapsedLevelsAreSubtotals="1" fieldPosition="0"/>
    </format>
    <format dxfId="359">
      <pivotArea field="49" type="button" dataOnly="0" labelOnly="1" outline="0" axis="axisRow" fieldPosition="0"/>
    </format>
    <format dxfId="358">
      <pivotArea dataOnly="0" labelOnly="1" grandRow="1" outline="0" fieldPosition="0"/>
    </format>
    <format dxfId="357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F3CDF-E9F4-448E-8853-9B0692A78CD9}" name="Tabela przestawna5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5:B28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administracyjnym uczelni wyższej?" fld="95" subtotal="count" baseField="0" baseItem="0"/>
  </dataFields>
  <formats count="6">
    <format dxfId="367">
      <pivotArea type="all" dataOnly="0" outline="0" fieldPosition="0"/>
    </format>
    <format dxfId="366">
      <pivotArea outline="0" collapsedLevelsAreSubtotals="1" fieldPosition="0"/>
    </format>
    <format dxfId="365">
      <pivotArea field="95" type="button" dataOnly="0" labelOnly="1" outline="0" axis="axisRow" fieldPosition="0"/>
    </format>
    <format dxfId="364">
      <pivotArea dataOnly="0" labelOnly="1" fieldPosition="0">
        <references count="1">
          <reference field="95" count="0"/>
        </references>
      </pivotArea>
    </format>
    <format dxfId="363">
      <pivotArea dataOnly="0" labelOnly="1" grandRow="1" outline="0" fieldPosition="0"/>
    </format>
    <format dxfId="362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A45A-90B8-42FA-86A6-7BB9C1A159C0}" name="Tabela przestawna4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8:B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rodzicem / opiekunem absolwenta uczelni wyższej?" fld="49" subtotal="count" baseField="0" baseItem="0"/>
  </dataFields>
  <formats count="6">
    <format dxfId="373">
      <pivotArea type="all" dataOnly="0" outline="0" fieldPosition="0"/>
    </format>
    <format dxfId="372">
      <pivotArea outline="0" collapsedLevelsAreSubtotals="1" fieldPosition="0"/>
    </format>
    <format dxfId="371">
      <pivotArea field="49" type="button" dataOnly="0" labelOnly="1" outline="0" axis="axisRow" fieldPosition="0"/>
    </format>
    <format dxfId="370">
      <pivotArea dataOnly="0" labelOnly="1" fieldPosition="0">
        <references count="1">
          <reference field="49" count="0"/>
        </references>
      </pivotArea>
    </format>
    <format dxfId="369">
      <pivotArea dataOnly="0" labelOnly="1" grandRow="1" outline="0" fieldPosition="0"/>
    </format>
    <format dxfId="368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6CBEE-5E76-476D-A2F1-0FA778A0C097}" name="Tabela przestawna8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6:B49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4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firmy, w której są zatrudniani absolwenci uczelni wyższych (tytuł licencjata, magistra lub wyższy)?" fld="144" subtotal="count" baseField="0" baseItem="0"/>
  </dataFields>
  <formats count="6">
    <format dxfId="379">
      <pivotArea type="all" dataOnly="0" outline="0" fieldPosition="0"/>
    </format>
    <format dxfId="378">
      <pivotArea outline="0" collapsedLevelsAreSubtotals="1" fieldPosition="0"/>
    </format>
    <format dxfId="377">
      <pivotArea field="144" type="button" dataOnly="0" labelOnly="1" outline="0" axis="axisRow" fieldPosition="0"/>
    </format>
    <format dxfId="376">
      <pivotArea dataOnly="0" labelOnly="1" fieldPosition="0">
        <references count="1">
          <reference field="144" count="0"/>
        </references>
      </pivotArea>
    </format>
    <format dxfId="375">
      <pivotArea dataOnly="0" labelOnly="1" grandRow="1" outline="0" fieldPosition="0"/>
    </format>
    <format dxfId="374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E110-99DE-4B15-A7E3-1E0D53D72C3A}" name="Tabela przestawna3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1:B14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bsolwentem uczelni wyższej?" fld="31" subtotal="count" baseField="0" baseItem="0"/>
  </dataFields>
  <formats count="6">
    <format dxfId="385">
      <pivotArea type="all" dataOnly="0" outline="0" fieldPosition="0"/>
    </format>
    <format dxfId="384">
      <pivotArea outline="0" collapsedLevelsAreSubtotals="1" fieldPosition="0"/>
    </format>
    <format dxfId="383">
      <pivotArea field="31" type="button" dataOnly="0" labelOnly="1" outline="0" axis="axisRow" fieldPosition="0"/>
    </format>
    <format dxfId="382">
      <pivotArea dataOnly="0" labelOnly="1" fieldPosition="0">
        <references count="1">
          <reference field="31" count="0"/>
        </references>
      </pivotArea>
    </format>
    <format dxfId="381">
      <pivotArea dataOnly="0" labelOnly="1" grandRow="1" outline="0" fieldPosition="0"/>
    </format>
    <format dxfId="38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A05A5-C812-4CBF-8D0E-D6466B26C2EE}" name="Tabela przestawna9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3:B56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0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samorządowych lub centralnych Rzeczypospolitej Polskiej?" fld="170" subtotal="count" baseField="0" baseItem="0"/>
  </dataFields>
  <formats count="6">
    <format dxfId="391">
      <pivotArea type="all" dataOnly="0" outline="0" fieldPosition="0"/>
    </format>
    <format dxfId="390">
      <pivotArea outline="0" collapsedLevelsAreSubtotals="1" fieldPosition="0"/>
    </format>
    <format dxfId="389">
      <pivotArea field="170" type="button" dataOnly="0" labelOnly="1" outline="0" axis="axisRow" fieldPosition="0"/>
    </format>
    <format dxfId="388">
      <pivotArea dataOnly="0" labelOnly="1" fieldPosition="0">
        <references count="1">
          <reference field="170" count="0"/>
        </references>
      </pivotArea>
    </format>
    <format dxfId="387">
      <pivotArea dataOnly="0" labelOnly="1" grandRow="1" outline="0" fieldPosition="0"/>
    </format>
    <format dxfId="38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BAAB-7C3B-4D18-8813-45C14B4E081C}" name="Tabela przestawna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7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studentem uczelni wyższej?" fld="15" subtotal="count" baseField="0" baseItem="0"/>
  </dataFields>
  <formats count="6">
    <format dxfId="397">
      <pivotArea type="all" dataOnly="0" outline="0" fieldPosition="0"/>
    </format>
    <format dxfId="396">
      <pivotArea outline="0" collapsedLevelsAreSubtotals="1" fieldPosition="0"/>
    </format>
    <format dxfId="395">
      <pivotArea field="15" type="button" dataOnly="0" labelOnly="1" outline="0" axis="axisRow" fieldPosition="0"/>
    </format>
    <format dxfId="394">
      <pivotArea dataOnly="0" labelOnly="1" fieldPosition="0">
        <references count="1">
          <reference field="15" count="0"/>
        </references>
      </pivotArea>
    </format>
    <format dxfId="393">
      <pivotArea dataOnly="0" labelOnly="1" grandRow="1" outline="0" fieldPosition="0"/>
    </format>
    <format dxfId="392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E8CB3-99E8-43FD-9B4F-6FD62728B119}" name="Tabela przestawna7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9:B42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uczelni z grupy rektorów, prorektorów, dziekanów, prodziekanów, członków senatu lub członków rady uczelni?" fld="115" subtotal="count" baseField="0" baseItem="0"/>
  </dataFields>
  <formats count="6">
    <format dxfId="403">
      <pivotArea type="all" dataOnly="0" outline="0" fieldPosition="0"/>
    </format>
    <format dxfId="402">
      <pivotArea outline="0" collapsedLevelsAreSubtotals="1" fieldPosition="0"/>
    </format>
    <format dxfId="401">
      <pivotArea field="115" type="button" dataOnly="0" labelOnly="1" outline="0" axis="axisRow" fieldPosition="0"/>
    </format>
    <format dxfId="400">
      <pivotArea dataOnly="0" labelOnly="1" fieldPosition="0">
        <references count="1">
          <reference field="115" count="0"/>
        </references>
      </pivotArea>
    </format>
    <format dxfId="399">
      <pivotArea dataOnly="0" labelOnly="1" grandRow="1" outline="0" fieldPosition="0"/>
    </format>
    <format dxfId="398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CEDE85-DAA3-402E-B8BB-F03DCC1EC730}" name="AnalizaCzyste" displayName="AnalizaCzyste" ref="A2:HH136" totalsRowCount="1">
  <autoFilter ref="A2:HH135" xr:uid="{BC01C17C-E729-4430-9A94-BDF77386BAED}"/>
  <tableColumns count="216">
    <tableColumn id="1" xr3:uid="{37199E79-F22A-49C0-B1C3-8001D68B6905}" name="Lp."/>
    <tableColumn id="214" xr3:uid="{15F16F1A-B79B-4E98-AC9F-5DC850A3D9F6}" name="ID_zakończone" dataDxfId="510">
      <calculatedColumnFormula>_xlfn.IFNA(VLOOKUP(AnalizaCzyste[[#This Row],[Zakończono wypełnianie]],Zakończone[],2,0),"BRAK")</calculatedColumnFormula>
    </tableColumn>
    <tableColumn id="213" xr3:uid="{D0D33D71-A9E4-4CAC-BFB1-A490F680AF4A}" name="ILE niepustych" dataDxfId="509">
      <calculatedColumnFormula>COUNTA(O3:HH3)</calculatedColumnFormula>
    </tableColumn>
    <tableColumn id="2" xr3:uid="{C60D5496-5788-44E9-9EDD-3C7C52855FC3}" name="Adres IP"/>
    <tableColumn id="3" xr3:uid="{98A51C40-20AD-446E-AE63-6D7E9B364491}" name="Kolektor"/>
    <tableColumn id="4" xr3:uid="{898E9D98-C248-4123-AA44-77D7B85EE1F3}" name="Adres referencyjny / Respondent email"/>
    <tableColumn id="5" xr3:uid="{15D74B4A-8937-4460-B65B-958947C0D4B5}" name="Respondent imie"/>
    <tableColumn id="6" xr3:uid="{2BC93BFA-1581-4F9C-818C-5970FCE11F67}" name="Respondent nazwisko"/>
    <tableColumn id="7" xr3:uid="{90F75473-A057-4FD4-9AD0-078061DA9D62}" name="Respondent dodatkowe dane"/>
    <tableColumn id="8" xr3:uid="{1F2AF863-607E-4344-864D-832A6DE61052}" name="Status"/>
    <tableColumn id="9" xr3:uid="{B8DCE562-4599-46A0-98D0-29A2F2B1980B}" name="Rozpoczęto wypełnianie"/>
    <tableColumn id="10" xr3:uid="{E2617982-2AA5-46BF-BF8D-CCC1DC921D1A}" name="Zakończono wypełnianie"/>
    <tableColumn id="11" xr3:uid="{5C243F5F-5B7A-4FD5-94E5-052DFE39FA5B}" name="Czas trwania (s)"/>
    <tableColumn id="12" xr3:uid="{E08DF4D6-760C-4F6F-88DE-4E70FE422C2F}" name="Punktacja"/>
    <tableColumn id="13" xr3:uid="{F36C4D29-9392-4A6A-8612-F7EDC98894AA}" name="Czy jesteś osobą pełnoletnią?" totalsRowFunction="custom" totalsRowDxfId="508">
      <totalsRowFormula>COUNTA((O3:O135))</totalsRowFormula>
    </tableColumn>
    <tableColumn id="14" xr3:uid="{A75D7BB0-BDD4-4F9E-BFE1-A35FFDAA2A35}" name="Czy jesteś studentem uczelni wyższej?" totalsRowFunction="custom" dataDxfId="507" totalsRowDxfId="506">
      <totalsRowFormula>COUNTA((P3:P135))</totalsRowFormula>
    </tableColumn>
    <tableColumn id="15" xr3:uid="{59EBE606-808E-4993-BA84-2428F0FB2A27}" name="Jak się nazywa uczelnia, na której studiujesz? (proszę o wybranie jednej uczelni podlegającej ocenie)" totalsRowFunction="custom" totalsRowDxfId="505">
      <totalsRowFormula>COUNTA((Q3:Q135))</totalsRowFormula>
    </tableColumn>
    <tableColumn id="16" xr3:uid="{B883EC52-B4D3-434E-8AFF-6334D1B8C483}" name="Czy studiujesz na kierunku technicznym, tzn. takim, po którym uzyskasz tytuł inżyniera?" totalsRowFunction="custom" totalsRowDxfId="504">
      <totalsRowFormula>COUNTA((R3:R135))</totalsRowFormula>
    </tableColumn>
    <tableColumn id="17" xr3:uid="{C6F68B54-181D-4E6B-90DE-3758AC28643F}" name="Jak się nazywa kierunek, na którym studiujesz?" totalsRowFunction="custom" totalsRowDxfId="503">
      <totalsRowFormula>COUNTA((S3:S135))</totalsRowFormula>
    </tableColumn>
    <tableColumn id="18" xr3:uid="{4009F8D5-0845-4794-BD7B-DEDD90E1035F}" name="Moja satysfakcja z usług edukacyjnych ocenianej uczelni jest wysoka." totalsRowFunction="custom" totalsRowDxfId="502">
      <totalsRowFormula>COUNTA((T3:T135))</totalsRowFormula>
    </tableColumn>
    <tableColumn id="19" xr3:uid="{9C33E588-FD6F-4756-A796-19608D8E5787}" name="Usługi edukacyjne ocenianej uczelni mają wysoką wartość (okazja / szansa rozwoju własnego lub kariery)." totalsRowFunction="custom" totalsRowDxfId="501">
      <totalsRowFormula>COUNTA((U3:U135))</totalsRowFormula>
    </tableColumn>
    <tableColumn id="20" xr3:uid="{AD29E10C-3B61-4AC3-9DB6-E5592E85F54D}" name="Kształcenie na ocenianej uczelni ma/będzie miało pozytywny wpływ na zwiększenie moich zarobków." totalsRowFunction="custom" totalsRowDxfId="500">
      <totalsRowFormula>COUNTA((V3:V135))</totalsRowFormula>
    </tableColumn>
    <tableColumn id="21" xr3:uid="{29A03634-DD01-47E7-9082-570B2CBA75AC}" name="Kolumna1" totalsRowFunction="custom" totalsRowDxfId="499">
      <totalsRowFormula>COUNTA((W3:W135))</totalsRowFormula>
    </tableColumn>
    <tableColumn id="22" xr3:uid="{E3063293-8C09-4AD3-970A-FC723899E602}" name="w pierwszym roku po ukończeniu studiów : wybierz wartość z listy rozwijanej" totalsRowFunction="custom" totalsRowDxfId="498">
      <totalsRowFormula>COUNTA((X3:X135))</totalsRowFormula>
    </tableColumn>
    <tableColumn id="23" xr3:uid="{62967F23-9856-4DFD-AADC-42AC36B2CDB1}" name="w 3 lata po ukończeniu studiów : wybierz wartość z listy rozwijanej" totalsRowFunction="custom" totalsRowDxfId="497">
      <totalsRowFormula>COUNTA((Y3:Y135))</totalsRowFormula>
    </tableColumn>
    <tableColumn id="24" xr3:uid="{574DBE71-FF3A-4DA1-A563-EECF8E03B030}" name="Jakich innych (poza zarobkami) efektów kształcenia na ocenianej uczelni się spodziewasz?" totalsRowFunction="custom" totalsRowDxfId="496">
      <totalsRowFormula>COUNTA((Z3:Z135))</totalsRowFormula>
    </tableColumn>
    <tableColumn id="25" xr3:uid="{70C7E301-ECA2-4DF8-B78C-6550E2B616A1}" name="Jakie elementy lub cechy sprawiały, że Tobie studiowało się dobrze?" totalsRowFunction="custom" totalsRowDxfId="495">
      <totalsRowFormula>COUNTA((AA3:AA135))</totalsRowFormula>
    </tableColumn>
    <tableColumn id="26" xr3:uid="{86CB3A73-27F1-4FCF-B9E3-8D590DC2DB33}" name="Jakie elementy lub cechy sprawiały, że Tobie studiowało się źle?" totalsRowFunction="custom" totalsRowDxfId="494">
      <totalsRowFormula>COUNTA((AB3:AB135))</totalsRowFormula>
    </tableColumn>
    <tableColumn id="27" xr3:uid="{8DCB6BDF-C860-4D73-8953-D14EF0C8F0AA}" name="Jakiego rodzaju są Twoje studia?" totalsRowFunction="custom" totalsRowDxfId="493">
      <totalsRowFormula>COUNTA((AC3:AC135))</totalsRowFormula>
    </tableColumn>
    <tableColumn id="28" xr3:uid="{F292FE47-988D-4A95-932D-2E3B34B7BF0B}" name="Pole dodatkowe" totalsRowFunction="custom" totalsRowDxfId="492">
      <totalsRowFormula>COUNTA((AD3:AD135))</totalsRowFormula>
    </tableColumn>
    <tableColumn id="29" xr3:uid="{4225184D-873A-4CF3-B8D1-575C3D6A2435}" name="Na którym semestrze studiujesz obecnie?" totalsRowFunction="custom" totalsRowDxfId="491">
      <totalsRowFormula>COUNTA((AE3:AE135))</totalsRowFormula>
    </tableColumn>
    <tableColumn id="30" xr3:uid="{41979390-06F4-463C-ADB5-F98E8C311CBA}" name="Czy jesteś absolwentem uczelni wyższej?" totalsRowFunction="custom" dataDxfId="490" totalsRowDxfId="489">
      <totalsRowFormula>COUNTA((AF3:AF135))</totalsRowFormula>
    </tableColumn>
    <tableColumn id="31" xr3:uid="{BBF7434D-D66B-496B-B17B-27248613CC58}" name="Jak się nazywa uczelnia którą ukończyłeś? (proszę o wybranie jednej uczelni podlegającej ocenie)" totalsRowFunction="custom" totalsRowDxfId="488">
      <totalsRowFormula>COUNTA((AG3:AG135))</totalsRowFormula>
    </tableColumn>
    <tableColumn id="216" xr3:uid="{72DEEBC7-088A-46A4-9999-AE96ED74030A}" name="KategoriaUczelni" dataDxfId="487" totalsRowDxfId="486">
      <calculatedColumnFormula>VLOOKUP(AnalizaCzyste[[#This Row],[Jak się nazywa uczelnia którą ukończyłeś? (proszę o wybranie jednej uczelni podlegającej ocenie)]],KategorieUczelni[],2,0)</calculatedColumnFormula>
    </tableColumn>
    <tableColumn id="32" xr3:uid="{03CA046D-FBDF-4415-90A4-E08D8134585F}" name="W którym roku ukończyłaś/eś studia (rok w którym uzyskano dyplom ukończenia studiów drugiego stopnia, albo pierwszego stopnia, jeśli nie uzyskano dyplomu 2. stopnia)?" totalsRowFunction="custom" totalsRowDxfId="485">
      <totalsRowFormula>COUNTA((AI3:AI135))</totalsRowFormula>
    </tableColumn>
    <tableColumn id="33" xr3:uid="{AE05B081-E180-4E09-9192-4F27CE79F7EB}" name="Czy ukończony kierunek był kierunkiem technicznym, tzn. takim, po którym uzyskałaś/eś tytuł inżyniera?" totalsRowFunction="custom" totalsRowDxfId="484">
      <totalsRowFormula>COUNTA((AJ3:AJ135))</totalsRowFormula>
    </tableColumn>
    <tableColumn id="34" xr3:uid="{B85DD2EE-D5F2-46D3-9E33-DA992576E185}" name="Jak się nazywa kierunek, który ukończyłaś/eś?" totalsRowFunction="custom" totalsRowDxfId="483">
      <totalsRowFormula>COUNTA((AK3:AK135))</totalsRowFormula>
    </tableColumn>
    <tableColumn id="35" xr3:uid="{4CC44F8F-616F-4095-99F6-60AF14EEC568}" name="Moja satysfakcja z (efektów) usług edukacyjnych ocenianej uczelni jest wysoka." totalsRowFunction="custom" totalsRowDxfId="482">
      <totalsRowFormula>COUNTA((AL3:AL135))</totalsRowFormula>
    </tableColumn>
    <tableColumn id="36" xr3:uid="{1C6D88CF-332B-4752-A729-93BFDD454B5A}" name="Usługi edukacyjne ocenianej uczelni mają wysoką wartość (okazja / szansa rozwoju własnego lub kariery).3" totalsRowFunction="custom" totalsRowDxfId="481">
      <totalsRowFormula>COUNTA((AM3:AM135))</totalsRowFormula>
    </tableColumn>
    <tableColumn id="37" xr3:uid="{44EB38FB-B9C9-46B4-B0FB-9985D53C385D}" name="Kształcenie na ocenianej uczelni ma/miało pozytywny wpływ na zwiększenie moich zarobków." totalsRowFunction="custom" totalsRowDxfId="480">
      <totalsRowFormula>COUNTA((AN3:AN135))</totalsRowFormula>
    </tableColumn>
    <tableColumn id="38" xr3:uid="{34BE9A51-E55F-4AE8-87A0-FBEC63D51E8F}" name="Moje zarobki w pierwszym roku po ukończeniu studiów były satysfakcjonujące." totalsRowFunction="custom" totalsRowDxfId="479">
      <totalsRowFormula>COUNTA((AO3:AO135))</totalsRowFormula>
    </tableColumn>
    <tableColumn id="39" xr3:uid="{4033761C-CB95-4451-B0C4-2ABCB2769F7E}" name="Moje zarobki po 3. latach po ukończeniu studiów były satysfakcjonujące." totalsRowFunction="custom" totalsRowDxfId="478">
      <totalsRowFormula>COUNTA((AP3:AP135))</totalsRowFormula>
    </tableColumn>
    <tableColumn id="40" xr3:uid="{982DAD79-16D1-4D44-BCA4-6545A3A0954B}" name="W ile miesięcy po ukończeniu studiów uzyskałaś/eś zatrudnienie? Proszę podać liczbę miesięcy lub wpisać inną opcję (np. praca przed ukończeniem studiów; założenie własnej firmy; nie zamierzam pracować)" totalsRowFunction="custom" totalsRowDxfId="477">
      <totalsRowFormula>COUNTA((AQ3:AQ135))</totalsRowFormula>
    </tableColumn>
    <tableColumn id="41" xr3:uid="{25DB6FAA-8A3B-408B-9262-5EDE22E06BA2}" name="w pierwszym roku po ukończeniu studiów : wybierz wartość z listy rozwijanej4" totalsRowFunction="custom" totalsRowDxfId="476">
      <totalsRowFormula>COUNTA((AR3:AR135))</totalsRowFormula>
    </tableColumn>
    <tableColumn id="42" xr3:uid="{2B38DFDD-3D06-4B52-B1DB-7F8144FEDBDB}" name="w 3 lata po ukończeniu studiów : wybierz wartość z listy rozwijanej5" totalsRowFunction="custom" totalsRowDxfId="475">
      <totalsRowFormula>COUNTA((AS3:AS135))</totalsRowFormula>
    </tableColumn>
    <tableColumn id="43" xr3:uid="{FBBBF8D2-7A99-41FF-B15C-4A2191C9D8D9}" name="Jakie inne (poza zarobkami) efekty kształcenia na ocenianej uczelni dostrzegasz obecnie?" totalsRowFunction="custom" totalsRowDxfId="474">
      <totalsRowFormula>COUNTA((AT3:AT135))</totalsRowFormula>
    </tableColumn>
    <tableColumn id="44" xr3:uid="{6B48263B-8F26-4FBA-9F9A-424993C5E3ED}" name="Co wpływało na twoją satysfakcję ze studiowania?_x000a_" totalsRowFunction="custom" totalsRowDxfId="473">
      <totalsRowFormula>COUNTA((AU3:AU135))</totalsRowFormula>
    </tableColumn>
    <tableColumn id="45" xr3:uid="{52ED1FC9-CD2D-42A5-B204-567F0483F099}" name="Kolumna6" totalsRowFunction="custom" totalsRowDxfId="472">
      <totalsRowFormula>COUNTA((AV3:AV135))</totalsRowFormula>
    </tableColumn>
    <tableColumn id="46" xr3:uid="{3D74590B-7E93-443E-BE1C-FD99ECE16017}" name="Jakiego rodzaju były Twoje studia?" totalsRowFunction="custom" totalsRowDxfId="471">
      <totalsRowFormula>COUNTA((AW3:AW135))</totalsRowFormula>
    </tableColumn>
    <tableColumn id="47" xr3:uid="{E8CA34F5-D9E4-418D-8BF9-050444C4061E}" name="Pole dodatkowe7" totalsRowFunction="custom" totalsRowDxfId="470">
      <totalsRowFormula>COUNTA((AX3:AX135))</totalsRowFormula>
    </tableColumn>
    <tableColumn id="48" xr3:uid="{A48EA897-6002-486C-94A2-3071DE7EB5AD}" name="Czy jesteś rodzicem / opiekunem absolwenta uczelni wyższej?" totalsRowFunction="custom" dataDxfId="469" totalsRowDxfId="468">
      <totalsRowFormula>COUNTA((AY3:AY135))</totalsRowFormula>
    </tableColumn>
    <tableColumn id="49" xr3:uid="{FEE5A281-6D4B-4D31-93CD-509A968E7773}" name="Uczelnie ilu podopiecznych będziesz oceniać?" totalsRowFunction="custom" totalsRowDxfId="467">
      <totalsRowFormula>COUNTA((AZ3:AZ135))</totalsRowFormula>
    </tableColumn>
    <tableColumn id="50" xr3:uid="{E5BA02DF-38AB-4F47-A962-51A6F161AE1D}" name="Jak się nazywa uczelnia, którą ukończył/a Twoja/Twój podopieczna/podopieczny? (proszę o wybranie jednej uczelni podlegającej ocenie)" totalsRowFunction="custom" totalsRowDxfId="466">
      <totalsRowFormula>COUNTA((BA3:BA135))</totalsRowFormula>
    </tableColumn>
    <tableColumn id="51" xr3:uid="{30EB9609-4A6A-4E64-AF9A-B63CB59DFA84}" name="W którym roku Twoja/Twój podopieczna/y ukończył/a studia (rok w którym uzyskano dyplom ukończenia studiów drugiego stopnia, albo pierwszego stopnia, jeśli nie uzyskano dyplomu 2. stopnia)?" totalsRowFunction="custom" totalsRowDxfId="465">
      <totalsRowFormula>COUNTA((BB3:BB135))</totalsRowFormula>
    </tableColumn>
    <tableColumn id="52" xr3:uid="{2D5E47C8-051A-480B-B96D-83E7709F1700}" name="Czy ukończony kierunek był kierunkiem technicznym, tzn. takim, po którym uzyskano tytuł inżyniera?" totalsRowFunction="custom" totalsRowDxfId="464">
      <totalsRowFormula>COUNTA((BC3:BC135))</totalsRowFormula>
    </tableColumn>
    <tableColumn id="53" xr3:uid="{D51D9DD7-878A-415B-B2F8-02F53EBFA22A}" name="Jak się nazywa kierunek, który ukończył/a Twoja/Twój podopieczna/podopieczny?" totalsRowFunction="custom" totalsRowDxfId="463">
      <totalsRowFormula>COUNTA((BD3:BD135))</totalsRowFormula>
    </tableColumn>
    <tableColumn id="54" xr3:uid="{D3DB1C46-F931-4289-86D2-779EC4340002}" name="Moja satysfakcja z (efektów) usług edukacyjnych ocenianej uczelni jest wysoka.8" totalsRowFunction="custom" totalsRowDxfId="462">
      <totalsRowFormula>COUNTA((BE3:BE135))</totalsRowFormula>
    </tableColumn>
    <tableColumn id="55" xr3:uid="{FC532F03-86AD-4521-9C9D-42FA860A53FB}" name="Usługi edukacyjne ocenianej uczelni mają wysoką wartość (okazja / szansa rozwoju własnego lub kariery).9" totalsRowFunction="custom" totalsRowDxfId="461">
      <totalsRowFormula>COUNTA((BF3:BF135))</totalsRowFormula>
    </tableColumn>
    <tableColumn id="56" xr3:uid="{ADE01F9E-A39A-4B42-8796-82BBD1C5DB09}" name="Kształcenie na ocenianej uczelni ma/będzie miało pozytywny wpływ na zwiększenie zarobków mojej/mojego podopiecznej/podopiecznego." totalsRowFunction="custom" totalsRowDxfId="460">
      <totalsRowFormula>COUNTA((BG3:BG135))</totalsRowFormula>
    </tableColumn>
    <tableColumn id="57" xr3:uid="{FFCB5E84-520B-4C48-BCFC-FA651BC12FE5}" name="Zarobki uzyskiwane przez mojego/moją podopieczną/podopiecznego w pierwszym roku po ukończeniu studiów były satysfakcjonujące (z mojego punktu widzenia)" totalsRowFunction="custom" totalsRowDxfId="459">
      <totalsRowFormula>COUNTA((BH3:BH135))</totalsRowFormula>
    </tableColumn>
    <tableColumn id="58" xr3:uid="{D6856550-859E-4C25-987B-935AD584E7BC}" name="Zarobki uzyskiwane przez mojego/moją podopieczną/podopiecznego w 3 lata po ukończeniu studiów były satysfakcjonujące (z mojego punktu widzenia)" totalsRowFunction="custom" totalsRowDxfId="458">
      <totalsRowFormula>COUNTA((BI3:BI135))</totalsRowFormula>
    </tableColumn>
    <tableColumn id="59" xr3:uid="{7015271F-B6F8-4AE8-996F-41E988DD71C6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457">
      <totalsRowFormula>COUNTA((BJ3:BJ135))</totalsRowFormula>
    </tableColumn>
    <tableColumn id="60" xr3:uid="{847514F8-F661-4B2D-88BE-10ABFD806894}" name="Jakie inne (poza zarobkami) efekty kształcenia na ocenianej uczelni się dostrzegasz obecnie?" totalsRowFunction="custom" totalsRowDxfId="456">
      <totalsRowFormula>COUNTA((BK3:BK135))</totalsRowFormula>
    </tableColumn>
    <tableColumn id="61" xr3:uid="{8B4485AE-C106-41C7-89AC-D28DBDA4C166}" name="Jakiego rodzaju były studia, które ukończył/a Twoja/Twój podopieczna/podopieczny?" totalsRowFunction="custom" totalsRowDxfId="455">
      <totalsRowFormula>COUNTA((BL3:BL135))</totalsRowFormula>
    </tableColumn>
    <tableColumn id="62" xr3:uid="{F0DE0B1C-928B-4581-8D63-11188CD95233}" name="Pole dodatkowe10" totalsRowFunction="custom" totalsRowDxfId="454">
      <totalsRowFormula>COUNTA((BM3:BM135))</totalsRowFormula>
    </tableColumn>
    <tableColumn id="63" xr3:uid="{8E46F3BC-7F63-49DA-A043-B5C618E92A15}" name="Jeśli Twoja/Twój podopieczna/podopieczny ukończył/a również inne szkoły / kierunki studiów to proszę wpisz je tutaj." totalsRowFunction="custom" totalsRowDxfId="453">
      <totalsRowFormula>COUNTA((BN3:BN135))</totalsRowFormula>
    </tableColumn>
    <tableColumn id="64" xr3:uid="{08619068-F1EA-4298-AAE7-77A34A620074}" name="Czy będziesz oceniał uczelnię ukończoną przez drugiego podopiecznego?" totalsRowFunction="custom" totalsRowDxfId="452">
      <totalsRowFormula>COUNTA((BO3:BO135))</totalsRowFormula>
    </tableColumn>
    <tableColumn id="65" xr3:uid="{DABFBBCE-1FAE-47A8-9F22-7E5D764A0D51}" name="Jak się nazywa uczelnia, którą ukończył/a Twoja/Twój podopieczna/podopieczny? (proszę o wybranie jednej uczelni podlegającej ocenie)11" totalsRowFunction="custom" totalsRowDxfId="451">
      <totalsRowFormula>COUNTA((BP3:BP135))</totalsRowFormula>
    </tableColumn>
    <tableColumn id="66" xr3:uid="{83F942E9-D246-4361-AA3D-7F603F397E8D}" name="W którym roku Twoja/Twój podopieczna/y ukończył/a studia (rok w którym uzyskano dyplom ukończenia studiów drugiego stopnia, albo pierwszego stopnia, jeśli nie uzyskano dyplomu 2. stopnia)?12" totalsRowFunction="custom" totalsRowDxfId="450">
      <totalsRowFormula>COUNTA((BQ3:BQ135))</totalsRowFormula>
    </tableColumn>
    <tableColumn id="67" xr3:uid="{1C6ADC27-9F30-4227-81CE-3C15A0D6C10C}" name="Czy ukończony kierunek był kierunkiem technicznym, tzn. takim, po którym uzyskano tytuł inżyniera?13" totalsRowFunction="custom" totalsRowDxfId="449">
      <totalsRowFormula>COUNTA((BR3:BR135))</totalsRowFormula>
    </tableColumn>
    <tableColumn id="68" xr3:uid="{94C8B518-4547-40DD-AC32-B5C834F0511E}" name="Jak się nazywa kierunek, który ukończył/a Twoja/Twój podopieczna/podopieczny?14" totalsRowFunction="custom" totalsRowDxfId="448">
      <totalsRowFormula>COUNTA((BS3:BS135))</totalsRowFormula>
    </tableColumn>
    <tableColumn id="69" xr3:uid="{00BE12AC-CBE0-47D5-8BEF-A62C47DFED23}" name="Moja satysfakcja z (efektów) usług edukacyjnych ocenianej uczelni jest wysoka.15" totalsRowFunction="custom" totalsRowDxfId="447">
      <totalsRowFormula>COUNTA((BT3:BT135))</totalsRowFormula>
    </tableColumn>
    <tableColumn id="70" xr3:uid="{D1A7746F-F4B7-4351-BB70-448903B08063}" name="Usługi edukacyjne ocenianej uczelni mają wysoką wartość (okazja / szansa rozwoju własnego lub kariery).16" totalsRowFunction="custom" totalsRowDxfId="446">
      <totalsRowFormula>COUNTA((BU3:BU135))</totalsRowFormula>
    </tableColumn>
    <tableColumn id="71" xr3:uid="{6112D901-D11B-4C1B-B41D-9098A3465773}" name="Kształcenie na ocenianej uczelni ma/będzie miało pozytywny wpływ na zwiększenie zarobków mojej/mojego podopiecznej/podopiecznego.17" totalsRowFunction="custom" totalsRowDxfId="445">
      <totalsRowFormula>COUNTA((BV3:BV135))</totalsRowFormula>
    </tableColumn>
    <tableColumn id="72" xr3:uid="{7570ACA6-EA5B-4EB6-837A-10BFCB5E0358}" name="Zarobki uzyskiwane przez mojego/moją podopieczną/podopiecznego w pierwszym roku po ukończeniu studiów były satysfakcjonujące (z mojego punktu widzenia)18" totalsRowFunction="custom" totalsRowDxfId="444">
      <totalsRowFormula>COUNTA((BW3:BW135))</totalsRowFormula>
    </tableColumn>
    <tableColumn id="73" xr3:uid="{8082EBCE-9058-4F2B-90FE-A0801CAEF8D5}" name="Zarobki uzyskiwane przez mojego/moją podopieczną/podopiecznego w 3 lata po ukończeniu studiów były satysfakcjonujące (z mojego punktu widzenia)19" totalsRowFunction="custom" totalsRowDxfId="443">
      <totalsRowFormula>COUNTA((BX3:BX135))</totalsRowFormula>
    </tableColumn>
    <tableColumn id="74" xr3:uid="{4F5F48DC-6369-459A-8FDA-DCEB2EA19578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442">
      <totalsRowFormula>COUNTA((BY3:BY135))</totalsRowFormula>
    </tableColumn>
    <tableColumn id="75" xr3:uid="{54EF7743-0CB2-446D-9665-46C77C464F05}" name="Jakie inne (poza zarobkami) efekty kształcenia na ocenianej uczelni się dostrzegasz obecnie?21" totalsRowFunction="custom" totalsRowDxfId="441">
      <totalsRowFormula>COUNTA((BZ3:BZ135))</totalsRowFormula>
    </tableColumn>
    <tableColumn id="76" xr3:uid="{BE93B27C-1906-4695-BEC1-231FA6883C68}" name="Jakiego rodzaju były studia, które ukończył/a Twoja/Twój podopieczna/podopieczny?22" totalsRowFunction="custom" totalsRowDxfId="440">
      <totalsRowFormula>COUNTA((CA3:CA135))</totalsRowFormula>
    </tableColumn>
    <tableColumn id="77" xr3:uid="{C2670D09-B14E-48CE-8D3B-FD4F08474C2E}" name="Pole dodatkowe23" totalsRowFunction="custom" totalsRowDxfId="439">
      <totalsRowFormula>COUNTA((CB3:CB135))</totalsRowFormula>
    </tableColumn>
    <tableColumn id="78" xr3:uid="{52CA9D8D-0AC4-426B-BA8B-D9983F77052C}" name="Jeśli Twoja/Twój podopieczna/podopieczny ukończył/a również inne szkoły / kierunki studiów to proszę wpisz je tutaj.24" totalsRowFunction="custom" totalsRowDxfId="438">
      <totalsRowFormula>COUNTA((CC3:CC135))</totalsRowFormula>
    </tableColumn>
    <tableColumn id="79" xr3:uid="{E97ECC9E-9FF4-4C29-9ADE-07B0EFB1798E}" name="Czy będziesz oceniał uczelnię ukończoną przez trzeciego podopiecznego?" totalsRowFunction="custom" totalsRowDxfId="437">
      <totalsRowFormula>COUNTA((CD3:CD135))</totalsRowFormula>
    </tableColumn>
    <tableColumn id="80" xr3:uid="{A33ABE47-EABE-4B85-B4E0-F0A4FFF2A996}" name="Jak się nazywa uczelnia, którą ukończył/a Twoja/Twój podopieczna/podopieczny? (proszę o wybranie jednej uczelni podlegającej ocenie)25" totalsRowFunction="custom" totalsRowDxfId="436">
      <totalsRowFormula>COUNTA((CE3:CE135))</totalsRowFormula>
    </tableColumn>
    <tableColumn id="81" xr3:uid="{7BBACD05-331A-4A25-9DAB-46ACB262ECFF}" name="W którym roku Twoja/Twój podopieczna/y ukończył/a studia (rok w którym uzyskano dyplom ukończenia studiów drugiego stopnia, albo pierwszego stopnia, jeśli nie uzyskano dyplomu 2. stopnia)?26" totalsRowFunction="custom" totalsRowDxfId="435">
      <totalsRowFormula>COUNTA((CF3:CF135))</totalsRowFormula>
    </tableColumn>
    <tableColumn id="82" xr3:uid="{E402E02B-32F9-4918-AC52-1E2746EFF732}" name="Czy ukończony kierunek był kierunkiem technicznym, tzn. takim, po którym uzyskano tytuł inżyniera?27" totalsRowFunction="custom" totalsRowDxfId="434">
      <totalsRowFormula>COUNTA((CG3:CG135))</totalsRowFormula>
    </tableColumn>
    <tableColumn id="83" xr3:uid="{366FF8BB-67D0-4A1D-9E42-1C25C26E69CE}" name="Jak się nazywa kierunek, który ukończył/a Twoja/Twój podopieczna/podopieczny?28" totalsRowFunction="custom" totalsRowDxfId="433">
      <totalsRowFormula>COUNTA((CH3:CH135))</totalsRowFormula>
    </tableColumn>
    <tableColumn id="84" xr3:uid="{32321BD9-57CD-47D0-BD7D-B2AFCC1C3078}" name="Moja satysfakcja z (efektów) usług edukacyjnych ocenianej uczelni jest wysoka.29" totalsRowFunction="custom" totalsRowDxfId="432">
      <totalsRowFormula>COUNTA((CI3:CI135))</totalsRowFormula>
    </tableColumn>
    <tableColumn id="85" xr3:uid="{27DF5669-9BEE-4320-9001-51E16696F4B3}" name="Usługi edukacyjne ocenianej uczelni mają wysoką wartość (okazja / szansa rozwoju własnego lub kariery).30" totalsRowFunction="custom" totalsRowDxfId="431">
      <totalsRowFormula>COUNTA((CJ3:CJ135))</totalsRowFormula>
    </tableColumn>
    <tableColumn id="86" xr3:uid="{D4634990-E01E-4CA5-95A6-55E50F899DE1}" name="Kształcenie na ocenianej uczelni ma/będzie miało pozytywny wpływ na zwiększenie zarobków mojej/mojego podopiecznej/podopiecznego.31" totalsRowFunction="custom" totalsRowDxfId="430">
      <totalsRowFormula>COUNTA((CK3:CK135))</totalsRowFormula>
    </tableColumn>
    <tableColumn id="87" xr3:uid="{2364400B-E761-40D0-AE28-8284E5CD8C48}" name="Zarobki uzyskiwane przez mojego/moją podopieczną/podopiecznego w pierwszym roku po ukończeniu studiów były satysfakcjonujące (z mojego punktu widzenia)32" totalsRowFunction="custom" totalsRowDxfId="429">
      <totalsRowFormula>COUNTA((CL3:CL135))</totalsRowFormula>
    </tableColumn>
    <tableColumn id="88" xr3:uid="{2827967D-045B-4DF4-8F95-4979197AAA39}" name="Zarobki uzyskiwane przez mojego/moją podopieczną/podopiecznego w 3 lata po ukończeniu studiów były satysfakcjonujące (z mojego punktu widzenia)33" totalsRowFunction="custom" totalsRowDxfId="428">
      <totalsRowFormula>COUNTA((CM3:CM135))</totalsRowFormula>
    </tableColumn>
    <tableColumn id="89" xr3:uid="{160A1EA0-825B-4FD2-8C2D-2C768BED0D4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427">
      <totalsRowFormula>COUNTA((CN3:CN135))</totalsRowFormula>
    </tableColumn>
    <tableColumn id="90" xr3:uid="{5F53B8F1-FD09-4B74-AA23-7EDED9615A73}" name="Jakie inne (poza zarobkami) efekty kształcenia na ocenianej uczelni się dostrzegasz obecnie?35" totalsRowFunction="custom" totalsRowDxfId="426">
      <totalsRowFormula>COUNTA((CO3:CO135))</totalsRowFormula>
    </tableColumn>
    <tableColumn id="91" xr3:uid="{0049B607-BD4D-49EA-B5EE-E8E785ACDC34}" name="Jakiego rodzaju były studia, które ukończył/a Twoja/Twój podopieczna/podopieczny?36" totalsRowFunction="custom" totalsRowDxfId="425">
      <totalsRowFormula>COUNTA((CP3:CP135))</totalsRowFormula>
    </tableColumn>
    <tableColumn id="92" xr3:uid="{86B9680A-4D70-4DFA-8189-827F813E4B73}" name="Pole dodatkowe37" totalsRowFunction="custom" totalsRowDxfId="424">
      <totalsRowFormula>COUNTA((CQ3:CQ135))</totalsRowFormula>
    </tableColumn>
    <tableColumn id="93" xr3:uid="{7B56F444-36AC-424E-9E2D-FDA11AEA9557}" name="Jeśli Twoja/Twój podopieczna/podopieczny ukończył/a również inne szkoły / kierunki studiów to proszę wpisz je tutaj.38" totalsRowFunction="custom" totalsRowDxfId="423">
      <totalsRowFormula>COUNTA((CR3:CR135))</totalsRowFormula>
    </tableColumn>
    <tableColumn id="94" xr3:uid="{BA461F2C-93E1-4AB3-B06B-BCD05B9B9AA2}" name="Czy jesteś aktualnie pracownikiem administracyjnym uczelni wyższej?" totalsRowFunction="custom" dataDxfId="422" totalsRowDxfId="421">
      <totalsRowFormula>COUNTA((CS3:CS135))</totalsRowFormula>
    </tableColumn>
    <tableColumn id="95" xr3:uid="{CC91D31B-2D5C-4A29-85B6-D9AF8CC56A03}" name="Jak się nazywa uczelnia, na której pracujesz? (proszę o wybranie jednej uczelni podlegającej ocenie)"/>
    <tableColumn id="96" xr3:uid="{D61FC2E0-2F1A-46CE-81F7-F04BFC877920}" name="Na jakim wydziale pracujesz?"/>
    <tableColumn id="97" xr3:uid="{300F4679-00E1-4B9E-B532-64573A1DBE1A}" name="Moja satysfakcja z pracy na ocenianej uczelni jest wysoka."/>
    <tableColumn id="98" xr3:uid="{DA844B1B-79E9-46FC-BC4B-6B11049C2999}" name="Atmosfera w zespole współpracowników jest dobra."/>
    <tableColumn id="99" xr3:uid="{ABDBBFE1-DE57-483C-8C9C-92F3B0138B20}" name="Moje zarobki są satysfakcjonujące."/>
    <tableColumn id="100" xr3:uid="{5590F5A7-DB78-4A43-9FC1-D0B618468DFD}" name="Praca na ocenianej uczelni daje mi duże szanse rozwoju."/>
    <tableColumn id="101" xr3:uid="{E6614702-9DAF-4718-88AC-1B34B2FFA45F}" name="Wartość wykształcenia zdobywanego przez studentów ocenianej uczelni jest wysoka."/>
    <tableColumn id="102" xr3:uid="{958DF808-2493-4B6F-9C6E-AAB6E0334C22}" name="Zdobyte na ocenianej uczelni wykształcenie ma pozytywny wpływ na zwiększenie zarobków absolwentów."/>
    <tableColumn id="103" xr3:uid="{C927EB73-80BB-4FBF-A795-412A5BC72898}" name="Jakie inne (poza zarobkami) efekty kształcenia na ocenianej uczelni się dostrzegasz obecnie?39"/>
    <tableColumn id="104" xr3:uid="{FA4C6A3A-6499-459E-8B2D-52F5EC881411}" name="Czy jesteś aktualnie pracownikiem naukowym lub dydaktycznym uczelni wyższej?" totalsRowFunction="custom" dataDxfId="420" totalsRowDxfId="419">
      <totalsRowFormula>COUNTA((DC3:DC135))</totalsRowFormula>
    </tableColumn>
    <tableColumn id="105" xr3:uid="{DBE9A175-5C93-45CA-A32C-2E1B6E70A7D8}" name="Jak się nazywa uczelnia, na której pracujesz? (proszę o wybranie jednej uczelni podlegającej ocenie)40"/>
    <tableColumn id="106" xr3:uid="{D1DA21AE-0AF7-42D1-B884-614E365C8B29}" name="Na jakim wydziale pracujesz?41"/>
    <tableColumn id="107" xr3:uid="{30BF1554-2E1F-4C5B-8AA7-41A341D36F45}" name="Moja satysfakcja z pracy na ocenianej uczelni jest wysoka.42"/>
    <tableColumn id="108" xr3:uid="{86B56A76-036B-436D-9A0D-7EA9053BE0E8}" name="Atmosfera w zespole współpracowników jest dobra.43"/>
    <tableColumn id="109" xr3:uid="{6B3B8DA9-A54D-4C4A-8CB8-622B20E5FD8A}" name="Moje zarobki są satysfakcjonujące.44"/>
    <tableColumn id="110" xr3:uid="{098C38F1-6826-44BA-8763-0546027B48C7}" name="Praca na ocenianej uczelni daje mi duże szanse rozwoju.45"/>
    <tableColumn id="111" xr3:uid="{C5319DE7-4405-4698-B416-8FFD75EF7CB9}" name="Wartość wykształcenia zdobywanego przez studentów ocenianej uczelni jest wysoka.46"/>
    <tableColumn id="112" xr3:uid="{8F13CA3E-7F79-426C-A7BA-DAE8534A8AD5}" name="Zdobyte na ocenianej uczelni wykształcenie ma pozytywny wpływ na zwiększenie zarobków absolwentów.47"/>
    <tableColumn id="113" xr3:uid="{F8CD484C-78D3-47AC-9C6D-BFA373D7477A}" name="Jakie inne (poza zarobkami) efekty kształcenia na ocenianej uczelni dostrzegasz obecnie?48"/>
    <tableColumn id="114" xr3:uid="{FDDC1251-CF0A-4D8A-9B98-645DBB468EEC}" name="Czy jesteś przedstawicielem władz uczelni z grupy rektorów, prorektorów, dziekanów, prodziekanów, członków senatu lub członków rady uczelni?" totalsRowFunction="custom" dataDxfId="418" totalsRowDxfId="417">
      <totalsRowFormula>COUNTA((DM3:DM135))</totalsRowFormula>
    </tableColumn>
    <tableColumn id="115" xr3:uid="{79057283-1AFE-4024-B02F-DE0E296FE112}" name="Proszę podać pełnioną funkcję"/>
    <tableColumn id="116" xr3:uid="{224601A4-4EF6-4B33-B7F9-A1862E6E2F70}" name="Kolumna3"/>
    <tableColumn id="117" xr3:uid="{EBBC65E4-D276-4DBB-ADB8-C84B5DAC14EF}" name="Kolumna4"/>
    <tableColumn id="118" xr3:uid="{8B142577-6314-4DAF-AAF0-10AE8165EF6A}" name="Kolumna5"/>
    <tableColumn id="119" xr3:uid="{46788775-93B2-4840-B88F-D1BC0FA48588}" name="Jak się nazywa uczelnia którą będziesz oceniać (jako przedstawiciel jej władz)?"/>
    <tableColumn id="120" xr3:uid="{4B337EF1-D174-41A9-AF6F-E4610DA87A13}" name="Efekty działań ocenianej uczelni na rzesz jakości edukacji są dobre"/>
    <tableColumn id="121" xr3:uid="{D5ED17C6-B298-4712-B537-A67829472874}" name="Wartość wykształcenia zdobywanego przez studentów na ocenianej uczelni jest wysoka."/>
    <tableColumn id="122" xr3:uid="{44BA0466-DAC2-440E-AE66-F60F502BD6CA}" name="Zdobyte przez studentów ocenianej uczelni wykształcenie miało/ma pozytywny wpływ na ich zarobki."/>
    <tableColumn id="123" xr3:uid="{2E5873BB-1A96-4BC2-90A7-FB4FC0574B73}" name="Efekty działań ocenianej uczelni na rzecz jakości edukacji mają dobry wpływ na rozwój regionu."/>
    <tableColumn id="124" xr3:uid="{18BAE583-AFDE-42B8-A0F4-0E04F495366B}" name="Efekty działań ocenianej uczelni na rzecz jakości edukacji mają dobry wpływ na rozwój Polski."/>
    <tableColumn id="125" xr3:uid="{819E17BD-90F4-46A2-88B3-FDA985BD9DBC}" name="Współpraca ocenianej uczelni z biznesem ma pozytywne efekty dla rozwoju regionu / kraju."/>
    <tableColumn id="126" xr3:uid="{2A07530B-CE8B-4148-A4EE-DDDD3D61FC3F}" name="Ogólny poziom mojej satysfakcji z jakości usług edukacyjnych ocenianej uczelni jest wysoki."/>
    <tableColumn id="127" xr3:uid="{48DFB6C3-3532-43CF-9CEC-2D3E17F8E603}" name="Studenci : wybierz wartość z listy rozwijanej"/>
    <tableColumn id="128" xr3:uid="{2E117265-38B1-4C70-BC7B-0DD179A151B6}" name="Absolwenci : wybierz wartość z listy rozwijanej"/>
    <tableColumn id="129" xr3:uid="{540AD722-909F-42D3-8B65-38F245F6C691}" name="Rodzice absolwentów : wybierz wartość z listy rozwijanej"/>
    <tableColumn id="130" xr3:uid="{05208BC2-FC47-4D8E-A3D4-08BC22F26A51}" name="Pracownicy administracyjni : wybierz wartość z listy rozwijanej"/>
    <tableColumn id="131" xr3:uid="{F66754F5-B366-4B0E-86EA-4E5DEAEB78A6}" name="Pracownicy naukowi i dydaktyczni : wybierz wartość z listy rozwijanej"/>
    <tableColumn id="132" xr3:uid="{25A363C0-F9CB-4E94-9674-B87D150F59DD}" name="Pracodawcy : wybierz wartość z listy rozwijanej"/>
    <tableColumn id="133" xr3:uid="{4393CD53-71ED-4DD4-8504-FE9CB1EFD19A}" name="Władze samorządowe i centralne : wybierz wartość z listy rozwijanej"/>
    <tableColumn id="134" xr3:uid="{857B58C7-E3AC-4FA3-A9E7-766DCBF8B9DD}" name="Pole dodatkowe4"/>
    <tableColumn id="135" xr3:uid="{FABB5048-A006-4FA6-BD89-E0C049DF7CB6}" name="Studenci : wybierz wartość z listy rozwijanej5"/>
    <tableColumn id="136" xr3:uid="{27F57ECB-A953-4450-8288-91EBE2B4FDF3}" name="Absolwenci : wybierz wartość z listy rozwijanej6"/>
    <tableColumn id="137" xr3:uid="{17BBE3E4-800F-4AF2-913C-DD6BD9248184}" name="Rodzice absolwentów : wybierz wartość z listy rozwijanej7"/>
    <tableColumn id="138" xr3:uid="{BC7DED54-D5AE-4BB8-A204-976D06C91BC3}" name="Pracownicy administracyjni : wybierz wartość z listy rozwijanej8"/>
    <tableColumn id="139" xr3:uid="{F8AA9898-D277-47FC-8DEF-E43899BD6DD8}" name="Pracownicy naukowi i dydaktyczni : wybierz wartość z listy rozwijanej9"/>
    <tableColumn id="140" xr3:uid="{1DA8C901-22A5-466B-952A-AA3B1E2C5F8B}" name="Pracodawcy : wybierz wartość z listy rozwijanej10"/>
    <tableColumn id="141" xr3:uid="{78896CAB-8298-49B2-AF91-8CDDDCB1B689}" name="Władze samorządowe i centralne : wybierz wartość z listy rozwijanej11"/>
    <tableColumn id="142" xr3:uid="{35C8E46F-6E77-47D3-B07A-5374E21AB789}" name="Pole dodatkowe12"/>
    <tableColumn id="143" xr3:uid="{4A7C10A3-C1D0-48AA-9CCB-486C751BB4B2}" name="Czy jesteś przedstawicielem firmy, w której są zatrudniani absolwenci uczelni wyższych (tytuł licencjata, magistra lub wyższy)?" totalsRowFunction="custom" dataDxfId="416" totalsRowDxfId="415">
      <totalsRowFormula>COUNTA((EP3:EP135))</totalsRowFormula>
    </tableColumn>
    <tableColumn id="144" xr3:uid="{0542405C-852D-4FE2-A108-17C0CBA26365}" name="Czy w Twojej firmie są zatrudnieni absolwenci uczelni technicznych (posiadają tytuł inżyniera)?"/>
    <tableColumn id="145" xr3:uid="{D26F4BB2-00D1-440A-A847-B8669409D651}" name="Ile uczelni będziesz oceniać?"/>
    <tableColumn id="146" xr3:uid="{D0A052F8-9F27-4C10-8E04-DC08ABF7B3A8}" name="Jak się nazywa uczelnia, którą ocenisz? "/>
    <tableColumn id="147" xr3:uid="{D23DC0BC-C774-4868-8B32-31F9CC4D4B9E}" name="Moja satysfakcja z (efektów) usług edukacyjnych na ocenianej uczelni jest wysoka."/>
    <tableColumn id="148" xr3:uid="{A9518800-2280-4712-9AC2-8B85F5872CD8}" name="Kompetencje absolwentów ocenianej uczelni są wysokie."/>
    <tableColumn id="149" xr3:uid="{5E8E2F09-F216-4299-86D9-48A8D61A3E8F}" name="Zarobki absolwentów ocenianej uczelni zatrudnionych w mojej firmie są wyższe od zarobków absolwentów innych polskich uczelni."/>
    <tableColumn id="150" xr3:uid="{4AE983D3-F810-4C4B-9C3A-F482381771EB}" name="Czy w Twojej firmie są zatrudniani absolwenci uczelni w pierwszym roku po ukończeniu studiów (do 12 miesięcy od uzyskania dyplomu)?"/>
    <tableColumn id="151" xr3:uid="{765B5B91-45E6-42B6-A48C-C7B9EA3DB066}" name="Jakie kompetencje absolwentów ocenianej uczelni są w Twojej firmie najwyżej wyceniane?"/>
    <tableColumn id="152" xr3:uid="{8F935298-100E-40A1-8E36-1C8D71A23B3B}" name="Jakiego rodzaju prace wykonują absolwenci ocenianej uczelni w Twojej firmie?"/>
    <tableColumn id="153" xr3:uid="{E646E285-665A-4E9D-AFC6-CB2D667E4799}" name="Czy będziesz oceniał drugą uczelnię?"/>
    <tableColumn id="154" xr3:uid="{79356245-F605-46DA-BEA2-CE32B9B61B52}" name="Jak się nazywa uczelnia, którą ocenisz? 13"/>
    <tableColumn id="155" xr3:uid="{477D8DA0-EEAE-4872-86C2-7D320FDB1B64}" name="Moja satysfakcja z (efektów) usług edukacyjnych na ocenianej uczelni jest wysoka.14"/>
    <tableColumn id="156" xr3:uid="{A74A057C-BA63-4D9F-BEF8-556D8F2DD6CF}" name="Kompetencje absolwentów ocenianej uczelni są wysokie.15"/>
    <tableColumn id="157" xr3:uid="{0EC668D1-EC1C-4797-86B9-9899222CCCE8}" name="Zarobki absolwentów ocenianej uczelni zatrudnionych w mojej firmie są wyższe od zarobków absolwentów innych polskich uczelni.16"/>
    <tableColumn id="158" xr3:uid="{295364BE-7EF0-417E-BDC6-A79A164C8BCD}" name="Czy w Twojej firmie są zatrudniani absolwenci uczelni w pierwszym roku po ukończeniu studiów (do 12 miesięcy od uzyskania dyplomu)?17"/>
    <tableColumn id="159" xr3:uid="{34B20DAA-F9BD-4AAB-B91A-FDF05CB45B29}" name="Jakie kompetencje absolwentów ocenianej uczelni są w Twojej firmie najwyżej wyceniane?18"/>
    <tableColumn id="160" xr3:uid="{A6E7E71E-FB97-4848-8E34-F6013738C9CA}" name="Jakiego rodzaju prace wykonują absolwenci ocenianej uczelni w Twojej firmie?19"/>
    <tableColumn id="161" xr3:uid="{361501F9-92B0-4B1C-A1CA-9B5FFB07C82C}" name="Czy będziesz oceniał trzecią uczelnię techniczną?"/>
    <tableColumn id="162" xr3:uid="{50A1D62B-4A48-4EA1-BD7B-B1480F7716B4}" name="Jak się nazywa uczelnia, którą ocenisz? 20"/>
    <tableColumn id="163" xr3:uid="{5817BCF1-5B5E-4B69-886E-0B8AFD95CABB}" name="Moja satysfakcja z (efektów) usług edukacyjnych na ocenianej uczelni jest wysoka.21"/>
    <tableColumn id="164" xr3:uid="{4BC6B8AB-DCCF-425D-A202-68BFF665E807}" name="Kompetencje absolwentów ocenianej uczelni są wysokie.22"/>
    <tableColumn id="165" xr3:uid="{6B1038F2-2344-4A68-B089-916830681C64}" name="Zarobki absolwentów ocenianej uczelni zatrudnionych w mojej firmie są wyższe od zarobków absolwentów innych polskich uczelni.23"/>
    <tableColumn id="166" xr3:uid="{504774C1-DC8F-439A-A5F2-09F9D25D16AC}" name="Czy w Twojej firmie są zatrudniani absolwenci uczelni w pierwszym roku po ukończeniu studiów (do 12 miesięcy od uzyskania dyplomu)?24"/>
    <tableColumn id="167" xr3:uid="{CB329130-6E78-45C6-BC42-52AFDE868C17}" name="Jakie kompetencje absolwentów ocenianej uczelni są w Twojej firmie najwyżej wyceniane?25"/>
    <tableColumn id="168" xr3:uid="{0352DFAE-182F-477F-8A97-C57D56812C7B}" name="Jakiego rodzaju prace wykonują absolwenci ocenianej uczelni są w Twojej firmie?"/>
    <tableColumn id="169" xr3:uid="{DEDE90BF-9BA8-427D-8A48-244A67838BFD}" name="Czy jesteś przedstawicielem władz samorządowych lub centralnych Rzeczypospolitej Polskiej?" totalsRowFunction="custom" dataDxfId="414" totalsRowDxfId="413">
      <totalsRowFormula>COUNTA((FP3:FP135))</totalsRowFormula>
    </tableColumn>
    <tableColumn id="170" xr3:uid="{09482B80-D2E3-404F-8BD0-FBF6165AE3B7}" name="Proszę wskaż jaki poziom władzy samorządowej lub centralnej reprezentujesz."/>
    <tableColumn id="171" xr3:uid="{9DB8253A-2CA4-40E1-B6DE-B28232B608FB}" name="Proszę o podanie nazwy organu władzy jaki reprezentujesz."/>
    <tableColumn id="172" xr3:uid="{F5C577A3-C74C-447A-B90F-8A733D90E81E}" name="Ile uczelni będziesz oceniać?26"/>
    <tableColumn id="173" xr3:uid="{A4791DF5-1125-44B0-9174-049B8CD011B2}" name="Jak się nazywa uczelnia, którą ocenisz?"/>
    <tableColumn id="174" xr3:uid="{6ECE81D9-D96C-4F0A-8579-8E21720F2108}" name="Efekty działań ocenianej uczelni na rzesz jakości edukacji są zgodne ze strategią rozwoju w regionie."/>
    <tableColumn id="175" xr3:uid="{9393564E-9515-49AC-B2D1-7916B49C9962}" name="Wartość wykształcenia zdobywanego przez studentów na ocenianej uczelni jest wysoka.27"/>
    <tableColumn id="176" xr3:uid="{EA9AC487-1305-4E63-A317-A80BA9526418}" name="Zdobyte przez studentów ocenianej uczelni wykształcenie miało/ma pozytywny wpływ na ich zarobki.28"/>
    <tableColumn id="177" xr3:uid="{372C3A33-D2A8-40C2-903A-FACC9E1623FE}" name="Efekty działań ocenianej uczelni na rzecz jakości edukacji mają dobry wpływ na rozwój regionu.29"/>
    <tableColumn id="178" xr3:uid="{95BC7FCD-00E0-496B-BE88-38F525C70D45}" name="Efekty działań ocenianej uczelni na rzecz jakości edukacji mają dobry wpływ na rozwój Polski.30"/>
    <tableColumn id="179" xr3:uid="{92FCBF08-B28E-4119-BBD8-B7D17E48EDCE}" name="Współpraca ocenianej uczelni z biznesem ma pozytywne efekty dla rozwoju regionu / kraju.31"/>
    <tableColumn id="180" xr3:uid="{D61FE176-1F86-40BD-A929-3F3788F86A36}" name="Ogólny poziom mojej satysfakcji z jakości usług edukacyjnych ocenianej uczelni jest wysoki.32"/>
    <tableColumn id="181" xr3:uid="{BA43D6D3-EF53-49B7-B138-31D81D9CBF80}" name="Pole dodatkowe33"/>
    <tableColumn id="182" xr3:uid="{48C10D43-20D3-4AB3-9C5E-C2F177B8F813}" name="Jakie inne efekty pracy ocenianej uczelni technicznej dostrzegasz obecnie?"/>
    <tableColumn id="183" xr3:uid="{E5C392A9-34C0-40A9-97D5-4AD3D0AF641C}" name="Czy będziesz oceniać drugą uczelnię?"/>
    <tableColumn id="184" xr3:uid="{2D102F3C-6582-4FA9-B1E9-AC6AF1C3D0C8}" name="Jak się nazywa uczelnia, którą ocenisz?34"/>
    <tableColumn id="185" xr3:uid="{A26248A6-B5B1-4142-AE77-DB78554E0C12}" name="Efekty działań ocenianej uczelni na rzesz jakości edukacji są zgodne ze strategią rozwoju w regionie.35"/>
    <tableColumn id="186" xr3:uid="{46C0823D-B498-466A-B925-AF01CEDFB5B7}" name="Wartość wykształcenia zdobywanego przez studentów na ocenianej uczelni jest wysoka.36"/>
    <tableColumn id="187" xr3:uid="{DC4F22A0-349C-41FB-B16D-C88573400530}" name="Zdobyte przez studentów ocenianej uczelni wykształcenie miało/ma pozytywny wpływ na ich zarobki.37"/>
    <tableColumn id="188" xr3:uid="{2317825A-0182-405B-9938-47B93C2AB204}" name="Efekty działań ocenianej uczelni na rzecz jakości edukacji mają dobry wpływ na rozwój regionu.38"/>
    <tableColumn id="189" xr3:uid="{538E8C33-1B51-4A92-BF91-771E2EA41B63}" name="Efekty działań ocenianej uczelni na rzecz jakości edukacji mają dobry wpływ na rozwój Polski.39"/>
    <tableColumn id="190" xr3:uid="{C2F2FAD7-6EC6-4619-B269-764FC712CA97}" name="Współpraca ocenianej uczelni z biznesem ma pozytywne efekty dla rozwoju regionu / kraju.40"/>
    <tableColumn id="191" xr3:uid="{8D535238-B1AE-439F-825C-EE1747634F0F}" name="Ogólny poziom mojej satysfakcji z jakości usług edukacyjnych ocenianej uczelni jest wysoki.41"/>
    <tableColumn id="192" xr3:uid="{8DE5FD9B-BB23-43B7-9994-0496EF113153}" name="Jakie inne efekty pracy ocenianej uczelni dostrzegasz obecnie?"/>
    <tableColumn id="193" xr3:uid="{BA0DB930-4EE9-4A5A-B4F1-0FB11E9BF9AF}" name="Czy będziesz oceniać trzecią uczelnię?"/>
    <tableColumn id="194" xr3:uid="{971FCFA2-B652-42FD-9DBF-50B0B3B1E552}" name="Jak się nazywa uczelnia, którą ocenisz?42"/>
    <tableColumn id="195" xr3:uid="{6892A103-C416-4512-8F3A-E3F7DE313A11}" name="Efekty działań ocenianej uczelni na rzesz jakości edukacji są zgodne ze strategią rozwoju w regionie.43"/>
    <tableColumn id="196" xr3:uid="{1EA9214D-FC1D-4833-8B35-54D185B0EB45}" name="Wartość wykształcenia zdobywanego przez studentów na ocenianej uczelni jest wysoka.44"/>
    <tableColumn id="197" xr3:uid="{FA735F0E-6819-4B90-B0FB-A47B74AA1F3F}" name="Zdobyte przez studentów ocenianej uczelni wykształcenie miało/ma pozytywny wpływ na ich zarobki.45"/>
    <tableColumn id="198" xr3:uid="{83B9F19D-02B6-4AE8-9E75-82A5E7A35BCD}" name="Efekty działań ocenianej uczelni na rzecz jakości edukacji mają dobry wpływ na rozwój regionu.46"/>
    <tableColumn id="199" xr3:uid="{51F96471-7ED9-44A3-A37D-71EFD3AE1847}" name="Efekty działań ocenianej uczelni na rzecz jakości edukacji mają dobry wpływ na rozwój Polski.47"/>
    <tableColumn id="200" xr3:uid="{852801C5-2A4F-4B16-AF3C-C6CCBE47C319}" name="Współpraca ocenianej uczelni z biznesem ma pozytywne efekty dla rozwoju regionu / kraju.48"/>
    <tableColumn id="201" xr3:uid="{80D62B07-4E86-494E-94CD-C9B6594E90BE}" name="Ogólny poziom mojej satysfakcji z jakości usług edukacyjnych ocenianej uczelni jest wysoki.49"/>
    <tableColumn id="202" xr3:uid="{19A0C86D-3DA7-4192-8C25-C118397DC41F}" name="Jakie inne efekty pracy ocenianej uczelni dostrzegasz obecnie?50"/>
    <tableColumn id="203" xr3:uid="{3B9489E1-4C55-4EEA-81CC-ED791914A227}" name="Jakie, Twoim zdaniem, elementy decydują o tym, że uczelnie są lepsze lub gorsze."/>
    <tableColumn id="204" xr3:uid="{898A1CBD-88FD-4FFC-BE88-745594E62592}" name="Kolumna51"/>
    <tableColumn id="205" xr3:uid="{304E36BE-6A35-4FEB-AC39-25366FE3B4A6}" name="Kolumna52"/>
    <tableColumn id="206" xr3:uid="{E5D1BCB7-A6F6-4520-A35F-2EBB184FC80F}" name="Płeć" totalsRowFunction="custom" totalsRowDxfId="412">
      <totalsRowFormula>COUNTA((HA3:HA135))</totalsRowFormula>
    </tableColumn>
    <tableColumn id="207" xr3:uid="{2B31368C-8BB4-45F5-A368-4A4E1AFFFE2E}" name="Rok urodzenia" totalsRowFunction="custom" totalsRowDxfId="411">
      <totalsRowFormula>COUNTA((HB3:HB135))</totalsRowFormula>
    </tableColumn>
    <tableColumn id="215" xr3:uid="{0DA27BC3-BCA7-4CF6-A54C-77E28EA17827}" name="GrupaWiekowa" dataDxfId="410" totalsRowDxfId="409">
      <calculatedColumnFormula>VLOOKUP(AnalizaCzyste[[#This Row],[Rok urodzenia]],KategorieWiekowe[],2,1)</calculatedColumnFormula>
    </tableColumn>
    <tableColumn id="208" xr3:uid="{2FBD8A01-45D3-42C7-BB1F-ACCA75E457A4}" name="Z jakiej wielkości miejscowości pochodzisz? (dotyczy miejscowości, w której się wychowałaś/eś" totalsRowFunction="custom" totalsRowDxfId="408">
      <totalsRowFormula>COUNTA((HD3:HD135))</totalsRowFormula>
    </tableColumn>
    <tableColumn id="209" xr3:uid="{40C0F4A2-88CA-4804-AB61-0C883C5C9CF7}" name="Pole dodatkowe52" totalsRowFunction="custom" totalsRowDxfId="407">
      <totalsRowFormula>COUNTA((HE3:HE135))</totalsRowFormula>
    </tableColumn>
    <tableColumn id="210" xr3:uid="{B1D5E2A4-3FA4-4D1D-ACA2-E506E6C3632D}" name="Jakie inne wykształcenie poza tym uwzględnionym w niniejszej ankiecie posiadasz? (ukończone szkoły/studia)" totalsRowFunction="custom" totalsRowDxfId="406">
      <totalsRowFormula>COUNTA((HF3:HF135))</totalsRowFormula>
    </tableColumn>
    <tableColumn id="211" xr3:uid="{C0DD7143-2468-4BEC-B88F-1EE24DB6D0F0}" name="Jakie inne wykształcenie poza tym uwzględnionym w niniejszej ankiecie zdobywasz? (nieukończone jeszcze lub przerwane szkoły/studia)" totalsRowFunction="custom" totalsRowDxfId="405">
      <totalsRowFormula>COUNTA((HG3:HG135))</totalsRowFormula>
    </tableColumn>
    <tableColumn id="212" xr3:uid="{BBEFA2DE-C721-4851-BE19-EA61889727D1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404">
      <totalsRowFormula>COUNTA((HH3:HH135))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DB7DB-0A95-462C-92A1-BEAD31824E7F}" name="Analiza" displayName="Analiza" ref="A2:HF160" totalsRowCount="1">
  <autoFilter ref="A2:HF159" xr:uid="{BC01C17C-E729-4430-9A94-BDF77386BAED}"/>
  <sortState xmlns:xlrd2="http://schemas.microsoft.com/office/spreadsheetml/2017/richdata2" ref="A3:HF159">
    <sortCondition ref="A2:A159"/>
  </sortState>
  <tableColumns count="214">
    <tableColumn id="1" xr3:uid="{465F8281-5AF4-4BB0-A518-947E83CAACFF}" name="Lp."/>
    <tableColumn id="214" xr3:uid="{950CE949-C422-4F02-90EA-E03240F38224}" name="ID_zakończone" dataDxfId="349" totalsRowDxfId="348">
      <calculatedColumnFormula>_xlfn.IFNA(VLOOKUP(Analiza[[#This Row],[Zakończono wypełnianie]],Zakończone[],2,0),"BRAK")</calculatedColumnFormula>
    </tableColumn>
    <tableColumn id="213" xr3:uid="{21FBA976-232F-49E9-82A1-034812744A11}" name="ILE niepustych" dataDxfId="347" totalsRowDxfId="346">
      <calculatedColumnFormula>COUNTA(O3:HF3)</calculatedColumnFormula>
    </tableColumn>
    <tableColumn id="2" xr3:uid="{765CA815-52E0-467B-B346-4D5C3821D125}" name="Adres IP"/>
    <tableColumn id="3" xr3:uid="{30974F9A-51E4-4130-AA57-EE494FD23A54}" name="Kolektor"/>
    <tableColumn id="4" xr3:uid="{CAB36BB1-DE45-4D13-8280-BDCCA1741A28}" name="Adres referencyjny / Respondent email"/>
    <tableColumn id="5" xr3:uid="{F447150C-A1F9-4E71-BB64-34AB9E92A6CE}" name="Respondent imie"/>
    <tableColumn id="6" xr3:uid="{2E30E246-0E9E-40CF-BB9B-212D60FCE8A8}" name="Respondent nazwisko"/>
    <tableColumn id="7" xr3:uid="{148631F8-596D-45FF-92C2-05115A287716}" name="Respondent dodatkowe dane"/>
    <tableColumn id="8" xr3:uid="{F019591B-A5E4-41A2-A422-967B9D5943F3}" name="Status"/>
    <tableColumn id="9" xr3:uid="{FB6E1FBD-28B7-4F3E-A163-60EA7D76165F}" name="Rozpoczęto wypełnianie"/>
    <tableColumn id="10" xr3:uid="{0A24B641-B24A-4FD9-99DA-1CA7E5AA51ED}" name="Zakończono wypełnianie"/>
    <tableColumn id="11" xr3:uid="{0CA51730-CB1C-453C-B7F9-4F32502AD151}" name="Czas trwania (s)"/>
    <tableColumn id="12" xr3:uid="{A4C44391-AFD5-43C9-82AD-FF0526DD5211}" name="Punktacja"/>
    <tableColumn id="13" xr3:uid="{E8E65E82-A901-459C-9B10-2147C17C6997}" name="Czy jesteś osobą pełnoletnią?" totalsRowFunction="custom" totalsRowDxfId="345">
      <totalsRowFormula>COUNTA((O3:O159))</totalsRowFormula>
    </tableColumn>
    <tableColumn id="14" xr3:uid="{0BD7A98F-1F10-4FB8-B054-37BDD3B56396}" name="Czy jesteś studentem uczelni wyższej?" totalsRowFunction="custom" dataDxfId="344" totalsRowDxfId="343">
      <totalsRowFormula>COUNTA((P3:P159))</totalsRowFormula>
    </tableColumn>
    <tableColumn id="15" xr3:uid="{AB168C36-23BC-41CF-A8B7-C7F5F26BC59A}" name="Jak się nazywa uczelnia, na której studiujesz? (proszę o wybranie jednej uczelni podlegającej ocenie)" totalsRowFunction="custom" totalsRowDxfId="342">
      <totalsRowFormula>COUNTA((Q3:Q159))</totalsRowFormula>
    </tableColumn>
    <tableColumn id="16" xr3:uid="{854C4B62-EAE8-405A-96CD-32148FB75ABD}" name="Czy studiujesz na kierunku technicznym, tzn. takim, po którym uzyskasz tytuł inżyniera?" totalsRowFunction="custom" totalsRowDxfId="341">
      <totalsRowFormula>COUNTA((R3:R159))</totalsRowFormula>
    </tableColumn>
    <tableColumn id="17" xr3:uid="{24BCBB34-34C1-4984-962F-C53466F3EF8F}" name="Jak się nazywa kierunek, na którym studiujesz?" totalsRowFunction="custom" totalsRowDxfId="340">
      <totalsRowFormula>COUNTA((S3:S159))</totalsRowFormula>
    </tableColumn>
    <tableColumn id="18" xr3:uid="{9ADB9BCC-C1C9-4FDD-A2DF-FCC26DBEB749}" name="Moja satysfakcja z usług edukacyjnych ocenianej uczelni jest wysoka." totalsRowFunction="custom" totalsRowDxfId="339">
      <totalsRowFormula>COUNTA((T3:T159))</totalsRowFormula>
    </tableColumn>
    <tableColumn id="19" xr3:uid="{0765E0D2-1173-4D2D-98A3-B8C9EC813AB6}" name="Usługi edukacyjne ocenianej uczelni mają wysoką wartość (okazja / szansa rozwoju własnego lub kariery)." totalsRowFunction="custom" totalsRowDxfId="338">
      <totalsRowFormula>COUNTA((U3:U159))</totalsRowFormula>
    </tableColumn>
    <tableColumn id="20" xr3:uid="{B8B6DDB9-7682-4144-AB5B-DA2CE47AD589}" name="Kształcenie na ocenianej uczelni ma/będzie miało pozytywny wpływ na zwiększenie moich zarobków." totalsRowFunction="custom" totalsRowDxfId="337">
      <totalsRowFormula>COUNTA((V3:V159))</totalsRowFormula>
    </tableColumn>
    <tableColumn id="21" xr3:uid="{EAC188BA-5A2E-4D44-97B7-481328766AE0}" name="Kolumna1" totalsRowFunction="custom" totalsRowDxfId="336">
      <totalsRowFormula>COUNTA((W3:W159))</totalsRowFormula>
    </tableColumn>
    <tableColumn id="22" xr3:uid="{45CEF26A-2A20-4110-957F-4A81415F208F}" name="w pierwszym roku po ukończeniu studiów : wybierz wartość z listy rozwijanej" totalsRowFunction="custom" totalsRowDxfId="335">
      <totalsRowFormula>COUNTA((X3:X159))</totalsRowFormula>
    </tableColumn>
    <tableColumn id="23" xr3:uid="{36E47482-B5FD-4E87-827E-0139C02CF35C}" name="w 3 lata po ukończeniu studiów : wybierz wartość z listy rozwijanej" totalsRowFunction="custom" totalsRowDxfId="334">
      <totalsRowFormula>COUNTA((Y3:Y159))</totalsRowFormula>
    </tableColumn>
    <tableColumn id="24" xr3:uid="{8655FEEC-F7C8-48BC-B109-9244A7AB6BAC}" name="Jakich innych (poza zarobkami) efektów kształcenia na ocenianej uczelni się spodziewasz?" totalsRowFunction="custom" totalsRowDxfId="333">
      <totalsRowFormula>COUNTA((Z3:Z159))</totalsRowFormula>
    </tableColumn>
    <tableColumn id="25" xr3:uid="{D91B74B4-E8B9-401D-A7E4-820C4DF791D4}" name="Jakie elementy lub cechy sprawiały, że Tobie studiowało się dobrze?" totalsRowFunction="custom" totalsRowDxfId="332">
      <totalsRowFormula>COUNTA((AA3:AA159))</totalsRowFormula>
    </tableColumn>
    <tableColumn id="26" xr3:uid="{1E74CD43-D0E9-47B9-8442-05054D3E31F6}" name="Jakie elementy lub cechy sprawiały, że Tobie studiowało się źle?" totalsRowFunction="custom" totalsRowDxfId="331">
      <totalsRowFormula>COUNTA((AB3:AB159))</totalsRowFormula>
    </tableColumn>
    <tableColumn id="27" xr3:uid="{D0177BE1-4E02-4595-8669-95C494930B5B}" name="Jakiego rodzaju są Twoje studia?" totalsRowFunction="custom" totalsRowDxfId="330">
      <totalsRowFormula>COUNTA((AC3:AC159))</totalsRowFormula>
    </tableColumn>
    <tableColumn id="28" xr3:uid="{3597DDE1-E56A-406C-8EDD-22E18D515174}" name="Pole dodatkowe" totalsRowFunction="custom" totalsRowDxfId="329">
      <totalsRowFormula>COUNTA((AD3:AD159))</totalsRowFormula>
    </tableColumn>
    <tableColumn id="29" xr3:uid="{66ED4699-908F-4DD2-BD11-F0A6AA4499D4}" name="Na którym semestrze studiujesz obecnie?" totalsRowFunction="custom" totalsRowDxfId="328">
      <totalsRowFormula>COUNTA((AE3:AE159))</totalsRowFormula>
    </tableColumn>
    <tableColumn id="30" xr3:uid="{665AE932-5635-468D-B539-28624FF56492}" name="Czy jesteś absolwentem uczelni wyższej?" totalsRowFunction="custom" dataDxfId="327" totalsRowDxfId="326">
      <totalsRowFormula>COUNTA((AF3:AF159))</totalsRowFormula>
    </tableColumn>
    <tableColumn id="31" xr3:uid="{6D42BC0A-E5D6-447B-8744-250407520358}" name="Jak się nazywa uczelnia którą ukończyłeś? (proszę o wybranie jednej uczelni podlegającej ocenie)" totalsRowFunction="custom" totalsRowDxfId="325">
      <totalsRowFormula>COUNTA((AG3:AG159))</totalsRowFormula>
    </tableColumn>
    <tableColumn id="32" xr3:uid="{98CD8724-008F-40DD-802A-1E19F38958A9}" name="W którym roku ukończyłaś/eś studia (rok w którym uzyskano dyplom ukończenia studiów drugiego stopnia, albo pierwszego stopnia, jeśli nie uzyskano dyplomu 2. stopnia)?" totalsRowFunction="custom" totalsRowDxfId="324">
      <totalsRowFormula>COUNTA((AH3:AH159))</totalsRowFormula>
    </tableColumn>
    <tableColumn id="33" xr3:uid="{FA60BF2C-8D84-4777-836B-1FF0604F1C9C}" name="Czy ukończony kierunek był kierunkiem technicznym, tzn. takim, po którym uzyskałaś/eś tytuł inżyniera?" totalsRowFunction="custom" totalsRowDxfId="323">
      <totalsRowFormula>COUNTA((AI3:AI159))</totalsRowFormula>
    </tableColumn>
    <tableColumn id="34" xr3:uid="{ADAE23AC-8F73-4453-AC5D-FE2116FA8AF9}" name="Jak się nazywa kierunek, który ukończyłaś/eś?" totalsRowFunction="custom" totalsRowDxfId="322">
      <totalsRowFormula>COUNTA((AJ3:AJ159))</totalsRowFormula>
    </tableColumn>
    <tableColumn id="35" xr3:uid="{428C07E3-7968-48E6-A4DA-496F1181FEB2}" name="Moja satysfakcja z (efektów) usług edukacyjnych ocenianej uczelni jest wysoka." totalsRowFunction="custom" totalsRowDxfId="321">
      <totalsRowFormula>COUNTA((AK3:AK159))</totalsRowFormula>
    </tableColumn>
    <tableColumn id="36" xr3:uid="{7E3FB4AF-502F-4F5F-80C8-50BD2F50FD94}" name="Usługi edukacyjne ocenianej uczelni mają wysoką wartość (okazja / szansa rozwoju własnego lub kariery).3" totalsRowFunction="custom" totalsRowDxfId="320">
      <totalsRowFormula>COUNTA((AL3:AL159))</totalsRowFormula>
    </tableColumn>
    <tableColumn id="37" xr3:uid="{13B29A8A-9864-47D3-8D85-03ADE3F9CFBD}" name="Kształcenie na ocenianej uczelni ma/miało pozytywny wpływ na zwiększenie moich zarobków." totalsRowFunction="custom" totalsRowDxfId="319">
      <totalsRowFormula>COUNTA((AM3:AM159))</totalsRowFormula>
    </tableColumn>
    <tableColumn id="38" xr3:uid="{9D91EBF3-6BD2-4E2B-A118-A8EA8C2FF810}" name="Moje zarobki w pierwszym roku po ukończeniu studiów były satysfakcjonujące." totalsRowFunction="custom" totalsRowDxfId="318">
      <totalsRowFormula>COUNTA((AN3:AN159))</totalsRowFormula>
    </tableColumn>
    <tableColumn id="39" xr3:uid="{4C05D2D8-542C-4CD2-B02B-74A6107B9906}" name="Moje zarobki po 3. latach po ukończeniu studiów były satysfakcjonujące." totalsRowFunction="custom" totalsRowDxfId="317">
      <totalsRowFormula>COUNTA((AO3:AO159))</totalsRowFormula>
    </tableColumn>
    <tableColumn id="40" xr3:uid="{DEDADD55-6230-4583-B52F-F72A8341F13C}" name="W ile miesięcy po ukończeniu studiów uzyskałaś/eś zatrudnienie? Proszę podać liczbę miesięcy lub wpisać inną opcję (np. praca przed ukończeniem studiów; założenie własnej firmy; nie zamierzam pracować)" totalsRowFunction="custom" totalsRowDxfId="316">
      <totalsRowFormula>COUNTA((AP3:AP159))</totalsRowFormula>
    </tableColumn>
    <tableColumn id="41" xr3:uid="{17F2CC62-23FF-4121-AD9B-57CD659BC75D}" name="w pierwszym roku po ukończeniu studiów : wybierz wartość z listy rozwijanej4" totalsRowFunction="custom" totalsRowDxfId="315">
      <totalsRowFormula>COUNTA((AQ3:AQ159))</totalsRowFormula>
    </tableColumn>
    <tableColumn id="42" xr3:uid="{4CAB053F-2163-4455-9A70-0A489C75ED6D}" name="w 3 lata po ukończeniu studiów : wybierz wartość z listy rozwijanej5" totalsRowFunction="custom" totalsRowDxfId="314">
      <totalsRowFormula>COUNTA((AR3:AR159))</totalsRowFormula>
    </tableColumn>
    <tableColumn id="43" xr3:uid="{ED349003-2383-4091-A70C-5B26539031D1}" name="Jakie inne (poza zarobkami) efekty kształcenia na ocenianej uczelni dostrzegasz obecnie?" totalsRowFunction="custom" totalsRowDxfId="313">
      <totalsRowFormula>COUNTA((AS3:AS159))</totalsRowFormula>
    </tableColumn>
    <tableColumn id="44" xr3:uid="{C9AA4BEA-8991-4F56-A7E1-DA0762C2B486}" name="Co wpływało na twoją satysfakcję ze studiowania?_x000a_" totalsRowFunction="custom" totalsRowDxfId="312">
      <totalsRowFormula>COUNTA((AT3:AT159))</totalsRowFormula>
    </tableColumn>
    <tableColumn id="45" xr3:uid="{00A5350A-103D-4E86-99F7-01E1F081E96E}" name="Kolumna6" totalsRowFunction="custom" totalsRowDxfId="311">
      <totalsRowFormula>COUNTA((AU3:AU159))</totalsRowFormula>
    </tableColumn>
    <tableColumn id="46" xr3:uid="{AB30AA0A-ADAF-4A76-852B-9C6171DBA36D}" name="Jakiego rodzaju były Twoje studia?" totalsRowFunction="custom" totalsRowDxfId="310">
      <totalsRowFormula>COUNTA((AV3:AV159))</totalsRowFormula>
    </tableColumn>
    <tableColumn id="47" xr3:uid="{156EF4B8-4A3F-4406-9CDE-324D32F939BA}" name="Pole dodatkowe7" totalsRowFunction="custom" totalsRowDxfId="309">
      <totalsRowFormula>COUNTA((AW3:AW159))</totalsRowFormula>
    </tableColumn>
    <tableColumn id="48" xr3:uid="{085D3107-411D-41F8-A270-88DCB1EAF46B}" name="Czy jesteś rodzicem / opiekunem absolwenta uczelni wyższej?" totalsRowFunction="custom" dataDxfId="308" totalsRowDxfId="307">
      <totalsRowFormula>COUNTA((AX3:AX159))</totalsRowFormula>
    </tableColumn>
    <tableColumn id="49" xr3:uid="{373F08C1-1889-416C-AADD-9D721E98EE00}" name="Uczelnie ilu podopiecznych będziesz oceniać?" totalsRowFunction="custom" totalsRowDxfId="306">
      <totalsRowFormula>COUNTA((AY3:AY159))</totalsRowFormula>
    </tableColumn>
    <tableColumn id="50" xr3:uid="{13D25B78-1174-488F-992E-7C87CC26F413}" name="Jak się nazywa uczelnia, którą ukończył/a Twoja/Twój podopieczna/podopieczny? (proszę o wybranie jednej uczelni podlegającej ocenie)" totalsRowFunction="custom" totalsRowDxfId="305">
      <totalsRowFormula>COUNTA((AZ3:AZ159))</totalsRowFormula>
    </tableColumn>
    <tableColumn id="51" xr3:uid="{8F26B0D9-AF54-4F97-BC2E-BAFF74458446}" name="W którym roku Twoja/Twój podopieczna/y ukończył/a studia (rok w którym uzyskano dyplom ukończenia studiów drugiego stopnia, albo pierwszego stopnia, jeśli nie uzyskano dyplomu 2. stopnia)?" totalsRowFunction="custom" totalsRowDxfId="304">
      <totalsRowFormula>COUNTA((BA3:BA159))</totalsRowFormula>
    </tableColumn>
    <tableColumn id="52" xr3:uid="{46B60108-007B-4727-8517-B149C9074216}" name="Czy ukończony kierunek był kierunkiem technicznym, tzn. takim, po którym uzyskano tytuł inżyniera?" totalsRowFunction="custom" totalsRowDxfId="303">
      <totalsRowFormula>COUNTA((BB3:BB159))</totalsRowFormula>
    </tableColumn>
    <tableColumn id="53" xr3:uid="{60C869D2-DBCF-44AD-B67A-F6E4F68A66EA}" name="Jak się nazywa kierunek, który ukończył/a Twoja/Twój podopieczna/podopieczny?" totalsRowFunction="custom" totalsRowDxfId="302">
      <totalsRowFormula>COUNTA((BC3:BC159))</totalsRowFormula>
    </tableColumn>
    <tableColumn id="54" xr3:uid="{A3CBF3B3-DD1B-4022-88CB-1555D7F4F8C5}" name="Moja satysfakcja z (efektów) usług edukacyjnych ocenianej uczelni jest wysoka.8" totalsRowFunction="custom" totalsRowDxfId="301">
      <totalsRowFormula>COUNTA((BD3:BD159))</totalsRowFormula>
    </tableColumn>
    <tableColumn id="55" xr3:uid="{D34023F4-654B-483D-BB5D-A538A9480931}" name="Usługi edukacyjne ocenianej uczelni mają wysoką wartość (okazja / szansa rozwoju własnego lub kariery).9" totalsRowFunction="custom" totalsRowDxfId="300">
      <totalsRowFormula>COUNTA((BE3:BE159))</totalsRowFormula>
    </tableColumn>
    <tableColumn id="56" xr3:uid="{02B5104E-91D3-493A-B339-9D321D6ADDD3}" name="Kształcenie na ocenianej uczelni ma/będzie miało pozytywny wpływ na zwiększenie zarobków mojej/mojego podopiecznej/podopiecznego." totalsRowFunction="custom" totalsRowDxfId="299">
      <totalsRowFormula>COUNTA((BF3:BF159))</totalsRowFormula>
    </tableColumn>
    <tableColumn id="57" xr3:uid="{AE7529E6-21C9-49EB-B961-AD47808BEBFB}" name="Zarobki uzyskiwane przez mojego/moją podopieczną/podopiecznego w pierwszym roku po ukończeniu studiów były satysfakcjonujące (z mojego punktu widzenia)" totalsRowFunction="custom" totalsRowDxfId="298">
      <totalsRowFormula>COUNTA((BG3:BG159))</totalsRowFormula>
    </tableColumn>
    <tableColumn id="58" xr3:uid="{AB8831BC-AF61-414C-9169-0722A4874E11}" name="Zarobki uzyskiwane przez mojego/moją podopieczną/podopiecznego w 3 lata po ukończeniu studiów były satysfakcjonujące (z mojego punktu widzenia)" totalsRowFunction="custom" totalsRowDxfId="297">
      <totalsRowFormula>COUNTA((BH3:BH159))</totalsRowFormula>
    </tableColumn>
    <tableColumn id="59" xr3:uid="{78D6CE0C-A1A6-4CFD-8597-2DA449543A7B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296">
      <totalsRowFormula>COUNTA((BI3:BI159))</totalsRowFormula>
    </tableColumn>
    <tableColumn id="60" xr3:uid="{EF473340-3BCA-4590-B1D3-586452233B88}" name="Jakie inne (poza zarobkami) efekty kształcenia na ocenianej uczelni się dostrzegasz obecnie?" totalsRowFunction="custom" totalsRowDxfId="295">
      <totalsRowFormula>COUNTA((BJ3:BJ159))</totalsRowFormula>
    </tableColumn>
    <tableColumn id="61" xr3:uid="{F5907E33-A84C-4D35-815F-7AB4B7FD4A9A}" name="Jakiego rodzaju były studia, które ukończył/a Twoja/Twój podopieczna/podopieczny?" totalsRowFunction="custom" totalsRowDxfId="294">
      <totalsRowFormula>COUNTA((BK3:BK159))</totalsRowFormula>
    </tableColumn>
    <tableColumn id="62" xr3:uid="{D7A10314-D8C8-4D47-9939-D597680A8D89}" name="Pole dodatkowe10" totalsRowFunction="custom" totalsRowDxfId="293">
      <totalsRowFormula>COUNTA((BL3:BL159))</totalsRowFormula>
    </tableColumn>
    <tableColumn id="63" xr3:uid="{165E7C41-F825-40A7-BA29-7D65FA1622DD}" name="Jeśli Twoja/Twój podopieczna/podopieczny ukończył/a również inne szkoły / kierunki studiów to proszę wpisz je tutaj." totalsRowFunction="custom" totalsRowDxfId="292">
      <totalsRowFormula>COUNTA((BM3:BM159))</totalsRowFormula>
    </tableColumn>
    <tableColumn id="64" xr3:uid="{F460018C-F65A-4EBC-A1B3-720CD09E2F51}" name="Czy będziesz oceniał uczelnię ukończoną przez drugiego podopiecznego?" totalsRowFunction="custom" totalsRowDxfId="291">
      <totalsRowFormula>COUNTA((BN3:BN159))</totalsRowFormula>
    </tableColumn>
    <tableColumn id="65" xr3:uid="{1FFAD861-7107-4C07-813C-2D7A37A2164D}" name="Jak się nazywa uczelnia, którą ukończył/a Twoja/Twój podopieczna/podopieczny? (proszę o wybranie jednej uczelni podlegającej ocenie)11" totalsRowFunction="custom" totalsRowDxfId="290">
      <totalsRowFormula>COUNTA((BO3:BO159))</totalsRowFormula>
    </tableColumn>
    <tableColumn id="66" xr3:uid="{1104D839-1DC0-4547-ACB6-32EC10393F87}" name="W którym roku Twoja/Twój podopieczna/y ukończył/a studia (rok w którym uzyskano dyplom ukończenia studiów drugiego stopnia, albo pierwszego stopnia, jeśli nie uzyskano dyplomu 2. stopnia)?12" totalsRowFunction="custom" totalsRowDxfId="289">
      <totalsRowFormula>COUNTA((BP3:BP159))</totalsRowFormula>
    </tableColumn>
    <tableColumn id="67" xr3:uid="{3D25B926-3D3A-4554-8D21-C8CEA4B700DB}" name="Czy ukończony kierunek był kierunkiem technicznym, tzn. takim, po którym uzyskano tytuł inżyniera?13" totalsRowFunction="custom" totalsRowDxfId="288">
      <totalsRowFormula>COUNTA((BQ3:BQ159))</totalsRowFormula>
    </tableColumn>
    <tableColumn id="68" xr3:uid="{82D0E1F6-AAC9-483E-86A4-72BFF90C14E1}" name="Jak się nazywa kierunek, który ukończył/a Twoja/Twój podopieczna/podopieczny?14" totalsRowFunction="custom" totalsRowDxfId="287">
      <totalsRowFormula>COUNTA((BR3:BR159))</totalsRowFormula>
    </tableColumn>
    <tableColumn id="69" xr3:uid="{66B3F5D6-8119-4B13-944B-F7FA87F55668}" name="Moja satysfakcja z (efektów) usług edukacyjnych ocenianej uczelni jest wysoka.15" totalsRowFunction="custom" totalsRowDxfId="286">
      <totalsRowFormula>COUNTA((BS3:BS159))</totalsRowFormula>
    </tableColumn>
    <tableColumn id="70" xr3:uid="{CBFEDB9C-E8C2-4738-B7E9-8CA5AFA2B25A}" name="Usługi edukacyjne ocenianej uczelni mają wysoką wartość (okazja / szansa rozwoju własnego lub kariery).16" totalsRowFunction="custom" totalsRowDxfId="285">
      <totalsRowFormula>COUNTA((BT3:BT159))</totalsRowFormula>
    </tableColumn>
    <tableColumn id="71" xr3:uid="{29F3A584-46BF-4D86-AE94-C057578FDCBD}" name="Kształcenie na ocenianej uczelni ma/będzie miało pozytywny wpływ na zwiększenie zarobków mojej/mojego podopiecznej/podopiecznego.17" totalsRowFunction="custom" totalsRowDxfId="284">
      <totalsRowFormula>COUNTA((BU3:BU159))</totalsRowFormula>
    </tableColumn>
    <tableColumn id="72" xr3:uid="{31A21B0E-B684-4B58-AD88-A583F3920EA3}" name="Zarobki uzyskiwane przez mojego/moją podopieczną/podopiecznego w pierwszym roku po ukończeniu studiów były satysfakcjonujące (z mojego punktu widzenia)18" totalsRowFunction="custom" totalsRowDxfId="283">
      <totalsRowFormula>COUNTA((BV3:BV159))</totalsRowFormula>
    </tableColumn>
    <tableColumn id="73" xr3:uid="{A89673FD-B45C-4DD7-BEF1-001A5CE4F05A}" name="Zarobki uzyskiwane przez mojego/moją podopieczną/podopiecznego w 3 lata po ukończeniu studiów były satysfakcjonujące (z mojego punktu widzenia)19" totalsRowFunction="custom" totalsRowDxfId="282">
      <totalsRowFormula>COUNTA((BW3:BW159))</totalsRowFormula>
    </tableColumn>
    <tableColumn id="74" xr3:uid="{227DE096-9957-4E88-8321-DF995BD2DFBD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281">
      <totalsRowFormula>COUNTA((BX3:BX159))</totalsRowFormula>
    </tableColumn>
    <tableColumn id="75" xr3:uid="{D391B630-A02F-4FC9-A4FF-6812943B9BB8}" name="Jakie inne (poza zarobkami) efekty kształcenia na ocenianej uczelni się dostrzegasz obecnie?21" totalsRowFunction="custom" totalsRowDxfId="280">
      <totalsRowFormula>COUNTA((BY3:BY159))</totalsRowFormula>
    </tableColumn>
    <tableColumn id="76" xr3:uid="{10689BE6-B95B-4AE5-83F1-55BDA0BA3CDC}" name="Jakiego rodzaju były studia, które ukończył/a Twoja/Twój podopieczna/podopieczny?22" totalsRowFunction="custom" totalsRowDxfId="279">
      <totalsRowFormula>COUNTA((BZ3:BZ159))</totalsRowFormula>
    </tableColumn>
    <tableColumn id="77" xr3:uid="{6FCF6001-0320-49B2-98E4-DBE8BE04E809}" name="Pole dodatkowe23" totalsRowFunction="custom" totalsRowDxfId="278">
      <totalsRowFormula>COUNTA((CA3:CA159))</totalsRowFormula>
    </tableColumn>
    <tableColumn id="78" xr3:uid="{A472783F-7647-4098-93C2-147D32A84371}" name="Jeśli Twoja/Twój podopieczna/podopieczny ukończył/a również inne szkoły / kierunki studiów to proszę wpisz je tutaj.24" totalsRowFunction="custom" totalsRowDxfId="277">
      <totalsRowFormula>COUNTA((CB3:CB159))</totalsRowFormula>
    </tableColumn>
    <tableColumn id="79" xr3:uid="{1A403871-DFFF-4390-AEEF-95D5C0FD9400}" name="Czy będziesz oceniał uczelnię ukończoną przez trzeciego podopiecznego?" totalsRowFunction="custom" totalsRowDxfId="276">
      <totalsRowFormula>COUNTA((CC3:CC159))</totalsRowFormula>
    </tableColumn>
    <tableColumn id="80" xr3:uid="{658511C7-2EE0-4B12-9340-BB9E0A426772}" name="Jak się nazywa uczelnia, którą ukończył/a Twoja/Twój podopieczna/podopieczny? (proszę o wybranie jednej uczelni podlegającej ocenie)25" totalsRowFunction="custom" totalsRowDxfId="275">
      <totalsRowFormula>COUNTA((CD3:CD159))</totalsRowFormula>
    </tableColumn>
    <tableColumn id="81" xr3:uid="{201B4784-0CF7-4F12-B797-FCACF378DF87}" name="W którym roku Twoja/Twój podopieczna/y ukończył/a studia (rok w którym uzyskano dyplom ukończenia studiów drugiego stopnia, albo pierwszego stopnia, jeśli nie uzyskano dyplomu 2. stopnia)?26" totalsRowFunction="custom" totalsRowDxfId="274">
      <totalsRowFormula>COUNTA((CE3:CE159))</totalsRowFormula>
    </tableColumn>
    <tableColumn id="82" xr3:uid="{EFEA0D59-60B6-44B3-85E7-69B8079A2E71}" name="Czy ukończony kierunek był kierunkiem technicznym, tzn. takim, po którym uzyskano tytuł inżyniera?27" totalsRowFunction="custom" totalsRowDxfId="273">
      <totalsRowFormula>COUNTA((CF3:CF159))</totalsRowFormula>
    </tableColumn>
    <tableColumn id="83" xr3:uid="{A9E82F19-DDC8-4060-ABD0-5E045F5308D6}" name="Jak się nazywa kierunek, który ukończył/a Twoja/Twój podopieczna/podopieczny?28" totalsRowFunction="custom" totalsRowDxfId="272">
      <totalsRowFormula>COUNTA((CG3:CG159))</totalsRowFormula>
    </tableColumn>
    <tableColumn id="84" xr3:uid="{15E6D0BD-B208-4418-84AB-12BCB30ABA39}" name="Moja satysfakcja z (efektów) usług edukacyjnych ocenianej uczelni jest wysoka.29" totalsRowFunction="custom" totalsRowDxfId="271">
      <totalsRowFormula>COUNTA((CH3:CH159))</totalsRowFormula>
    </tableColumn>
    <tableColumn id="85" xr3:uid="{E59F07E5-5F50-49F9-8B40-4A530F682447}" name="Usługi edukacyjne ocenianej uczelni mają wysoką wartość (okazja / szansa rozwoju własnego lub kariery).30" totalsRowFunction="custom" totalsRowDxfId="270">
      <totalsRowFormula>COUNTA((CI3:CI159))</totalsRowFormula>
    </tableColumn>
    <tableColumn id="86" xr3:uid="{C7826E62-E943-4DF7-AA83-0066976F8524}" name="Kształcenie na ocenianej uczelni ma/będzie miało pozytywny wpływ na zwiększenie zarobków mojej/mojego podopiecznej/podopiecznego.31" totalsRowFunction="custom" totalsRowDxfId="269">
      <totalsRowFormula>COUNTA((CJ3:CJ159))</totalsRowFormula>
    </tableColumn>
    <tableColumn id="87" xr3:uid="{55A97D9C-AC62-4ADE-B382-76D5CD45477F}" name="Zarobki uzyskiwane przez mojego/moją podopieczną/podopiecznego w pierwszym roku po ukończeniu studiów były satysfakcjonujące (z mojego punktu widzenia)32" totalsRowFunction="custom" totalsRowDxfId="268">
      <totalsRowFormula>COUNTA((CK3:CK159))</totalsRowFormula>
    </tableColumn>
    <tableColumn id="88" xr3:uid="{E0B2CC5B-D517-45A7-AF78-C102D0144A5C}" name="Zarobki uzyskiwane przez mojego/moją podopieczną/podopiecznego w 3 lata po ukończeniu studiów były satysfakcjonujące (z mojego punktu widzenia)33" totalsRowFunction="custom" totalsRowDxfId="267">
      <totalsRowFormula>COUNTA((CL3:CL159))</totalsRowFormula>
    </tableColumn>
    <tableColumn id="89" xr3:uid="{D432137D-90BD-4646-8DA6-2CA3A1C2577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266">
      <totalsRowFormula>COUNTA((CM3:CM159))</totalsRowFormula>
    </tableColumn>
    <tableColumn id="90" xr3:uid="{0FA72066-CF3D-49BE-AC2D-FA05BABB3516}" name="Jakie inne (poza zarobkami) efekty kształcenia na ocenianej uczelni się dostrzegasz obecnie?35" totalsRowFunction="custom" totalsRowDxfId="265">
      <totalsRowFormula>COUNTA((CN3:CN159))</totalsRowFormula>
    </tableColumn>
    <tableColumn id="91" xr3:uid="{91E77103-7890-4078-B592-ECCB3080C6BE}" name="Jakiego rodzaju były studia, które ukończył/a Twoja/Twój podopieczna/podopieczny?36" totalsRowFunction="custom" totalsRowDxfId="264">
      <totalsRowFormula>COUNTA((CO3:CO159))</totalsRowFormula>
    </tableColumn>
    <tableColumn id="92" xr3:uid="{D87D6F17-9A18-4BD2-82A2-E153AE86B37C}" name="Pole dodatkowe37" totalsRowFunction="custom" totalsRowDxfId="263">
      <totalsRowFormula>COUNTA((CP3:CP159))</totalsRowFormula>
    </tableColumn>
    <tableColumn id="93" xr3:uid="{D47608AC-103C-4B2C-B579-9701B8FC18ED}" name="Jeśli Twoja/Twój podopieczna/podopieczny ukończył/a również inne szkoły / kierunki studiów to proszę wpisz je tutaj.38" totalsRowFunction="custom" totalsRowDxfId="262">
      <totalsRowFormula>COUNTA((CQ3:CQ159))</totalsRowFormula>
    </tableColumn>
    <tableColumn id="94" xr3:uid="{E7DDA408-1945-4BDE-9B5A-12AAC3E05194}" name="Czy jesteś aktualnie pracownikiem administracyjnym uczelni wyższej?" totalsRowFunction="custom" dataDxfId="261" totalsRowDxfId="260">
      <totalsRowFormula>COUNTA((CR3:CR159))</totalsRowFormula>
    </tableColumn>
    <tableColumn id="95" xr3:uid="{8FA6CEDE-89F7-4035-B48A-EC70337C4D7E}" name="Jak się nazywa uczelnia, na której pracujesz? (proszę o wybranie jednej uczelni podlegającej ocenie)" totalsRowDxfId="259"/>
    <tableColumn id="96" xr3:uid="{F959B9F3-C53C-4C63-A092-AF4A70D45B06}" name="Na jakim wydziale pracujesz?" totalsRowDxfId="258"/>
    <tableColumn id="97" xr3:uid="{19273B31-1872-4994-B739-304F1E7FBD34}" name="Moja satysfakcja z pracy na ocenianej uczelni jest wysoka." totalsRowDxfId="257"/>
    <tableColumn id="98" xr3:uid="{EE7C1371-E788-4978-B01E-B5870F3E97D1}" name="Atmosfera w zespole współpracowników jest dobra." totalsRowDxfId="256"/>
    <tableColumn id="99" xr3:uid="{04B25BDB-5FFA-42B5-AEBA-FC863BEDBC77}" name="Moje zarobki są satysfakcjonujące." totalsRowDxfId="255"/>
    <tableColumn id="100" xr3:uid="{DAD2DC5B-8DF9-49D3-A852-672969268131}" name="Praca na ocenianej uczelni daje mi duże szanse rozwoju." totalsRowDxfId="254"/>
    <tableColumn id="101" xr3:uid="{27C35901-3DF8-4B77-BEB2-58D43C8B6871}" name="Wartość wykształcenia zdobywanego przez studentów ocenianej uczelni jest wysoka." totalsRowDxfId="253"/>
    <tableColumn id="102" xr3:uid="{4669105C-8E5E-4FD6-97C5-3F5E1BE9CAE4}" name="Zdobyte na ocenianej uczelni wykształcenie ma pozytywny wpływ na zwiększenie zarobków absolwentów." totalsRowDxfId="252"/>
    <tableColumn id="103" xr3:uid="{C2B9909A-91DF-4FB2-B673-AACC920851EA}" name="Jakie inne (poza zarobkami) efekty kształcenia na ocenianej uczelni się dostrzegasz obecnie?39" totalsRowDxfId="251"/>
    <tableColumn id="104" xr3:uid="{1F0E0013-CC4E-4656-BDA5-9028148E569A}" name="Czy jesteś aktualnie pracownikiem naukowym lub dydaktycznym uczelni wyższej?" totalsRowFunction="custom" dataDxfId="250" totalsRowDxfId="249">
      <totalsRowFormula>COUNTA((DB3:DB159))</totalsRowFormula>
    </tableColumn>
    <tableColumn id="105" xr3:uid="{78C36DCE-4E4A-4DAD-AF37-31D23561DE9B}" name="Jak się nazywa uczelnia, na której pracujesz? (proszę o wybranie jednej uczelni podlegającej ocenie)40" totalsRowDxfId="248"/>
    <tableColumn id="106" xr3:uid="{FAD00E10-66DF-401D-8721-330410755C4C}" name="Na jakim wydziale pracujesz?41" totalsRowDxfId="247"/>
    <tableColumn id="107" xr3:uid="{3ED79AD9-3A2A-4796-A7F7-27B53055A7C5}" name="Moja satysfakcja z pracy na ocenianej uczelni jest wysoka.42" totalsRowDxfId="246"/>
    <tableColumn id="108" xr3:uid="{88F3FD29-277A-4D3B-9F35-812F832A00F4}" name="Atmosfera w zespole współpracowników jest dobra.43" totalsRowDxfId="245"/>
    <tableColumn id="109" xr3:uid="{DC511D2A-6FF2-4B52-B52A-324E6688C5E0}" name="Moje zarobki są satysfakcjonujące.44" totalsRowDxfId="244"/>
    <tableColumn id="110" xr3:uid="{3C031862-BB50-46FB-A01C-928A7B955B19}" name="Praca na ocenianej uczelni daje mi duże szanse rozwoju.45" totalsRowDxfId="243"/>
    <tableColumn id="111" xr3:uid="{26178753-38CF-4749-A317-A1E5F425DF12}" name="Wartość wykształcenia zdobywanego przez studentów ocenianej uczelni jest wysoka.46" totalsRowDxfId="242"/>
    <tableColumn id="112" xr3:uid="{889B113B-59F9-4196-9536-C41274799622}" name="Zdobyte na ocenianej uczelni wykształcenie ma pozytywny wpływ na zwiększenie zarobków absolwentów.47" totalsRowDxfId="241"/>
    <tableColumn id="113" xr3:uid="{018446A9-87AE-432A-96CE-C29A37692C27}" name="Jakie inne (poza zarobkami) efekty kształcenia na ocenianej uczelni dostrzegasz obecnie?48" totalsRowDxfId="240"/>
    <tableColumn id="114" xr3:uid="{D11A2879-2C85-42C1-9C08-4BA4A9592DB0}" name="Czy jesteś przedstawicielem władz uczelni z grupy rektorów, prorektorów, dziekanów, prodziekanów, członków senatu lub członków rady uczelni?" totalsRowFunction="custom" dataDxfId="239" totalsRowDxfId="238">
      <totalsRowFormula>COUNTA((DL3:DL159))</totalsRowFormula>
    </tableColumn>
    <tableColumn id="115" xr3:uid="{758B3CD0-0C56-4596-8D61-D90700A05DA1}" name="Proszę podać pełnioną funkcję" totalsRowDxfId="237"/>
    <tableColumn id="116" xr3:uid="{E904AED4-A38D-42EF-9D38-709BB163A619}" name="Kolumna3" totalsRowDxfId="236"/>
    <tableColumn id="117" xr3:uid="{AF0D4680-ECCA-4738-825E-AB146FC0FF8F}" name="Kolumna4" totalsRowDxfId="235"/>
    <tableColumn id="118" xr3:uid="{65A15536-DE99-4D16-A20B-206F127C5BFB}" name="Kolumna5" totalsRowDxfId="234"/>
    <tableColumn id="119" xr3:uid="{E05782FB-7FE9-42ED-94C4-B7F653167A0F}" name="Jak się nazywa uczelnia którą będziesz oceniać (jako przedstawiciel jej władz)?" totalsRowDxfId="233"/>
    <tableColumn id="120" xr3:uid="{1B7FA187-1663-4FBF-A3C5-EA8D6A053A25}" name="Efekty działań ocenianej uczelni na rzesz jakości edukacji są dobre" totalsRowDxfId="232"/>
    <tableColumn id="121" xr3:uid="{8A6C2138-0511-4784-9BCB-D7F056FD5756}" name="Wartość wykształcenia zdobywanego przez studentów na ocenianej uczelni jest wysoka." totalsRowDxfId="231"/>
    <tableColumn id="122" xr3:uid="{33664698-CEF8-4115-B63B-828882A6D501}" name="Zdobyte przez studentów ocenianej uczelni wykształcenie miało/ma pozytywny wpływ na ich zarobki." totalsRowDxfId="230"/>
    <tableColumn id="123" xr3:uid="{6548C317-5775-47D8-8BB5-03CE96ABFB2C}" name="Efekty działań ocenianej uczelni na rzecz jakości edukacji mają dobry wpływ na rozwój regionu." totalsRowDxfId="229"/>
    <tableColumn id="124" xr3:uid="{04271A5C-5560-4CF8-90D9-89BA9B015FBC}" name="Efekty działań ocenianej uczelni na rzecz jakości edukacji mają dobry wpływ na rozwój Polski." totalsRowDxfId="228"/>
    <tableColumn id="125" xr3:uid="{123DE0DC-02B2-4F9B-BEEB-704DB06821EE}" name="Współpraca ocenianej uczelni z biznesem ma pozytywne efekty dla rozwoju regionu / kraju." totalsRowDxfId="227"/>
    <tableColumn id="126" xr3:uid="{A0DF07F0-161A-4193-A1E6-2065A1C8B63E}" name="Ogólny poziom mojej satysfakcji z jakości usług edukacyjnych ocenianej uczelni jest wysoki." totalsRowDxfId="226"/>
    <tableColumn id="127" xr3:uid="{78D52D23-A055-4089-AEA3-0D0030CEAC4A}" name="Studenci : wybierz wartość z listy rozwijanej" totalsRowDxfId="225"/>
    <tableColumn id="128" xr3:uid="{3C88D815-7B36-4940-B457-1D4916A18A9A}" name="Absolwenci : wybierz wartość z listy rozwijanej" totalsRowDxfId="224"/>
    <tableColumn id="129" xr3:uid="{B7AADA93-8D0B-47F3-BCD2-912D3D3EFF96}" name="Rodzice absolwentów : wybierz wartość z listy rozwijanej" totalsRowDxfId="223"/>
    <tableColumn id="130" xr3:uid="{2419B54D-E941-464A-ABB8-3A728F2F5596}" name="Pracownicy administracyjni : wybierz wartość z listy rozwijanej" totalsRowDxfId="222"/>
    <tableColumn id="131" xr3:uid="{BAB27B7B-2698-4085-8E82-FA14AF164B29}" name="Pracownicy naukowi i dydaktyczni : wybierz wartość z listy rozwijanej" totalsRowDxfId="221"/>
    <tableColumn id="132" xr3:uid="{6A6F970F-B3EB-4E50-9DE6-C8C4C7CAA18A}" name="Pracodawcy : wybierz wartość z listy rozwijanej" totalsRowDxfId="220"/>
    <tableColumn id="133" xr3:uid="{09A6A719-E450-4AC4-8182-90B1F383E84C}" name="Władze samorządowe i centralne : wybierz wartość z listy rozwijanej" totalsRowDxfId="219"/>
    <tableColumn id="134" xr3:uid="{2E207BF2-E2F1-4F2B-9DAE-D3B78D867559}" name="Pole dodatkowe4" totalsRowDxfId="218"/>
    <tableColumn id="135" xr3:uid="{EEB77D73-5571-4E17-8266-02BB1710B8F0}" name="Studenci : wybierz wartość z listy rozwijanej5" totalsRowDxfId="217"/>
    <tableColumn id="136" xr3:uid="{81EA592A-292B-42BA-AA88-85A430ABBA5B}" name="Absolwenci : wybierz wartość z listy rozwijanej6" totalsRowDxfId="216"/>
    <tableColumn id="137" xr3:uid="{AC693E91-1370-42E2-8C6B-A2DEAEDAD6D8}" name="Rodzice absolwentów : wybierz wartość z listy rozwijanej7" totalsRowDxfId="215"/>
    <tableColumn id="138" xr3:uid="{C972A3A6-50AF-4CF0-9221-51F3F1B825B5}" name="Pracownicy administracyjni : wybierz wartość z listy rozwijanej8" totalsRowDxfId="214"/>
    <tableColumn id="139" xr3:uid="{8A17F47D-C5DA-4436-9144-E5A1DC2CE401}" name="Pracownicy naukowi i dydaktyczni : wybierz wartość z listy rozwijanej9" totalsRowDxfId="213"/>
    <tableColumn id="140" xr3:uid="{9C9F0784-2723-4BBD-AE36-08FD5221319D}" name="Pracodawcy : wybierz wartość z listy rozwijanej10" totalsRowDxfId="212"/>
    <tableColumn id="141" xr3:uid="{AAE33EE1-D3BE-432C-9A2D-5D55BE9F26EC}" name="Władze samorządowe i centralne : wybierz wartość z listy rozwijanej11" totalsRowDxfId="211"/>
    <tableColumn id="142" xr3:uid="{C7BCF657-B75F-43D7-A19C-E0A38F71C79A}" name="Pole dodatkowe12" totalsRowDxfId="210"/>
    <tableColumn id="143" xr3:uid="{027BA0BD-D7CE-4B61-BD34-CD9336762A59}" name="Czy jesteś przedstawicielem firmy, w której są zatrudniani absolwenci uczelni wyższych (tytuł licencjata, magistra lub wyższy)?" totalsRowFunction="custom" dataDxfId="209" totalsRowDxfId="208">
      <totalsRowFormula>COUNTA((EO3:EO159))</totalsRowFormula>
    </tableColumn>
    <tableColumn id="144" xr3:uid="{AE677D83-CB9E-4B5E-B46A-E76A87DC758B}" name="Czy w Twojej firmie są zatrudnieni absolwenci uczelni technicznych (posiadają tytuł inżyniera)?" totalsRowDxfId="207"/>
    <tableColumn id="145" xr3:uid="{A9C11981-CE44-482B-9485-624EB4CFA91B}" name="Ile uczelni będziesz oceniać?" totalsRowDxfId="206"/>
    <tableColumn id="146" xr3:uid="{822F037D-C81E-4AA1-A477-75B7599C4C4E}" name="Jak się nazywa uczelnia, którą ocenisz? " totalsRowDxfId="205"/>
    <tableColumn id="147" xr3:uid="{B879E027-4001-4F17-98A9-1FF6DD06C0F9}" name="Moja satysfakcja z (efektów) usług edukacyjnych na ocenianej uczelni jest wysoka." totalsRowDxfId="204"/>
    <tableColumn id="148" xr3:uid="{887E2640-884A-454A-B596-856E217BE2DD}" name="Kompetencje absolwentów ocenianej uczelni są wysokie." totalsRowDxfId="203"/>
    <tableColumn id="149" xr3:uid="{478F5E65-AE32-4F52-99FA-3830D9323C3C}" name="Zarobki absolwentów ocenianej uczelni zatrudnionych w mojej firmie są wyższe od zarobków absolwentów innych polskich uczelni." totalsRowDxfId="202"/>
    <tableColumn id="150" xr3:uid="{E5D4AD52-FA66-4019-983E-25DC2AF5A5A8}" name="Czy w Twojej firmie są zatrudniani absolwenci uczelni w pierwszym roku po ukończeniu studiów (do 12 miesięcy od uzyskania dyplomu)?" totalsRowDxfId="201"/>
    <tableColumn id="151" xr3:uid="{FDC480C9-E39B-4D41-9995-A191329D3555}" name="Jakie kompetencje absolwentów ocenianej uczelni są w Twojej firmie najwyżej wyceniane?" totalsRowDxfId="200"/>
    <tableColumn id="152" xr3:uid="{558E6650-0292-450C-9D81-46BC7B7FA1C9}" name="Jakiego rodzaju prace wykonują absolwenci ocenianej uczelni w Twojej firmie?" totalsRowDxfId="199"/>
    <tableColumn id="153" xr3:uid="{9E8CE1F9-05B3-4737-AC9A-FAE812FD292C}" name="Czy będziesz oceniał drugą uczelnię?" totalsRowDxfId="198"/>
    <tableColumn id="154" xr3:uid="{CEB66B10-0E60-4952-A1B0-1E5C8784E791}" name="Jak się nazywa uczelnia, którą ocenisz? 13" totalsRowDxfId="197"/>
    <tableColumn id="155" xr3:uid="{2864E703-440A-477E-8352-68DEA39F85CD}" name="Moja satysfakcja z (efektów) usług edukacyjnych na ocenianej uczelni jest wysoka.14" totalsRowDxfId="196"/>
    <tableColumn id="156" xr3:uid="{B38513D8-CC85-41E0-85A1-82AC6807323C}" name="Kompetencje absolwentów ocenianej uczelni są wysokie.15" totalsRowDxfId="195"/>
    <tableColumn id="157" xr3:uid="{204ADF47-FBCC-47A6-95D9-5D3E03854768}" name="Zarobki absolwentów ocenianej uczelni zatrudnionych w mojej firmie są wyższe od zarobków absolwentów innych polskich uczelni.16" totalsRowDxfId="194"/>
    <tableColumn id="158" xr3:uid="{7E6A13F3-C53A-4FC9-B3AE-9EA25D9CBCE6}" name="Czy w Twojej firmie są zatrudniani absolwenci uczelni w pierwszym roku po ukończeniu studiów (do 12 miesięcy od uzyskania dyplomu)?17" totalsRowDxfId="193"/>
    <tableColumn id="159" xr3:uid="{83E7A1CC-295A-477E-8CD0-1E43143ACFF6}" name="Jakie kompetencje absolwentów ocenianej uczelni są w Twojej firmie najwyżej wyceniane?18" totalsRowDxfId="192"/>
    <tableColumn id="160" xr3:uid="{C3F49389-F342-4110-8A16-536B6EC87EC2}" name="Jakiego rodzaju prace wykonują absolwenci ocenianej uczelni w Twojej firmie?19" totalsRowDxfId="191"/>
    <tableColumn id="161" xr3:uid="{2BBFB49D-5EDF-4AC5-9179-70BCC6FA0B96}" name="Czy będziesz oceniał trzecią uczelnię techniczną?" totalsRowDxfId="190"/>
    <tableColumn id="162" xr3:uid="{829F7D1E-D133-43C4-A756-6D0B7542D44F}" name="Jak się nazywa uczelnia, którą ocenisz? 20" totalsRowDxfId="189"/>
    <tableColumn id="163" xr3:uid="{8758E395-9800-4CA8-BF43-3BFBF9507549}" name="Moja satysfakcja z (efektów) usług edukacyjnych na ocenianej uczelni jest wysoka.21" totalsRowDxfId="188"/>
    <tableColumn id="164" xr3:uid="{14ABF48C-A9EC-4153-B011-421959501B3A}" name="Kompetencje absolwentów ocenianej uczelni są wysokie.22" totalsRowDxfId="187"/>
    <tableColumn id="165" xr3:uid="{E8A014C5-F146-4C5D-B50B-6E968A7F8B46}" name="Zarobki absolwentów ocenianej uczelni zatrudnionych w mojej firmie są wyższe od zarobków absolwentów innych polskich uczelni.23" totalsRowDxfId="186"/>
    <tableColumn id="166" xr3:uid="{1FF6D355-AF16-4EB9-8805-4741E5F2867E}" name="Czy w Twojej firmie są zatrudniani absolwenci uczelni w pierwszym roku po ukończeniu studiów (do 12 miesięcy od uzyskania dyplomu)?24" totalsRowDxfId="185"/>
    <tableColumn id="167" xr3:uid="{71809E9D-42EC-47FD-9E58-0596DB8FD07D}" name="Jakie kompetencje absolwentów ocenianej uczelni są w Twojej firmie najwyżej wyceniane?25" totalsRowDxfId="184"/>
    <tableColumn id="168" xr3:uid="{6CA2A8B4-3095-459E-BDF0-43522EA7E403}" name="Jakiego rodzaju prace wykonują absolwenci ocenianej uczelni są w Twojej firmie?" totalsRowDxfId="183"/>
    <tableColumn id="169" xr3:uid="{6AEC3D33-E058-4E5E-AEC6-C091FCB970C9}" name="Czy jesteś przedstawicielem władz samorządowych lub centralnych Rzeczypospolitej Polskiej?" totalsRowFunction="custom" dataDxfId="182" totalsRowDxfId="181">
      <totalsRowFormula>COUNTA((FO3:FO159))</totalsRowFormula>
    </tableColumn>
    <tableColumn id="170" xr3:uid="{BC9560B3-02D5-4DDB-A401-A4247E9B1B22}" name="Proszę wskaż jaki poziom władzy samorządowej lub centralnej reprezentujesz."/>
    <tableColumn id="171" xr3:uid="{A93202BB-0C5A-477B-AB8E-984DC6BE1562}" name="Proszę o podanie nazwy organu władzy jaki reprezentujesz."/>
    <tableColumn id="172" xr3:uid="{58BDBF6E-102C-45D4-92EF-E38D03C7C68F}" name="Ile uczelni będziesz oceniać?26"/>
    <tableColumn id="173" xr3:uid="{846DF9D5-9381-4024-BEED-DD3A1279449E}" name="Jak się nazywa uczelnia, którą ocenisz?"/>
    <tableColumn id="174" xr3:uid="{BF764A79-F8CD-4029-AD20-C5F823568562}" name="Efekty działań ocenianej uczelni na rzesz jakości edukacji są zgodne ze strategią rozwoju w regionie."/>
    <tableColumn id="175" xr3:uid="{B634A191-8CEE-4EDC-AA40-44B78DF4175B}" name="Wartość wykształcenia zdobywanego przez studentów na ocenianej uczelni jest wysoka.27"/>
    <tableColumn id="176" xr3:uid="{A7BF07C0-52A5-4521-BB33-B0529C559657}" name="Zdobyte przez studentów ocenianej uczelni wykształcenie miało/ma pozytywny wpływ na ich zarobki.28"/>
    <tableColumn id="177" xr3:uid="{6F75396F-DF28-42F4-86B3-D2749F6DB49D}" name="Efekty działań ocenianej uczelni na rzecz jakości edukacji mają dobry wpływ na rozwój regionu.29"/>
    <tableColumn id="178" xr3:uid="{E08D7111-F43D-4007-A93C-9F00EBF295F9}" name="Efekty działań ocenianej uczelni na rzecz jakości edukacji mają dobry wpływ na rozwój Polski.30"/>
    <tableColumn id="179" xr3:uid="{A439883A-8F14-431D-9387-C5DA535147FF}" name="Współpraca ocenianej uczelni z biznesem ma pozytywne efekty dla rozwoju regionu / kraju.31"/>
    <tableColumn id="180" xr3:uid="{690D7446-CA02-45BE-BE62-BB06923ACDE8}" name="Ogólny poziom mojej satysfakcji z jakości usług edukacyjnych ocenianej uczelni jest wysoki.32"/>
    <tableColumn id="181" xr3:uid="{BEB1F6C3-3B63-4045-8B21-876D0D35DAB3}" name="Pole dodatkowe33"/>
    <tableColumn id="182" xr3:uid="{ACA31067-E627-433F-9E73-2489B7A479F3}" name="Jakie inne efekty pracy ocenianej uczelni technicznej dostrzegasz obecnie?"/>
    <tableColumn id="183" xr3:uid="{2ACABB7D-713C-402C-AEE0-5EB315826BB7}" name="Czy będziesz oceniać drugą uczelnię?"/>
    <tableColumn id="184" xr3:uid="{FFF372AB-988A-40F9-B0F1-5665C3A9DC07}" name="Jak się nazywa uczelnia, którą ocenisz?34"/>
    <tableColumn id="185" xr3:uid="{A08215E0-CB62-410B-85B8-979FC1E2F4D7}" name="Efekty działań ocenianej uczelni na rzesz jakości edukacji są zgodne ze strategią rozwoju w regionie.35"/>
    <tableColumn id="186" xr3:uid="{FCEF4280-B21D-4B67-906D-9B77D951C352}" name="Wartość wykształcenia zdobywanego przez studentów na ocenianej uczelni jest wysoka.36"/>
    <tableColumn id="187" xr3:uid="{FD379287-2796-4CBA-B100-51F933BD8802}" name="Zdobyte przez studentów ocenianej uczelni wykształcenie miało/ma pozytywny wpływ na ich zarobki.37"/>
    <tableColumn id="188" xr3:uid="{A66EBBF1-4D4D-43FD-A2A2-200DAAD1FA76}" name="Efekty działań ocenianej uczelni na rzecz jakości edukacji mają dobry wpływ na rozwój regionu.38"/>
    <tableColumn id="189" xr3:uid="{1B7075E1-15A6-40DF-9E24-55048E0656D4}" name="Efekty działań ocenianej uczelni na rzecz jakości edukacji mają dobry wpływ na rozwój Polski.39"/>
    <tableColumn id="190" xr3:uid="{C3B9146F-156A-4295-9120-25FE8081A9A5}" name="Współpraca ocenianej uczelni z biznesem ma pozytywne efekty dla rozwoju regionu / kraju.40"/>
    <tableColumn id="191" xr3:uid="{DB8EF70A-50C1-4C7D-9A40-716F0F94A70C}" name="Ogólny poziom mojej satysfakcji z jakości usług edukacyjnych ocenianej uczelni jest wysoki.41"/>
    <tableColumn id="192" xr3:uid="{72A51C29-202D-4ECD-B055-7EF22AACAFB0}" name="Jakie inne efekty pracy ocenianej uczelni dostrzegasz obecnie?"/>
    <tableColumn id="193" xr3:uid="{E843683F-C11B-440B-B4EF-14329CCDC24C}" name="Czy będziesz oceniać trzecią uczelnię?"/>
    <tableColumn id="194" xr3:uid="{1FC5D2BF-7DF3-4790-A4AE-1B1D51C7B2CF}" name="Jak się nazywa uczelnia, którą ocenisz?42"/>
    <tableColumn id="195" xr3:uid="{AC8F5DA7-8177-45E0-B63F-18E59E5BBECE}" name="Efekty działań ocenianej uczelni na rzesz jakości edukacji są zgodne ze strategią rozwoju w regionie.43"/>
    <tableColumn id="196" xr3:uid="{98B5288E-C179-4B5E-9A17-5BA87861B160}" name="Wartość wykształcenia zdobywanego przez studentów na ocenianej uczelni jest wysoka.44"/>
    <tableColumn id="197" xr3:uid="{B642570B-1912-420D-A994-699FCF827C83}" name="Zdobyte przez studentów ocenianej uczelni wykształcenie miało/ma pozytywny wpływ na ich zarobki.45"/>
    <tableColumn id="198" xr3:uid="{C1E1C0CC-C8EA-4A10-8650-C985C28DB28E}" name="Efekty działań ocenianej uczelni na rzecz jakości edukacji mają dobry wpływ na rozwój regionu.46"/>
    <tableColumn id="199" xr3:uid="{617DC609-47B9-4D3F-810B-F674031B1C66}" name="Efekty działań ocenianej uczelni na rzecz jakości edukacji mają dobry wpływ na rozwój Polski.47"/>
    <tableColumn id="200" xr3:uid="{948402DB-9CF8-4F7D-89F9-A95A66781B0D}" name="Współpraca ocenianej uczelni z biznesem ma pozytywne efekty dla rozwoju regionu / kraju.48"/>
    <tableColumn id="201" xr3:uid="{10B4270C-1445-43DD-AD01-C2095726391D}" name="Ogólny poziom mojej satysfakcji z jakości usług edukacyjnych ocenianej uczelni jest wysoki.49"/>
    <tableColumn id="202" xr3:uid="{5AECA552-5401-476C-BE4A-C77FB6DBFD05}" name="Jakie inne efekty pracy ocenianej uczelni dostrzegasz obecnie?50"/>
    <tableColumn id="203" xr3:uid="{341A8063-7364-47B3-9965-095B810ECD89}" name="Jakie, Twoim zdaniem, elementy decydują o tym, że uczelnie są lepsze lub gorsze."/>
    <tableColumn id="204" xr3:uid="{6848ED8F-B1D2-41C6-973D-DBBEF362AC50}" name="Kolumna51"/>
    <tableColumn id="205" xr3:uid="{2249068B-27D7-4545-8F15-B2240382241A}" name="Kolumna52"/>
    <tableColumn id="206" xr3:uid="{0B7DCFB4-58F7-4BF6-9FCE-6D8D5B1EE83D}" name="Płeć" totalsRowFunction="custom" totalsRowDxfId="180">
      <totalsRowFormula>COUNTA((GZ3:GZ159))</totalsRowFormula>
    </tableColumn>
    <tableColumn id="207" xr3:uid="{17374C0D-5C50-4F2D-9998-48F1A5105C49}" name="Rok urodzenia" totalsRowFunction="custom" totalsRowDxfId="179">
      <totalsRowFormula>COUNTA((HA3:HA159))</totalsRowFormula>
    </tableColumn>
    <tableColumn id="208" xr3:uid="{1645D477-C887-454C-9538-48CC0158FF63}" name="Z jakiej wielkości miejscowości pochodzisz? (dotyczy miejscowości, w której się wychowałaś/eś" totalsRowFunction="custom" totalsRowDxfId="178">
      <totalsRowFormula>COUNTA((HB3:HB159))</totalsRowFormula>
    </tableColumn>
    <tableColumn id="209" xr3:uid="{12CD2E72-E534-4809-A75E-AF29F5F5F088}" name="Pole dodatkowe52" totalsRowFunction="custom" totalsRowDxfId="177">
      <totalsRowFormula>COUNTA((HC3:HC159))</totalsRowFormula>
    </tableColumn>
    <tableColumn id="210" xr3:uid="{A7F9896F-910A-4A55-B990-91B148C747C5}" name="Jakie inne wykształcenie poza tym uwzględnionym w niniejszej ankiecie posiadasz? (ukończone szkoły/studia)" totalsRowFunction="custom" totalsRowDxfId="176">
      <totalsRowFormula>COUNTA((HD3:HD159))</totalsRowFormula>
    </tableColumn>
    <tableColumn id="211" xr3:uid="{5984ACCC-B4E1-4707-A8A8-21922E6238A2}" name="Jakie inne wykształcenie poza tym uwzględnionym w niniejszej ankiecie zdobywasz? (nieukończone jeszcze lub przerwane szkoły/studia)" totalsRowFunction="custom" totalsRowDxfId="175">
      <totalsRowFormula>COUNTA((HE3:HE159))</totalsRowFormula>
    </tableColumn>
    <tableColumn id="212" xr3:uid="{B9B2B0C7-9F25-448D-90E6-30ABF0934087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174">
      <totalsRowFormula>COUNTA((HF3:HF159))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C17C-E729-4430-9A94-BDF77386BAED}" name="Wszystkie" displayName="Wszystkie" ref="A2:HE264" totalsRowCount="1">
  <autoFilter ref="A2:HE263" xr:uid="{BC01C17C-E729-4430-9A94-BDF77386BAED}"/>
  <sortState xmlns:xlrd2="http://schemas.microsoft.com/office/spreadsheetml/2017/richdata2" ref="A3:HE263">
    <sortCondition ref="K2:K263"/>
  </sortState>
  <tableColumns count="213">
    <tableColumn id="1" xr3:uid="{4EEEEFFF-F52C-4C3E-BD51-96ED299ECDC0}" name="Lp."/>
    <tableColumn id="214" xr3:uid="{80BD6B63-758D-4DFE-9F8A-A8EA601E29A8}" name="ID_zakończone" dataDxfId="172" totalsRowDxfId="171">
      <calculatedColumnFormula>_xlfn.IFNA(VLOOKUP(Wszystkie[[#This Row],[Zakończono wypełnianie]],Zakończone[],2,0),"BRAK")</calculatedColumnFormula>
    </tableColumn>
    <tableColumn id="2" xr3:uid="{16AC37D3-B8F0-4DB9-81F3-3F1ECCB446D4}" name="Adres IP"/>
    <tableColumn id="3" xr3:uid="{BFE1B295-9DB7-455D-8222-5224B13E08F0}" name="Kolektor"/>
    <tableColumn id="4" xr3:uid="{D243A019-221E-4E0F-AA40-BC8CF00FACAD}" name="Adres referencyjny / Respondent email"/>
    <tableColumn id="5" xr3:uid="{C40DB16E-CE0E-4C25-A09C-2C338B48A0F9}" name="Respondent imie"/>
    <tableColumn id="6" xr3:uid="{8E04B8E5-D254-4940-AA16-850E783D6E5A}" name="Respondent nazwisko"/>
    <tableColumn id="7" xr3:uid="{535AECFB-13AA-4B51-B3AC-BD923BC975F5}" name="Respondent dodatkowe dane"/>
    <tableColumn id="8" xr3:uid="{24D336CA-E560-430E-B23D-62F70E513A5A}" name="Status"/>
    <tableColumn id="9" xr3:uid="{9421A4BD-32FC-44B7-A4F5-DCB3C4E74461}" name="Rozpoczęto wypełnianie"/>
    <tableColumn id="10" xr3:uid="{FDE92EC6-3D3D-47E5-8551-5E167FAB05DC}" name="Zakończono wypełnianie"/>
    <tableColumn id="11" xr3:uid="{87A79D48-44C6-4ED4-BF9D-C426D0FCCC13}" name="Czas trwania (s)"/>
    <tableColumn id="12" xr3:uid="{E85A3348-1D6B-475A-972F-BABB7DFF0950}" name="Punktacja"/>
    <tableColumn id="13" xr3:uid="{BA24497F-9081-446B-BFB1-EF09C78183DE}" name="Czy jesteś osobą pełnoletnią?" totalsRowFunction="custom" totalsRowDxfId="170">
      <totalsRowFormula>COUNTIF(Wszystkie[Czy jesteś osobą pełnoletnią?],"*")</totalsRowFormula>
    </tableColumn>
    <tableColumn id="14" xr3:uid="{E3D767D6-BD41-4141-B5C4-1F9D8EF2956E}" name="Czy jesteś studentem uczelni wyższej?" totalsRowFunction="custom" dataDxfId="169" totalsRowDxfId="168">
      <totalsRowFormula>COUNTIF(Wszystkie[Czy jesteś studentem uczelni wyższej?],"*")</totalsRowFormula>
    </tableColumn>
    <tableColumn id="15" xr3:uid="{976C1CBA-1FD7-4C75-8BED-1BFE923879A1}" name="Jak się nazywa uczelnia, na której studiujesz? (proszę o wybranie jednej uczelni podlegającej ocenie)" totalsRowDxfId="167"/>
    <tableColumn id="16" xr3:uid="{AA3DBEFA-9D73-475E-A9A5-2D42522C9072}" name="Czy studiujesz na kierunku technicznym, tzn. takim, po którym uzyskasz tytuł inżyniera?" totalsRowDxfId="166"/>
    <tableColumn id="17" xr3:uid="{8AAAEBAF-D354-47D3-8A57-BF9F06131A1E}" name="Jak się nazywa kierunek, na którym studiujesz?" totalsRowDxfId="165"/>
    <tableColumn id="18" xr3:uid="{CD9C7D41-ABD7-4C41-89ED-89A659BAC655}" name="Moja satysfakcja z usług edukacyjnych ocenianej uczelni jest wysoka." totalsRowDxfId="164"/>
    <tableColumn id="19" xr3:uid="{31FED63E-2530-44F3-A0E2-6B96989E02A8}" name="Usługi edukacyjne ocenianej uczelni mają wysoką wartość (okazja / szansa rozwoju własnego lub kariery)." totalsRowDxfId="163"/>
    <tableColumn id="20" xr3:uid="{378DDC9B-58A3-4DE4-A300-A19FD721A037}" name="Kształcenie na ocenianej uczelni ma/będzie miało pozytywny wpływ na zwiększenie moich zarobków." totalsRowDxfId="162"/>
    <tableColumn id="21" xr3:uid="{C6A24480-7451-49D9-8645-BC69D7F99331}" name="Kolumna1" totalsRowDxfId="161"/>
    <tableColumn id="22" xr3:uid="{D80E567D-CCDD-4B11-B18B-072D893C7687}" name="w pierwszym roku po ukończeniu studiów : wybierz wartość z listy rozwijanej" totalsRowDxfId="160"/>
    <tableColumn id="23" xr3:uid="{CF51D676-6C20-46B0-A565-D78CD8D4C947}" name="w 3 lata po ukończeniu studiów : wybierz wartość z listy rozwijanej" totalsRowDxfId="159"/>
    <tableColumn id="24" xr3:uid="{0F1B2099-4D7F-463D-AC59-617503BC5E14}" name="Jakich innych (poza zarobkami) efektów kształcenia na ocenianej uczelni się spodziewasz?" totalsRowDxfId="158"/>
    <tableColumn id="25" xr3:uid="{35D57207-52B7-455E-A9ED-A6AD95338EC7}" name="Co wpływa na Twoją satysfakcję ze studiowania?" totalsRowDxfId="157"/>
    <tableColumn id="26" xr3:uid="{CAD83457-32FA-404F-A708-C1B3C759AC6E}" name="Kolumna2" totalsRowDxfId="156"/>
    <tableColumn id="27" xr3:uid="{ADC35906-6D65-48D1-81AC-C4B4957B05D5}" name="Jakiego rodzaju są Twoje studia?" totalsRowDxfId="155"/>
    <tableColumn id="28" xr3:uid="{E068B642-DF74-4CAA-A88E-B517DC5FC386}" name="Pole dodatkowe" totalsRowDxfId="154"/>
    <tableColumn id="29" xr3:uid="{38F90488-07A7-4B7C-882D-784B03584081}" name="Na którym semestrze studiujesz obecnie?" totalsRowDxfId="153"/>
    <tableColumn id="30" xr3:uid="{5A578F2D-0AA4-4797-8F97-B23C8F9552C7}" name="Czy jesteś absolwentem uczelni wyższej?" totalsRowFunction="custom" dataDxfId="152" totalsRowDxfId="151">
      <totalsRowFormula>COUNTIF(Wszystkie[Czy jesteś absolwentem uczelni wyższej?],"*")</totalsRowFormula>
    </tableColumn>
    <tableColumn id="31" xr3:uid="{D2B6D93F-7BC9-4B45-93AA-4FD89F63764D}" name="Jak się nazywa uczelnia którą ukończyłeś? (proszę o wybranie jednej uczelni podlegającej ocenie)" totalsRowDxfId="150"/>
    <tableColumn id="32" xr3:uid="{E591DDF7-3A8B-45B3-9972-7C4BB854C0A9}" name="W którym roku ukończyłaś/eś studia (rok w którym uzyskano dyplom ukończenia studiów drugiego stopnia, albo pierwszego stopnia, jeśli nie uzyskano dyplomu 2. stopnia)?" totalsRowDxfId="149"/>
    <tableColumn id="33" xr3:uid="{B826B930-988D-4AF8-9D52-5EF6AF6A7F20}" name="Czy ukończony kierunek był kierunkiem technicznym, tzn. takim, po którym uzyskałaś/eś tytuł inżyniera?" totalsRowDxfId="148"/>
    <tableColumn id="34" xr3:uid="{0507FF43-58D2-4683-81A2-9CE2C2FA5844}" name="Jak się nazywa kierunek, który ukończyłaś/eś?" totalsRowDxfId="147"/>
    <tableColumn id="35" xr3:uid="{AC65CB7E-A5EF-4C79-B96D-EA85400721B9}" name="Moja satysfakcja z (efektów) usług edukacyjnych ocenianej uczelni jest wysoka." totalsRowDxfId="146"/>
    <tableColumn id="36" xr3:uid="{36BB94DA-A6A2-46AA-A0C4-3AAE4ADCC084}" name="Usługi edukacyjne ocenianej uczelni mają wysoką wartość (okazja / szansa rozwoju własnego lub kariery).3" totalsRowDxfId="145"/>
    <tableColumn id="37" xr3:uid="{46DF242C-10FA-47FE-BC6B-045B295812CA}" name="Kształcenie na ocenianej uczelni ma/miało pozytywny wpływ na zwiększenie moich zarobków." totalsRowDxfId="144"/>
    <tableColumn id="38" xr3:uid="{22DB960F-1A91-4EB9-90EA-0C8BB104EBCF}" name="Moje zarobki w pierwszym roku po ukończeniu studiów były satysfakcjonujące." totalsRowDxfId="143"/>
    <tableColumn id="39" xr3:uid="{1AC1C2EA-FD9C-42F6-8732-E88F90068CC4}" name="Moje zarobki po 3. latach po ukończeniu studiów były satysfakcjonujące." totalsRowDxfId="142"/>
    <tableColumn id="40" xr3:uid="{9520518F-BEFA-48A9-A6AF-FB7CB9400F47}" name="W ile miesięcy po ukończeniu studiów uzyskałaś/eś zatrudnienie? Proszę podać liczbę miesięcy lub wpisać inną opcję (np. praca przed ukończeniem studiów; założenie własnej firmy; nie zamierzam pracować)" totalsRowDxfId="141"/>
    <tableColumn id="41" xr3:uid="{53D325CD-E5E6-4C9E-81B0-775315EF4E8E}" name="w pierwszym roku po ukończeniu studiów : wybierz wartość z listy rozwijanej4" totalsRowDxfId="140"/>
    <tableColumn id="42" xr3:uid="{A6B799C8-D5F2-4C68-B71E-F83C3A6075B7}" name="w 3 lata po ukończeniu studiów : wybierz wartość z listy rozwijanej5" totalsRowDxfId="139"/>
    <tableColumn id="43" xr3:uid="{BC589F24-9BD1-4C2F-9397-D51311E5EC39}" name="Jakie inne (poza zarobkami) efekty kształcenia na ocenianej uczelni dostrzegasz obecnie?" totalsRowDxfId="138"/>
    <tableColumn id="44" xr3:uid="{A11C2A67-EC51-4621-92CF-198235F6DDC5}" name="Co wpływało na twoją satysfakcję ze studiowania?_x000a_" totalsRowDxfId="137"/>
    <tableColumn id="45" xr3:uid="{D388932F-1A0A-4689-AB91-4A4F282D3CA9}" name="Kolumna6" totalsRowDxfId="136"/>
    <tableColumn id="46" xr3:uid="{F488CAF2-B800-439E-8332-DDBED1146AB6}" name="Jakiego rodzaju były Twoje studia?" totalsRowDxfId="135"/>
    <tableColumn id="47" xr3:uid="{00FDD7E1-EBD3-4653-98C4-D74FA980AF99}" name="Pole dodatkowe7" totalsRowDxfId="134"/>
    <tableColumn id="48" xr3:uid="{E33AE7B1-7892-48E4-9DBC-AE5EF9034B4E}" name="Czy jesteś rodzicem / opiekunem absolwenta uczelni wyższej?" totalsRowFunction="custom" dataDxfId="133" totalsRowDxfId="132">
      <totalsRowFormula>COUNTIF(Wszystkie[Czy jesteś rodzicem / opiekunem absolwenta uczelni wyższej?],"*")</totalsRowFormula>
    </tableColumn>
    <tableColumn id="49" xr3:uid="{4088849A-C602-4818-8ECC-DDB0335A5DDB}" name="Uczelnie ilu podopiecznych będziesz oceniać?" totalsRowDxfId="131"/>
    <tableColumn id="50" xr3:uid="{6BB0F22F-B640-446D-B936-91DFADFA81F1}" name="Jak się nazywa uczelnia, którą ukończył/a Twoja/Twój podopieczna/podopieczny? (proszę o wybranie jednej uczelni podlegającej ocenie)" totalsRowDxfId="130"/>
    <tableColumn id="51" xr3:uid="{760CF124-AB02-4DF1-9CE7-66B4800AC399}" name="W którym roku Twoja/Twój podopieczna/y ukończył/a studia (rok w którym uzyskano dyplom ukończenia studiów drugiego stopnia, albo pierwszego stopnia, jeśli nie uzyskano dyplomu 2. stopnia)?" totalsRowDxfId="129"/>
    <tableColumn id="52" xr3:uid="{26244E73-3F31-4ED7-99CC-718C75773980}" name="Czy ukończony kierunek był kierunkiem technicznym, tzn. takim, po którym uzyskano tytuł inżyniera?" totalsRowDxfId="128"/>
    <tableColumn id="53" xr3:uid="{F00033CF-BE1C-4649-B99E-A3FC496AF05C}" name="Jak się nazywa kierunek, który ukończył/a Twoja/Twój podopieczna/podopieczny?" totalsRowDxfId="127"/>
    <tableColumn id="54" xr3:uid="{8AE8E0B0-E59A-4253-8E89-6503DDEE44E9}" name="Moja satysfakcja z (efektów) usług edukacyjnych ocenianej uczelni jest wysoka.8" totalsRowDxfId="126"/>
    <tableColumn id="55" xr3:uid="{D72C8628-4CEE-4A6D-BD58-0114E59C605E}" name="Usługi edukacyjne ocenianej uczelni mają wysoką wartość (okazja / szansa rozwoju własnego lub kariery).9" totalsRowDxfId="125"/>
    <tableColumn id="56" xr3:uid="{53B5753F-3212-43BB-931D-3559FF6976DF}" name="Kształcenie na ocenianej uczelni ma/będzie miało pozytywny wpływ na zwiększenie zarobków mojej/mojego podopiecznej/podopiecznego." totalsRowDxfId="124"/>
    <tableColumn id="57" xr3:uid="{A9563BF9-19A1-46BF-9F31-4690E6A2385C}" name="Zarobki uzyskiwane przez mojego/moją podopieczną/podopiecznego w pierwszym roku po ukończeniu studiów były satysfakcjonujące (z mojego punktu widzenia)" totalsRowDxfId="123"/>
    <tableColumn id="58" xr3:uid="{BCC66B2D-86FD-4227-A5E9-2164B45893B0}" name="Zarobki uzyskiwane przez mojego/moją podopieczną/podopiecznego w 3 lata po ukończeniu studiów były satysfakcjonujące (z mojego punktu widzenia)" totalsRowDxfId="122"/>
    <tableColumn id="59" xr3:uid="{9CFFBACB-7C8E-434B-9D06-B256C9F8F23D}" name="W ile miesięcy po ukończeniu studiów Twoja/Twój podopieczna/podopieczny uzyskał/a zatrudnienie? Proszę podać liczbę miesięcy lub wpisać inną opcję (np. praca przed ukończeniem studiów; założenie własnej firmy; nie zamierzam pracować)" totalsRowDxfId="121"/>
    <tableColumn id="60" xr3:uid="{94345A4F-9EAB-4FE8-A337-CCC43CF7D9D3}" name="Jakie inne (poza zarobkami) efekty kształcenia na ocenianej uczelni się dostrzegasz obecnie?" totalsRowDxfId="120"/>
    <tableColumn id="61" xr3:uid="{05A46EBB-09E0-4294-881F-C45E3B66E515}" name="Jakiego rodzaju były studia, które ukończył/a Twoja/Twój podopieczna/podopieczny?" totalsRowDxfId="119"/>
    <tableColumn id="62" xr3:uid="{FE0A86D0-775F-435F-8B90-2A7B29B0B462}" name="Pole dodatkowe10" totalsRowDxfId="118"/>
    <tableColumn id="63" xr3:uid="{3C426FB0-5F3F-46C5-9E34-DD901FAA5A82}" name="Jeśli Twoja/Twój podopieczna/podopieczny ukończył/a również inne szkoły / kierunki studiów to proszę wpisz je tutaj." totalsRowDxfId="117"/>
    <tableColumn id="64" xr3:uid="{7B6238C1-79C7-4C59-B174-F693B78A54C8}" name="Czy będziesz oceniał uczelnię ukończoną przez drugiego podopiecznego?" totalsRowDxfId="116"/>
    <tableColumn id="65" xr3:uid="{72E69603-FDA8-458A-B355-C3F6177E2961}" name="Jak się nazywa uczelnia, którą ukończył/a Twoja/Twój podopieczna/podopieczny? (proszę o wybranie jednej uczelni podlegającej ocenie)11" totalsRowDxfId="115"/>
    <tableColumn id="66" xr3:uid="{C1A71495-6A60-4B39-8FA2-EDD927CA8962}" name="W którym roku Twoja/Twój podopieczna/y ukończył/a studia (rok w którym uzyskano dyplom ukończenia studiów drugiego stopnia, albo pierwszego stopnia, jeśli nie uzyskano dyplomu 2. stopnia)?12" totalsRowDxfId="114"/>
    <tableColumn id="67" xr3:uid="{51123307-FDE7-45CE-81D3-F8045A68CEB5}" name="Czy ukończony kierunek był kierunkiem technicznym, tzn. takim, po którym uzyskano tytuł inżyniera?13" totalsRowDxfId="113"/>
    <tableColumn id="68" xr3:uid="{E4E7F2FA-608F-4A76-95F9-FC633CF4A850}" name="Jak się nazywa kierunek, który ukończył/a Twoja/Twój podopieczna/podopieczny?14" totalsRowDxfId="112"/>
    <tableColumn id="69" xr3:uid="{2E0E2D92-CA45-4C29-AD1B-4107E60D2F5C}" name="Moja satysfakcja z (efektów) usług edukacyjnych ocenianej uczelni jest wysoka.15" totalsRowDxfId="111"/>
    <tableColumn id="70" xr3:uid="{22160B39-79EF-424B-9B2E-4205C1098DC4}" name="Usługi edukacyjne ocenianej uczelni mają wysoką wartość (okazja / szansa rozwoju własnego lub kariery).16" totalsRowDxfId="110"/>
    <tableColumn id="71" xr3:uid="{C5566328-CB9E-4672-AFA5-9A52C7FB1583}" name="Kształcenie na ocenianej uczelni ma/będzie miało pozytywny wpływ na zwiększenie zarobków mojej/mojego podopiecznej/podopiecznego.17" totalsRowDxfId="109"/>
    <tableColumn id="72" xr3:uid="{ED11287D-6F12-40C0-8EAE-0190C96B2475}" name="Zarobki uzyskiwane przez mojego/moją podopieczną/podopiecznego w pierwszym roku po ukończeniu studiów były satysfakcjonujące (z mojego punktu widzenia)18" totalsRowDxfId="108"/>
    <tableColumn id="73" xr3:uid="{5767066B-CB1E-4AC7-93CC-8721926057A1}" name="Zarobki uzyskiwane przez mojego/moją podopieczną/podopiecznego w 3 lata po ukończeniu studiów były satysfakcjonujące (z mojego punktu widzenia)19" totalsRowDxfId="107"/>
    <tableColumn id="74" xr3:uid="{09C70795-0E44-4C62-9003-FD5E5487A105}" name="W ile miesięcy po ukończeniu studiów Twoja/Twój podopieczna/podopieczny uzyskał/a zatrudnienie? Proszę podać liczbę miesięcy lub wpisać inną opcję (np. praca przed ukończeniem studiów; założenie własnej firmy; nie zamierzam pracować)20" totalsRowDxfId="106"/>
    <tableColumn id="75" xr3:uid="{91099E12-4AAE-4B3A-8B21-456B23B8E9C4}" name="Jakie inne (poza zarobkami) efekty kształcenia na ocenianej uczelni się dostrzegasz obecnie?21" totalsRowDxfId="105"/>
    <tableColumn id="76" xr3:uid="{F99FCD0E-141B-4162-9375-D912B829669B}" name="Jakiego rodzaju były studia, które ukończył/a Twoja/Twój podopieczna/podopieczny?22" totalsRowDxfId="104"/>
    <tableColumn id="77" xr3:uid="{9A935095-7069-4B79-9C19-ABCE05DB2953}" name="Pole dodatkowe23" totalsRowDxfId="103"/>
    <tableColumn id="78" xr3:uid="{73C50495-9837-4BA7-BE74-ED58E001D39F}" name="Jeśli Twoja/Twój podopieczna/podopieczny ukończył/a również inne szkoły / kierunki studiów to proszę wpisz je tutaj.24" totalsRowDxfId="102"/>
    <tableColumn id="79" xr3:uid="{2D9E6799-1116-4EBA-A4A6-EC67B715E65E}" name="Czy będziesz oceniał uczelnię ukończoną przez trzeciego podopiecznego?" totalsRowDxfId="101"/>
    <tableColumn id="80" xr3:uid="{98900E64-17FE-4566-98C9-57CB606D4413}" name="Jak się nazywa uczelnia, którą ukończył/a Twoja/Twój podopieczna/podopieczny? (proszę o wybranie jednej uczelni podlegającej ocenie)25" totalsRowDxfId="100"/>
    <tableColumn id="81" xr3:uid="{FB0D4F5E-419D-4EEB-BE63-1379089D4E7A}" name="W którym roku Twoja/Twój podopieczna/y ukończył/a studia (rok w którym uzyskano dyplom ukończenia studiów drugiego stopnia, albo pierwszego stopnia, jeśli nie uzyskano dyplomu 2. stopnia)?26" totalsRowDxfId="99"/>
    <tableColumn id="82" xr3:uid="{367FC414-3E67-4B03-A303-77F5139ABED4}" name="Czy ukończony kierunek był kierunkiem technicznym, tzn. takim, po którym uzyskano tytuł inżyniera?27" totalsRowDxfId="98"/>
    <tableColumn id="83" xr3:uid="{641F2969-C09A-425E-81A7-806949B38666}" name="Jak się nazywa kierunek, który ukończył/a Twoja/Twój podopieczna/podopieczny?28" totalsRowDxfId="97"/>
    <tableColumn id="84" xr3:uid="{6B2F3F5A-F4BF-41A2-85FA-BAC6E179E9A9}" name="Moja satysfakcja z (efektów) usług edukacyjnych ocenianej uczelni jest wysoka.29" totalsRowDxfId="96"/>
    <tableColumn id="85" xr3:uid="{792FE0EC-454A-47B2-9DEE-09E82A55AC5F}" name="Usługi edukacyjne ocenianej uczelni mają wysoką wartość (okazja / szansa rozwoju własnego lub kariery).30" totalsRowDxfId="95"/>
    <tableColumn id="86" xr3:uid="{4BD46113-3AB9-405D-8A53-F153B50E863D}" name="Kształcenie na ocenianej uczelni ma/będzie miało pozytywny wpływ na zwiększenie zarobków mojej/mojego podopiecznej/podopiecznego.31" totalsRowDxfId="94"/>
    <tableColumn id="87" xr3:uid="{4CA1C5A8-3427-428B-B7BA-106EBBA85C17}" name="Zarobki uzyskiwane przez mojego/moją podopieczną/podopiecznego w pierwszym roku po ukończeniu studiów były satysfakcjonujące (z mojego punktu widzenia)32" totalsRowDxfId="93"/>
    <tableColumn id="88" xr3:uid="{C37B06BC-EDB5-471E-9C95-05232AC9EACD}" name="Zarobki uzyskiwane przez mojego/moją podopieczną/podopiecznego w 3 lata po ukończeniu studiów były satysfakcjonujące (z mojego punktu widzenia)33" totalsRowDxfId="92"/>
    <tableColumn id="89" xr3:uid="{80E2F9B4-672A-44C0-B660-E7CCBB679529}" name="W ile miesięcy po ukończeniu studiów Twoja/Twój podopieczna/podopieczny uzyskał/a zatrudnienie? Proszę podać liczbę miesięcy lub wpisać inną opcję (np. praca przed ukończeniem studiów; założenie własnej firmy; nie zamierzam pracować)34" totalsRowDxfId="91"/>
    <tableColumn id="90" xr3:uid="{CEEBCBE8-4DF4-40BE-ADF0-2750A2BF2609}" name="Jakie inne (poza zarobkami) efekty kształcenia na ocenianej uczelni się dostrzegasz obecnie?35" totalsRowDxfId="90"/>
    <tableColumn id="91" xr3:uid="{F1A613DC-A59A-419D-8838-D041B4273E91}" name="Jakiego rodzaju były studia, które ukończył/a Twoja/Twój podopieczna/podopieczny?36" totalsRowDxfId="89"/>
    <tableColumn id="92" xr3:uid="{E26BB465-B221-4E80-9D41-43786B72F743}" name="Pole dodatkowe37" totalsRowDxfId="88"/>
    <tableColumn id="93" xr3:uid="{12E07FC6-6ACA-44C4-A376-689F504EB460}" name="Jeśli Twoja/Twój podopieczna/podopieczny ukończył/a również inne szkoły / kierunki studiów to proszę wpisz je tutaj.38" totalsRowDxfId="87"/>
    <tableColumn id="94" xr3:uid="{4FBA703D-33E9-44C4-BD22-B3FC7B168C76}" name="Czy jesteś aktualnie pracownikiem administracyjnym uczelni wyższej?" totalsRowFunction="custom" dataDxfId="86" totalsRowDxfId="85">
      <totalsRowFormula>COUNTIF(Wszystkie[Czy jesteś aktualnie pracownikiem administracyjnym uczelni wyższej?],"*")</totalsRowFormula>
    </tableColumn>
    <tableColumn id="95" xr3:uid="{BEDF36ED-A982-4CA4-BC7E-74517114A121}" name="Jak się nazywa uczelnia, na której pracujesz? (proszę o wybranie jednej uczelni podlegającej ocenie)" totalsRowDxfId="84"/>
    <tableColumn id="96" xr3:uid="{43902112-5836-47AC-AA75-A65F0D4C7817}" name="Na jakim wydziale pracujesz?" totalsRowDxfId="83"/>
    <tableColumn id="97" xr3:uid="{68D4A5FB-B6F1-410C-BBCE-5D895E75D7EF}" name="Moja satysfakcja z pracy na ocenianej uczelni jest wysoka." totalsRowDxfId="82"/>
    <tableColumn id="98" xr3:uid="{097FDF01-C103-4396-9EE5-DC463D453E58}" name="Atmosfera w zespole współpracowników jest dobra." totalsRowDxfId="81"/>
    <tableColumn id="99" xr3:uid="{5B99CA3A-6D7C-4D3E-B448-2EDAF4856B42}" name="Moje zarobki są satysfakcjonujące." totalsRowDxfId="80"/>
    <tableColumn id="100" xr3:uid="{90B0699F-2BC7-4D96-9800-8B1DB165F81E}" name="Praca na ocenianej uczelni daje mi duże szanse rozwoju." totalsRowDxfId="79"/>
    <tableColumn id="101" xr3:uid="{5CB95189-87A6-4F97-B291-A05336B23F22}" name="Wartość wykształcenia zdobywanego przez studentów ocenianej uczelni jest wysoka." totalsRowDxfId="78"/>
    <tableColumn id="102" xr3:uid="{056CF7BB-B947-41A0-AC24-42A1CBCF15BD}" name="Zdobyte na ocenianej uczelni wykształcenie ma pozytywny wpływ na zwiększenie zarobków absolwentów." totalsRowDxfId="77"/>
    <tableColumn id="103" xr3:uid="{2AB65CA7-05ED-4EB7-B603-B864E6D6745F}" name="Jakie inne (poza zarobkami) efekty kształcenia na ocenianej uczelni się dostrzegasz obecnie?39" totalsRowDxfId="76"/>
    <tableColumn id="104" xr3:uid="{DC472BA3-8D88-44A6-B5C1-5BF9558627FA}" name="Czy jesteś aktualnie pracownikiem naukowym lub dydaktycznym uczelni wyższej?" totalsRowFunction="custom" dataDxfId="75" totalsRowDxfId="74">
      <totalsRowFormula>COUNTIF(Wszystkie[Czy jesteś aktualnie pracownikiem naukowym lub dydaktycznym uczelni wyższej?],"*")</totalsRowFormula>
    </tableColumn>
    <tableColumn id="105" xr3:uid="{D6D1B999-548A-4BB7-9129-665781D6CE38}" name="Jak się nazywa uczelnia, na której pracujesz? (proszę o wybranie jednej uczelni podlegającej ocenie)40" totalsRowDxfId="73"/>
    <tableColumn id="106" xr3:uid="{2E39D77C-CC0F-41F1-8F10-30523EA3DE78}" name="Na jakim wydziale pracujesz?41" totalsRowDxfId="72"/>
    <tableColumn id="107" xr3:uid="{B9CFBDFF-9DC1-4556-855E-D4463D760A19}" name="Moja satysfakcja z pracy na ocenianej uczelni jest wysoka.42" totalsRowDxfId="71"/>
    <tableColumn id="108" xr3:uid="{158CA86A-249B-4193-A207-D38756E887C7}" name="Atmosfera w zespole współpracowników jest dobra.43" totalsRowDxfId="70"/>
    <tableColumn id="109" xr3:uid="{AC3090A9-EC3C-4C62-8AA9-F261EAB7887F}" name="Moje zarobki są satysfakcjonujące.44" totalsRowDxfId="69"/>
    <tableColumn id="110" xr3:uid="{9E04970F-962C-490E-A570-2D0912A5E57D}" name="Praca na ocenianej uczelni daje mi duże szanse rozwoju.45" totalsRowDxfId="68"/>
    <tableColumn id="111" xr3:uid="{C148AE52-9ADC-45EF-8DBC-27F0F1F05355}" name="Wartość wykształcenia zdobywanego przez studentów ocenianej uczelni jest wysoka.46" totalsRowDxfId="67"/>
    <tableColumn id="112" xr3:uid="{63921520-0FA3-4905-ACEB-02AFFB69B471}" name="Zdobyte na ocenianej uczelni wykształcenie ma pozytywny wpływ na zwiększenie zarobków absolwentów.47" totalsRowDxfId="66"/>
    <tableColumn id="113" xr3:uid="{E32B227A-B5B2-41A4-9CEB-B75A56696D75}" name="Jakie inne (poza zarobkami) efekty kształcenia na ocenianej uczelni dostrzegasz obecnie?48" totalsRowDxfId="65"/>
    <tableColumn id="114" xr3:uid="{98E95A67-6B14-4A2E-AB34-682AE1A049DC}" name="Czy jesteś przedstawicielem władz uczelni z grupy rektorów, prorektorów, dziekanów, prodziekanów, członków senatu lub członków rady uczelni?" totalsRowFunction="custom" dataDxfId="64" totalsRowDxfId="63">
      <totalsRowFormula>COUNTIF(Wszystkie[Czy jesteś przedstawicielem władz uczelni z grupy rektorów, prorektorów, dziekanów, prodziekanów, członków senatu lub członków rady uczelni?],"*")</totalsRowFormula>
    </tableColumn>
    <tableColumn id="115" xr3:uid="{7BF89A78-7FB1-4025-ACFB-A262BA883A98}" name="Proszę podać pełnioną funkcję" totalsRowDxfId="62"/>
    <tableColumn id="116" xr3:uid="{55CD3327-D03D-49EA-AD7A-8A8492F8FF76}" name="Kolumna3" totalsRowDxfId="61"/>
    <tableColumn id="117" xr3:uid="{BF356D61-903B-4604-89F3-2B471880C5B8}" name="Kolumna4" totalsRowDxfId="60"/>
    <tableColumn id="118" xr3:uid="{7173EDEB-5382-4DCE-AA15-A72B322560D6}" name="Kolumna5" totalsRowDxfId="59"/>
    <tableColumn id="119" xr3:uid="{6200F07F-FA1F-4A3F-B8ED-B934678483AF}" name="Jak się nazywa uczelnia którą będziesz oceniać (jako przedstawiciel jej władz)?" totalsRowDxfId="58"/>
    <tableColumn id="120" xr3:uid="{E6250DE6-1A12-41F3-90EE-1B4F673F6E58}" name="Efekty działań ocenianej uczelni na rzesz jakości edukacji są dobre" totalsRowDxfId="57"/>
    <tableColumn id="121" xr3:uid="{8AE05FEE-B731-4F93-90B6-915E5774E346}" name="Wartość wykształcenia zdobywanego przez studentów na ocenianej uczelni jest wysoka." totalsRowDxfId="56"/>
    <tableColumn id="122" xr3:uid="{E115058D-8C9C-450E-8DA2-D64EB971F57D}" name="Zdobyte przez studentów ocenianej uczelni wykształcenie miało/ma pozytywny wpływ na ich zarobki." totalsRowDxfId="55"/>
    <tableColumn id="123" xr3:uid="{6FEBB446-227D-4EA1-B507-206156E53809}" name="Efekty działań ocenianej uczelni na rzecz jakości edukacji mają dobry wpływ na rozwój regionu." totalsRowDxfId="54"/>
    <tableColumn id="124" xr3:uid="{01E38E74-9E44-4BFF-97FF-3B0FF3F7CDD0}" name="Efekty działań ocenianej uczelni na rzecz jakości edukacji mają dobry wpływ na rozwój Polski." totalsRowDxfId="53"/>
    <tableColumn id="125" xr3:uid="{F17A6FA5-F0F2-48AD-B639-9161F59ACD49}" name="Współpraca ocenianej uczelni z biznesem ma pozytywne efekty dla rozwoju regionu / kraju." totalsRowDxfId="52"/>
    <tableColumn id="126" xr3:uid="{81D0BDE5-B5BD-41AD-AE49-0F05E206FF4F}" name="Ogólny poziom mojej satysfakcji z jakości usług edukacyjnych ocenianej uczelni jest wysoki." totalsRowDxfId="51"/>
    <tableColumn id="127" xr3:uid="{E1B74221-E8AC-4764-9FBA-17BC7A8DAB4F}" name="Studenci : wybierz wartość z listy rozwijanej" totalsRowDxfId="50"/>
    <tableColumn id="128" xr3:uid="{9521E128-6D78-41F6-9BED-3F1F3009376D}" name="Absolwenci : wybierz wartość z listy rozwijanej" totalsRowDxfId="49"/>
    <tableColumn id="129" xr3:uid="{F972B7F0-4237-45DD-B8D9-6E5F80BC382C}" name="Rodzice absolwentów : wybierz wartość z listy rozwijanej" totalsRowDxfId="48"/>
    <tableColumn id="130" xr3:uid="{D18127FA-4AAC-43F7-8718-648B089DA3AE}" name="Pracownicy administracyjni : wybierz wartość z listy rozwijanej" totalsRowDxfId="47"/>
    <tableColumn id="131" xr3:uid="{9AD30943-8FF3-4081-BC52-0A68F33FA1E6}" name="Pracownicy naukowi i dydaktyczni : wybierz wartość z listy rozwijanej" totalsRowDxfId="46"/>
    <tableColumn id="132" xr3:uid="{F15383FF-5030-41F2-B790-DA1B9ACCD614}" name="Pracodawcy : wybierz wartość z listy rozwijanej" totalsRowDxfId="45"/>
    <tableColumn id="133" xr3:uid="{A113041C-1CEA-48AE-A9F9-6427226B931F}" name="Władze samorządowe i centralne : wybierz wartość z listy rozwijanej" totalsRowDxfId="44"/>
    <tableColumn id="134" xr3:uid="{2391059C-06A8-4E9F-9A30-2923C913E592}" name="Pole dodatkowe4" totalsRowDxfId="43"/>
    <tableColumn id="135" xr3:uid="{87323607-8918-4675-942B-66DDA6ACC52D}" name="Studenci : wybierz wartość z listy rozwijanej5" totalsRowDxfId="42"/>
    <tableColumn id="136" xr3:uid="{575464E3-342E-4010-A0B5-F16E0DA7F25D}" name="Absolwenci : wybierz wartość z listy rozwijanej6" totalsRowDxfId="41"/>
    <tableColumn id="137" xr3:uid="{3C4E7A29-9534-46F7-9E09-353DAEA57455}" name="Rodzice absolwentów : wybierz wartość z listy rozwijanej7" totalsRowDxfId="40"/>
    <tableColumn id="138" xr3:uid="{5EFF4867-813D-4D19-AFD2-41795D704E9D}" name="Pracownicy administracyjni : wybierz wartość z listy rozwijanej8" totalsRowDxfId="39"/>
    <tableColumn id="139" xr3:uid="{BD3A3545-6744-40C8-B6F9-128B604A0016}" name="Pracownicy naukowi i dydaktyczni : wybierz wartość z listy rozwijanej9" totalsRowDxfId="38"/>
    <tableColumn id="140" xr3:uid="{A370427A-746A-432F-8439-DE3E0F05E90C}" name="Pracodawcy : wybierz wartość z listy rozwijanej10" totalsRowDxfId="37"/>
    <tableColumn id="141" xr3:uid="{A6D0879A-E0B6-4F9C-B8AB-CCB9C168853D}" name="Władze samorządowe i centralne : wybierz wartość z listy rozwijanej11" totalsRowDxfId="36"/>
    <tableColumn id="142" xr3:uid="{ED69D784-3A72-4212-8A94-FFF937BB5636}" name="Pole dodatkowe12" totalsRowDxfId="35"/>
    <tableColumn id="143" xr3:uid="{F9376235-C8DC-451D-B95A-275409F154F3}" name="Czy jesteś przedstawicielem firmy, w której są zatrudniani absolwenci uczelni wyższych (tytuł licencjata, magistra lub wyższy)?" totalsRowFunction="custom" dataDxfId="34" totalsRowDxfId="33">
      <totalsRowFormula>COUNTIF(Wszystkie[Czy jesteś przedstawicielem firmy, w której są zatrudniani absolwenci uczelni wyższych (tytuł licencjata, magistra lub wyższy)?],"*")</totalsRowFormula>
    </tableColumn>
    <tableColumn id="144" xr3:uid="{85116391-6266-4B48-8190-853E624F9EA4}" name="Czy w Twojej firmie są zatrudnieni absolwenci uczelni technicznych (posiadają tytuł inżyniera)?" totalsRowDxfId="32"/>
    <tableColumn id="145" xr3:uid="{FEA12265-815B-4115-947C-C4D7389958E8}" name="Ile uczelni będziesz oceniać?" totalsRowDxfId="31"/>
    <tableColumn id="146" xr3:uid="{26F5BBF0-E63C-4FC8-A2F3-F0ADC728D5E4}" name="Jak się nazywa uczelnia, którą ocenisz? " totalsRowDxfId="30"/>
    <tableColumn id="147" xr3:uid="{61714612-8B24-4377-BCF5-066C33634E6F}" name="Moja satysfakcja z (efektów) usług edukacyjnych na ocenianej uczelni jest wysoka." totalsRowDxfId="29"/>
    <tableColumn id="148" xr3:uid="{043BF385-CFC6-4AC5-BD7D-2DC21351418F}" name="Kompetencje absolwentów ocenianej uczelni są wysokie." totalsRowDxfId="28"/>
    <tableColumn id="149" xr3:uid="{35B1450E-E76E-4137-923C-C1196FE6A242}" name="Zarobki absolwentów ocenianej uczelni zatrudnionych w mojej firmie są wyższe od zarobków absolwentów innych polskich uczelni." totalsRowDxfId="27"/>
    <tableColumn id="150" xr3:uid="{46264593-E5FF-4A8E-9E32-B5CDAD83DB38}" name="Czy w Twojej firmie są zatrudniani absolwenci uczelni w pierwszym roku po ukończeniu studiów (do 12 miesięcy od uzyskania dyplomu)?" totalsRowDxfId="26"/>
    <tableColumn id="151" xr3:uid="{AFEC3724-7638-4FBB-9B74-E3C5F372DFD7}" name="Jakie kompetencje absolwentów ocenianej uczelni są w Twojej firmie najwyżej wyceniane?" totalsRowDxfId="25"/>
    <tableColumn id="152" xr3:uid="{7C41F20E-87DA-419A-A4DC-8FC7E15280E1}" name="Jakiego rodzaju prace wykonują absolwenci ocenianej uczelni w Twojej firmie?" totalsRowDxfId="24"/>
    <tableColumn id="153" xr3:uid="{A53B26E4-0EB5-4875-918F-C84DFA999490}" name="Czy będziesz oceniał drugą uczelnię?" totalsRowDxfId="23"/>
    <tableColumn id="154" xr3:uid="{C51996BB-6F72-462D-AF3A-889816D9376D}" name="Jak się nazywa uczelnia, którą ocenisz? 13" totalsRowDxfId="22"/>
    <tableColumn id="155" xr3:uid="{C4DC7D31-6CB7-4667-BEF7-8EFAA1443E26}" name="Moja satysfakcja z (efektów) usług edukacyjnych na ocenianej uczelni jest wysoka.14" totalsRowDxfId="21"/>
    <tableColumn id="156" xr3:uid="{6BE5AEB2-D87C-4FAD-8A78-12F3665EA35B}" name="Kompetencje absolwentów ocenianej uczelni są wysokie.15" totalsRowDxfId="20"/>
    <tableColumn id="157" xr3:uid="{E68B03D6-C361-4634-B98C-870BC31CEDD8}" name="Zarobki absolwentów ocenianej uczelni zatrudnionych w mojej firmie są wyższe od zarobków absolwentów innych polskich uczelni.16" totalsRowDxfId="19"/>
    <tableColumn id="158" xr3:uid="{7AE77260-6064-4321-A8D8-8F0B2D560514}" name="Czy w Twojej firmie są zatrudniani absolwenci uczelni w pierwszym roku po ukończeniu studiów (do 12 miesięcy od uzyskania dyplomu)?17" totalsRowDxfId="18"/>
    <tableColumn id="159" xr3:uid="{02179DC7-236C-405B-9717-3820DB37DCDE}" name="Jakie kompetencje absolwentów ocenianej uczelni są w Twojej firmie najwyżej wyceniane?18" totalsRowDxfId="17"/>
    <tableColumn id="160" xr3:uid="{ACD9DA00-A265-43F3-A8CD-4AB9D52D21A7}" name="Jakiego rodzaju prace wykonują absolwenci ocenianej uczelni w Twojej firmie?19" totalsRowDxfId="16"/>
    <tableColumn id="161" xr3:uid="{40C65435-9246-41B9-9D13-8617AD0D615B}" name="Czy będziesz oceniał trzecią uczelnię techniczną?" totalsRowDxfId="15"/>
    <tableColumn id="162" xr3:uid="{6D52B5AA-D38E-4A9C-9FC4-C5F27711E4B2}" name="Jak się nazywa uczelnia, którą ocenisz? 20" totalsRowDxfId="14"/>
    <tableColumn id="163" xr3:uid="{121D311A-63E4-4EF2-A0DA-FAA985067046}" name="Moja satysfakcja z (efektów) usług edukacyjnych na ocenianej uczelni jest wysoka.21" totalsRowDxfId="13"/>
    <tableColumn id="164" xr3:uid="{F282EA05-D156-4529-9BC1-8600524F81FD}" name="Kompetencje absolwentów ocenianej uczelni są wysokie.22" totalsRowDxfId="12"/>
    <tableColumn id="165" xr3:uid="{58F11C5E-414B-4C75-8CE5-1580D3F448A9}" name="Zarobki absolwentów ocenianej uczelni zatrudnionych w mojej firmie są wyższe od zarobków absolwentów innych polskich uczelni.23" totalsRowDxfId="11"/>
    <tableColumn id="166" xr3:uid="{3E1C84AB-DCF6-4B96-B25A-E3AA8A32B928}" name="Czy w Twojej firmie są zatrudniani absolwenci uczelni w pierwszym roku po ukończeniu studiów (do 12 miesięcy od uzyskania dyplomu)?24" totalsRowDxfId="10"/>
    <tableColumn id="167" xr3:uid="{4C87DA44-3851-4B6F-8471-F5B274EEF69E}" name="Jakie kompetencje absolwentów ocenianej uczelni są w Twojej firmie najwyżej wyceniane?25" totalsRowDxfId="9"/>
    <tableColumn id="168" xr3:uid="{4889D3B6-442C-490C-9642-B9781EC55E1C}" name="Jakiego rodzaju prace wykonują absolwenci ocenianej uczelni są w Twojej firmie?" totalsRowDxfId="8"/>
    <tableColumn id="169" xr3:uid="{370CF6EE-F46C-4CFF-9496-7844071DF992}" name="Czy jesteś przedstawicielem władz samorządowych lub centralnych Rzeczypospolitej Polskiej?" totalsRowFunction="custom" dataDxfId="7" totalsRowDxfId="6">
      <totalsRowFormula>COUNTIF(Wszystkie[Czy jesteś przedstawicielem władz samorządowych lub centralnych Rzeczypospolitej Polskiej?],"*")</totalsRowFormula>
    </tableColumn>
    <tableColumn id="170" xr3:uid="{9261FE12-83A6-465C-8E68-28C7DA3FDE01}" name="Proszę wskaż jaki poziom władzy samorządowej lub centralnej reprezentujesz."/>
    <tableColumn id="171" xr3:uid="{504E7BB3-01B7-4232-B58C-CB9149546A38}" name="Proszę o podanie nazwy organu władzy jaki reprezentujesz."/>
    <tableColumn id="172" xr3:uid="{F0820F8B-2F82-4DFA-AEC8-BE77C9C51CDA}" name="Ile uczelni będziesz oceniać?26"/>
    <tableColumn id="173" xr3:uid="{C16A0C02-95C1-494C-ACC7-07019FC0AC46}" name="Jak się nazywa uczelnia, którą ocenisz?"/>
    <tableColumn id="174" xr3:uid="{3CF04C4B-6447-4842-966F-B33568D81890}" name="Efekty działań ocenianej uczelni na rzesz jakości edukacji są zgodne ze strategią rozwoju w regionie."/>
    <tableColumn id="175" xr3:uid="{6EB8280B-E335-4320-AF84-33DBD55C7D94}" name="Wartość wykształcenia zdobywanego przez studentów na ocenianej uczelni jest wysoka.27"/>
    <tableColumn id="176" xr3:uid="{9C7EECF9-AAF3-4E91-8600-2D10B27607B3}" name="Zdobyte przez studentów ocenianej uczelni wykształcenie miało/ma pozytywny wpływ na ich zarobki.28"/>
    <tableColumn id="177" xr3:uid="{61CC84FE-04E8-41F4-B57C-1EB9A665C87F}" name="Efekty działań ocenianej uczelni na rzecz jakości edukacji mają dobry wpływ na rozwój regionu.29"/>
    <tableColumn id="178" xr3:uid="{57DB71D7-7025-472D-A6FD-F866450F8BFD}" name="Efekty działań ocenianej uczelni na rzecz jakości edukacji mają dobry wpływ na rozwój Polski.30"/>
    <tableColumn id="179" xr3:uid="{7079F110-01EC-450F-9478-B5DA8735AC4D}" name="Współpraca ocenianej uczelni z biznesem ma pozytywne efekty dla rozwoju regionu / kraju.31"/>
    <tableColumn id="180" xr3:uid="{975DB000-1C75-4100-B47F-F30B9B74E711}" name="Ogólny poziom mojej satysfakcji z jakości usług edukacyjnych ocenianej uczelni jest wysoki.32"/>
    <tableColumn id="181" xr3:uid="{129304EC-78D9-443F-92F4-86DFF02C34D2}" name="Pole dodatkowe33"/>
    <tableColumn id="182" xr3:uid="{A7D934E7-A8F1-4883-A95C-2B3BCE3A8626}" name="Jakie inne efekty pracy ocenianej uczelni technicznej dostrzegasz obecnie?"/>
    <tableColumn id="183" xr3:uid="{C2787C30-4692-4F8C-83E5-C55256B062A0}" name="Czy będziesz oceniać drugą uczelnię?"/>
    <tableColumn id="184" xr3:uid="{1CB8E0D0-595D-4E3C-A0FB-739F4A979C23}" name="Jak się nazywa uczelnia, którą ocenisz?34"/>
    <tableColumn id="185" xr3:uid="{0A47D662-DBF7-4FA1-921A-D3AA0A4E3E82}" name="Efekty działań ocenianej uczelni na rzesz jakości edukacji są zgodne ze strategią rozwoju w regionie.35"/>
    <tableColumn id="186" xr3:uid="{F8DC91DF-35FC-4B3F-A4B0-000678CDB2A7}" name="Wartość wykształcenia zdobywanego przez studentów na ocenianej uczelni jest wysoka.36"/>
    <tableColumn id="187" xr3:uid="{5288BBA8-059C-4C78-AE98-4DA4C84D2993}" name="Zdobyte przez studentów ocenianej uczelni wykształcenie miało/ma pozytywny wpływ na ich zarobki.37"/>
    <tableColumn id="188" xr3:uid="{216324B9-78A6-49DB-86A9-6BA13056E4ED}" name="Efekty działań ocenianej uczelni na rzecz jakości edukacji mają dobry wpływ na rozwój regionu.38"/>
    <tableColumn id="189" xr3:uid="{D2EEE79F-A830-4564-9B26-0BA833DDA443}" name="Efekty działań ocenianej uczelni na rzecz jakości edukacji mają dobry wpływ na rozwój Polski.39"/>
    <tableColumn id="190" xr3:uid="{304F0FEC-DB66-4520-BD5E-943865F6A4CC}" name="Współpraca ocenianej uczelni z biznesem ma pozytywne efekty dla rozwoju regionu / kraju.40"/>
    <tableColumn id="191" xr3:uid="{087ED0E3-7EC3-4814-8536-779118A3378B}" name="Ogólny poziom mojej satysfakcji z jakości usług edukacyjnych ocenianej uczelni jest wysoki.41"/>
    <tableColumn id="192" xr3:uid="{C950B1A9-3DF6-438F-A085-170EBEC02851}" name="Jakie inne efekty pracy ocenianej uczelni dostrzegasz obecnie?"/>
    <tableColumn id="193" xr3:uid="{6D9E0A6D-E530-4D4A-85AD-0B0A0B9D08BA}" name="Czy będziesz oceniać trzecią uczelnię?"/>
    <tableColumn id="194" xr3:uid="{67DAB786-5EE5-4424-A8C6-6F3D75137D81}" name="Jak się nazywa uczelnia, którą ocenisz?42"/>
    <tableColumn id="195" xr3:uid="{161E9BE4-A7ED-4D26-A42A-55D53A57BDB5}" name="Efekty działań ocenianej uczelni na rzesz jakości edukacji są zgodne ze strategią rozwoju w regionie.43"/>
    <tableColumn id="196" xr3:uid="{DA8FE611-84D4-46A2-8E09-D74BD1F07BA2}" name="Wartość wykształcenia zdobywanego przez studentów na ocenianej uczelni jest wysoka.44"/>
    <tableColumn id="197" xr3:uid="{5D792AB6-4D58-47D5-8293-BCFA65D1090D}" name="Zdobyte przez studentów ocenianej uczelni wykształcenie miało/ma pozytywny wpływ na ich zarobki.45"/>
    <tableColumn id="198" xr3:uid="{D6143F2E-8D39-471E-8332-9C079A9E132B}" name="Efekty działań ocenianej uczelni na rzecz jakości edukacji mają dobry wpływ na rozwój regionu.46"/>
    <tableColumn id="199" xr3:uid="{DF22A95F-2B46-4263-891C-CDE69E0CE18F}" name="Efekty działań ocenianej uczelni na rzecz jakości edukacji mają dobry wpływ na rozwój Polski.47"/>
    <tableColumn id="200" xr3:uid="{D65DB0E3-9B35-4269-9765-80A00F2F456A}" name="Współpraca ocenianej uczelni z biznesem ma pozytywne efekty dla rozwoju regionu / kraju.48"/>
    <tableColumn id="201" xr3:uid="{BE638256-91E5-4BF4-A1F5-00241D228748}" name="Ogólny poziom mojej satysfakcji z jakości usług edukacyjnych ocenianej uczelni jest wysoki.49"/>
    <tableColumn id="202" xr3:uid="{EFB72507-13B7-47EA-9BE8-4E505CCCAB5C}" name="Jakie inne efekty pracy ocenianej uczelni dostrzegasz obecnie?50"/>
    <tableColumn id="203" xr3:uid="{B67F79A4-0C3A-4990-A78B-B0EE415BB874}" name="Jakie, Twoim zdaniem, elementy decydują o tym, że uczelnie są lepsze lub gorsze."/>
    <tableColumn id="204" xr3:uid="{932263BE-2973-4862-AB72-71605F6C09D2}" name="Kolumna51"/>
    <tableColumn id="205" xr3:uid="{90E51671-C0C1-455F-833F-8A0C00175716}" name="Kolumna52"/>
    <tableColumn id="206" xr3:uid="{1CE1618F-6122-47C6-8CAA-5AB5E3F61A93}" name="Płeć"/>
    <tableColumn id="207" xr3:uid="{47EFE08B-583B-4FC0-A645-F215B2F5E1C5}" name="Rok urodzenia"/>
    <tableColumn id="208" xr3:uid="{BE141313-C687-40C5-9C76-55BE63800CA6}" name="Z jakiej wielkości miejscowości pochodzisz? (dotyczy miejscowości, w której się wychowałaś/eś"/>
    <tableColumn id="209" xr3:uid="{0C7E668A-2EC6-4663-B2EB-642914C11338}" name="Pole dodatkowe52"/>
    <tableColumn id="210" xr3:uid="{23075146-59F6-4BEB-9527-F5CBF28198D2}" name="Jakie inne wykształcenie poza tym uwzględnionym w niniejszej ankiecie posiadasz? (ukończone szkoły/studia)"/>
    <tableColumn id="211" xr3:uid="{F615B64E-6C3A-48AC-8408-CE464B5680B4}" name="Jakie inne wykształcenie poza tym uwzględnionym w niniejszej ankiecie zdobywasz? (nieukończone jeszcze lub przerwane szkoły/studia)"/>
    <tableColumn id="212" xr3:uid="{778B4920-A28C-4CED-BA16-E6B7C1E2FEE5}" name="Dziękuję za czas poświęcony na wypełnienie niniejszej ankiety. _x000a_Jeśli masz uwagi to proszę zamieść je poniżej._x000a_Po zakończeniu udzielania odpowiedzi proszę o naciśnięcie przycisku &quot;Zakończ&quot;.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606F5-B66D-42E2-8199-37B3E6FD7362}" name="Zakończone" displayName="Zakończone" ref="A2:HD140" totalsRowShown="0" headerRowCellStyle="Normalny 2" dataCellStyle="Normalny 2">
  <autoFilter ref="A2:HD140" xr:uid="{5C9606F5-B66D-42E2-8199-37B3E6FD7362}"/>
  <tableColumns count="212">
    <tableColumn id="10" xr3:uid="{0AC2BF35-D525-42F8-9588-E405EE8676C9}" name="Zakończono wypełnianie" dataCellStyle="Normalny 2"/>
    <tableColumn id="1" xr3:uid="{D0F7BDB5-F1DE-4561-82AF-58B3213FE842}" name="Lp." dataCellStyle="Normalny 2"/>
    <tableColumn id="2" xr3:uid="{08408473-919F-4F13-9CD6-1D75FCD76416}" name="Adres IP" dataCellStyle="Normalny 2"/>
    <tableColumn id="3" xr3:uid="{82E8BF6A-C580-49D8-B973-C3376C0F2B0B}" name="Kolektor" dataCellStyle="Normalny 2"/>
    <tableColumn id="4" xr3:uid="{FDE5E52D-D5E6-4797-8732-3CE5144AEED5}" name="Adres referencyjny / Respondent email" dataCellStyle="Normalny 2"/>
    <tableColumn id="5" xr3:uid="{CBEB578D-9098-4C28-A3CD-841E7C78CE68}" name="Respondent imie" dataCellStyle="Normalny 2"/>
    <tableColumn id="6" xr3:uid="{A8F4F8A9-2A37-49E1-95D3-EDC25E5D1A9E}" name="Respondent nazwisko" dataCellStyle="Normalny 2"/>
    <tableColumn id="7" xr3:uid="{2F7D8555-5967-47E2-903C-77C51A9DA87F}" name="Respondent dodatkowe dane" dataCellStyle="Normalny 2"/>
    <tableColumn id="8" xr3:uid="{C7317C0E-0CD9-43FB-8F0F-E98476248BB1}" name="Status" dataCellStyle="Normalny 2"/>
    <tableColumn id="9" xr3:uid="{FF5A8A5C-D7B0-48EF-8BB8-F7062BBBF20D}" name="Rozpoczęto wypełnianie" dataCellStyle="Normalny 2"/>
    <tableColumn id="11" xr3:uid="{489718CC-0E79-46C1-BF23-1B43C5F17C22}" name="Czas trwania (s)" dataCellStyle="Normalny 2"/>
    <tableColumn id="12" xr3:uid="{F5195522-03CE-46E7-B558-6B1148B27A36}" name="Punktacja" dataCellStyle="Normalny 2"/>
    <tableColumn id="13" xr3:uid="{A8AA494F-EA73-4117-9332-412B4C9593F2}" name="Czy jesteś osobą pełnoletnią?" dataCellStyle="Normalny 2"/>
    <tableColumn id="14" xr3:uid="{860DF726-EB55-4758-BEC7-0CE7F7DE738E}" name="Czy jesteś studentem uczelni wyższej?" dataCellStyle="Normalny 2"/>
    <tableColumn id="15" xr3:uid="{69756836-F778-495A-B420-C1D84321517B}" name="Jak się nazywa uczelnia, na której studiujesz? (proszę o wybranie jednej uczelni podlegającej ocenie)" dataCellStyle="Normalny 2"/>
    <tableColumn id="16" xr3:uid="{C2273A04-DCC4-43C3-8F73-E5A275FC5FA4}" name="Czy studiujesz na kierunku technicznym, tzn. takim, po którym uzyskasz tytuł inżyniera?" dataCellStyle="Normalny 2"/>
    <tableColumn id="17" xr3:uid="{CF46ABEE-1F48-4AE5-AC0A-AFFE218B1DFF}" name="Jak się nazywa kierunek, na którym studiujesz?" dataCellStyle="Normalny 2"/>
    <tableColumn id="18" xr3:uid="{6931940F-9D97-4284-96FE-FABB1DAFFEE6}" name="Moja satysfakcja z usług edukacyjnych ocenianej uczelni jest wysoka." dataCellStyle="Normalny 2"/>
    <tableColumn id="19" xr3:uid="{D8B46FC9-D411-4FB7-9043-5415F96E35D6}" name="Usługi edukacyjne ocenianej uczelni mają wysoką wartość (okazja / szansa rozwoju własnego lub kariery)." dataCellStyle="Normalny 2"/>
    <tableColumn id="20" xr3:uid="{6415A00C-06E3-44C4-A80D-725F75902060}" name="Kształcenie na ocenianej uczelni ma/będzie miało pozytywny wpływ na zwiększenie moich zarobków." dataCellStyle="Normalny 2"/>
    <tableColumn id="21" xr3:uid="{CC60C480-2FA0-43DC-B5BA-225BE52B5721}" name="W ile miesięcy po ukończeniu studiów spodziewasz się  uzyskać zatrudnienie? Proszę podać liczbę miesięcy lub wpisać inną opcję (np. praca przed ukończeniem studiów; założenie własnej firmy; nie zamierzam pracować)" dataCellStyle="Normalny 2"/>
    <tableColumn id="22" xr3:uid="{6E85ED60-B070-4F89-9E57-BDE607AFB152}" name="w pierwszym roku po ukończeniu studiów : wybierz wartość z listy rozwijanej" dataCellStyle="Normalny 2"/>
    <tableColumn id="23" xr3:uid="{6169FB15-27E0-42DD-A10B-A673C54A3783}" name="w 3 lata po ukończeniu studiów : wybierz wartość z listy rozwijanej" dataCellStyle="Normalny 2"/>
    <tableColumn id="24" xr3:uid="{AC7CA9AD-9F4A-4EBB-B426-0BFACE261F4A}" name="Jakich innych (poza zarobkami) efektów kształcenia na ocenianej uczelni się spodziewasz?" dataCellStyle="Normalny 2"/>
    <tableColumn id="25" xr3:uid="{1FDBE4B3-52A8-40F2-8BB1-60C94AA56611}" name="Co wpływa na Twoją satysfakcję ze studiowania?" dataCellStyle="Normalny 2"/>
    <tableColumn id="26" xr3:uid="{7D28DFFF-1D87-4CC0-9177-55765B0B736E}" name="Kolumna1" dataCellStyle="Normalny 2"/>
    <tableColumn id="27" xr3:uid="{A7F2A556-FADB-4940-88B5-CAE4B1ADBB6F}" name="Jakiego rodzaju są Twoje studia?" dataCellStyle="Normalny 2"/>
    <tableColumn id="28" xr3:uid="{B0A52F2F-460F-4327-A169-0FFF3BF1FE41}" name="Pole dodatkowe" dataCellStyle="Normalny 2"/>
    <tableColumn id="29" xr3:uid="{B9D375C4-382E-4C26-9E4C-EFEB1DFBC6F6}" name="Na którym semestrze studiujesz obecnie?" dataCellStyle="Normalny 2"/>
    <tableColumn id="30" xr3:uid="{D74731D1-C2D8-48DF-A77A-D1DAC8E2FCF7}" name="Czy jesteś absolwentem uczelni wyższej?" dataCellStyle="Normalny 2"/>
    <tableColumn id="31" xr3:uid="{80439BB6-5744-472C-A0C0-541B51DC7EA5}" name="Jak się nazywa uczelnia którą ukończyłeś? (proszę o wybranie jednej uczelni podlegającej ocenie)" dataCellStyle="Normalny 2"/>
    <tableColumn id="32" xr3:uid="{3A7E672C-2B04-44DF-9F50-F172B334FA39}" name="W którym roku ukończyłaś/eś studia (rok w którym uzyskano dyplom ukończenia studiów drugiego stopnia, albo pierwszego stopnia, jeśli nie uzyskano dyplomu 2. stopnia)?" dataCellStyle="Normalny 2"/>
    <tableColumn id="33" xr3:uid="{073FE873-45E9-42F8-80F6-65FC660D5197}" name="Czy ukończony kierunek był kierunkiem technicznym, tzn. takim, po którym uzyskałaś/eś tytuł inżyniera?" dataCellStyle="Normalny 2"/>
    <tableColumn id="34" xr3:uid="{9DFBCAA7-4685-436F-9835-DE2137FC1499}" name="Jak się nazywa kierunek, który ukończyłaś/eś?" dataCellStyle="Normalny 2"/>
    <tableColumn id="35" xr3:uid="{F834ADB0-7EDC-4A96-9ADE-629E1D62F418}" name="Moja satysfakcja z (efektów) usług edukacyjnych ocenianej uczelni jest wysoka." dataCellStyle="Normalny 2"/>
    <tableColumn id="36" xr3:uid="{2B7353B2-9782-4291-9A5E-8E3D296B40F7}" name="Usługi edukacyjne ocenianej uczelni mają wysoką wartość (okazja / szansa rozwoju własnego lub kariery).2" dataCellStyle="Normalny 2"/>
    <tableColumn id="37" xr3:uid="{13B3FEA8-F22C-4F1C-AC7D-15112CF301C4}" name="Kształcenie na ocenianej uczelni ma/miało pozytywny wpływ na zwiększenie moich zarobków." dataCellStyle="Normalny 2"/>
    <tableColumn id="38" xr3:uid="{0F60E510-0B8E-4153-970E-3E0CDA97C63E}" name="Moje zarobki w pierwszym roku po ukończeniu studiów były satysfakcjonujące." dataCellStyle="Normalny 2"/>
    <tableColumn id="39" xr3:uid="{2921B3EC-C754-4B39-BCE2-59440272D28C}" name="Moje zarobki po 3. latach po ukończeniu studiów były satysfakcjonujące." dataCellStyle="Normalny 2"/>
    <tableColumn id="40" xr3:uid="{B5A62817-D5E9-4E47-9217-F9648CBB6B72}" name="W ile miesięcy po ukończeniu studiów uzyskałaś/eś zatrudnienie? Proszę podać liczbę miesięcy lub wpisać inną opcję (np. praca przed ukończeniem studiów; założenie własnej firmy; nie zamierzam pracować)" dataCellStyle="Normalny 2"/>
    <tableColumn id="41" xr3:uid="{AA43BA04-F7C8-486F-8045-B4808B4B7D50}" name="w pierwszym roku po ukończeniu studiów : wybierz wartość z listy rozwijanej3" dataCellStyle="Normalny 2"/>
    <tableColumn id="42" xr3:uid="{1D3CA923-FC42-4DF5-8C3D-DC6E21863A7E}" name="w 3 lata po ukończeniu studiów : wybierz wartość z listy rozwijanej4" dataCellStyle="Normalny 2"/>
    <tableColumn id="43" xr3:uid="{5FC9B827-5AD1-4B15-8A15-09A5E9B9C787}" name="Jakie inne (poza zarobkami) efekty kształcenia na ocenianej uczelni dostrzegasz obecnie?" dataCellStyle="Normalny 2"/>
    <tableColumn id="44" xr3:uid="{7DD0BE84-D469-42E5-9FE8-A1AEDB0E8509}" name="Co wpływało na twoją satysfakcję ze studiowania?_x000a_" dataCellStyle="Normalny 2"/>
    <tableColumn id="45" xr3:uid="{6FC0232B-C1BF-43E1-BDD2-71F433FEEC39}" name="Kolumna5" dataCellStyle="Normalny 2"/>
    <tableColumn id="46" xr3:uid="{E9618AAF-B6D8-465A-8818-C05756EE267A}" name="Jakiego rodzaju były Twoje studia?" dataCellStyle="Normalny 2"/>
    <tableColumn id="47" xr3:uid="{C11C3AC1-D703-49BB-AC55-756DA92EBB88}" name="Pole dodatkowe6" dataCellStyle="Normalny 2"/>
    <tableColumn id="48" xr3:uid="{B8266715-EE02-4C84-8BE6-5CA39FCBA3E5}" name="Czy jesteś rodzicem / opiekunem absolwenta uczelni wyższej?" dataCellStyle="Normalny 2"/>
    <tableColumn id="49" xr3:uid="{15637092-8ED7-4A82-B292-F67EBF80E015}" name="Uczelnie ilu podopiecznych będziesz oceniać?" dataCellStyle="Normalny 2"/>
    <tableColumn id="50" xr3:uid="{9586286A-F6AD-40A4-8359-EED24F3ADAAD}" name="Jak się nazywa uczelnia, którą ukończył/a Twoja/Twój podopieczna/podopieczny? (proszę o wybranie jednej uczelni podlegającej ocenie)" dataCellStyle="Normalny 2"/>
    <tableColumn id="51" xr3:uid="{635916AF-7B4F-435B-80A0-71232A4FFBE5}" name="W którym roku Twoja/Twój podopieczna/y ukończył/a studia (rok w którym uzyskano dyplom ukończenia studiów drugiego stopnia, albo pierwszego stopnia, jeśli nie uzyskano dyplomu 2. stopnia)?" dataCellStyle="Normalny 2"/>
    <tableColumn id="52" xr3:uid="{D79216FA-D3F6-4DDA-9CEC-D7EA265C46EF}" name="Czy ukończony kierunek był kierunkiem technicznym, tzn. takim, po którym uzyskano tytuł inżyniera?" dataCellStyle="Normalny 2"/>
    <tableColumn id="53" xr3:uid="{0FAC5841-AC58-4AC4-8E53-9FF37D8DA06D}" name="Jak się nazywa kierunek, który ukończył/a Twoja/Twój podopieczna/podopieczny?" dataCellStyle="Normalny 2"/>
    <tableColumn id="54" xr3:uid="{C226A6B2-09BD-4A69-941C-B4E3079A37B4}" name="Moja satysfakcja z (efektów) usług edukacyjnych ocenianej uczelni jest wysoka.7" dataCellStyle="Normalny 2"/>
    <tableColumn id="55" xr3:uid="{EDB9481D-FD67-4B80-91C5-7BC31EAC91BF}" name="Usługi edukacyjne ocenianej uczelni mają wysoką wartość (okazja / szansa rozwoju własnego lub kariery).8" dataCellStyle="Normalny 2"/>
    <tableColumn id="56" xr3:uid="{D331D3B9-89DE-4ACC-827C-C4CEF88FB700}" name="Kształcenie na ocenianej uczelni ma/będzie miało pozytywny wpływ na zwiększenie zarobków mojej/mojego podopiecznej/podopiecznego." dataCellStyle="Normalny 2"/>
    <tableColumn id="57" xr3:uid="{E7857AE1-C89B-44A9-B57D-071C03A163CE}" name="Zarobki uzyskiwane przez mojego/moją podopieczną/podopiecznego w pierwszym roku po ukończeniu studiów były satysfakcjonujące (z mojego punktu widzenia)" dataCellStyle="Normalny 2"/>
    <tableColumn id="58" xr3:uid="{B0851734-031A-4391-B393-A42A0710F4E4}" name="Zarobki uzyskiwane przez mojego/moją podopieczną/podopiecznego w 3 lata po ukończeniu studiów były satysfakcjonujące (z mojego punktu widzenia)" dataCellStyle="Normalny 2"/>
    <tableColumn id="59" xr3:uid="{B46BEC40-E051-4838-A76F-7B6FFF4527BB}" name="W ile miesięcy po ukończeniu studiów Twoja/Twój podopieczna/podopieczny uzyskał/a zatrudnienie? Proszę podać liczbę miesięcy lub wpisać inną opcję (np. praca przed ukończeniem studiów; założenie własnej firmy; nie zamierzam pracować)" dataCellStyle="Normalny 2"/>
    <tableColumn id="60" xr3:uid="{4D009803-6E6A-44D1-AB24-61207CDC66B2}" name="Jakie inne (poza zarobkami) efekty kształcenia na ocenianej uczelni się dostrzegasz obecnie?" dataCellStyle="Normalny 2"/>
    <tableColumn id="61" xr3:uid="{13A43C5E-673B-47CB-B3BE-19F64CDE0053}" name="Jakiego rodzaju były studia, które ukończył/a Twoja/Twój podopieczna/podopieczny?" dataCellStyle="Normalny 2"/>
    <tableColumn id="62" xr3:uid="{2E4B9A4A-3428-41F2-880D-ED12CE476029}" name="Pole dodatkowe9" dataCellStyle="Normalny 2"/>
    <tableColumn id="63" xr3:uid="{4588454E-3C67-4DD6-BB48-28E4B525D39C}" name="Jeśli Twoja/Twój podopieczna/podopieczny ukończył/a również inne szkoły / kierunki studiów to proszę wpisz je tutaj." dataCellStyle="Normalny 2"/>
    <tableColumn id="64" xr3:uid="{7FED2F00-678B-4DD2-9B8C-E3FB5A963BD7}" name="Czy będziesz oceniał uczelnię ukończoną przez drugiego podopiecznego?" dataCellStyle="Normalny 2"/>
    <tableColumn id="65" xr3:uid="{47AEC793-88CE-4BA9-98FB-437D42B96D98}" name="Jak się nazywa uczelnia, którą ukończył/a Twoja/Twój podopieczna/podopieczny? (proszę o wybranie jednej uczelni podlegającej ocenie)10" dataCellStyle="Normalny 2"/>
    <tableColumn id="66" xr3:uid="{3C36D269-B3C8-47F9-9474-367418CC26E9}" name="W którym roku Twoja/Twój podopieczna/y ukończył/a studia (rok w którym uzyskano dyplom ukończenia studiów drugiego stopnia, albo pierwszego stopnia, jeśli nie uzyskano dyplomu 2. stopnia)?11" dataCellStyle="Normalny 2"/>
    <tableColumn id="67" xr3:uid="{C65B0EB7-A1AB-48E2-8F47-A345DDC9D6E5}" name="Czy ukończony kierunek był kierunkiem technicznym, tzn. takim, po którym uzyskano tytuł inżyniera?12" dataCellStyle="Normalny 2"/>
    <tableColumn id="68" xr3:uid="{EC91F014-4B2B-4401-8B34-DC5CFA99988E}" name="Jak się nazywa kierunek, który ukończył/a Twoja/Twój podopieczna/podopieczny?13" dataCellStyle="Normalny 2"/>
    <tableColumn id="69" xr3:uid="{D9BB07FE-82F1-443F-81C1-CD664BE10C60}" name="Moja satysfakcja z (efektów) usług edukacyjnych ocenianej uczelni jest wysoka.14" dataCellStyle="Normalny 2"/>
    <tableColumn id="70" xr3:uid="{9C0AE0AB-2BE3-4BA8-BBAA-973531B3BEC2}" name="Usługi edukacyjne ocenianej uczelni mają wysoką wartość (okazja / szansa rozwoju własnego lub kariery).15" dataCellStyle="Normalny 2"/>
    <tableColumn id="71" xr3:uid="{D2BAAF50-F8AE-4DEF-8B85-D9331891C217}" name="Kształcenie na ocenianej uczelni ma/będzie miało pozytywny wpływ na zwiększenie zarobków mojej/mojego podopiecznej/podopiecznego.16" dataCellStyle="Normalny 2"/>
    <tableColumn id="72" xr3:uid="{BC7B308D-8F4B-4307-A4E3-FB2A7D68173C}" name="Zarobki uzyskiwane przez mojego/moją podopieczną/podopiecznego w pierwszym roku po ukończeniu studiów były satysfakcjonujące (z mojego punktu widzenia)17" dataCellStyle="Normalny 2"/>
    <tableColumn id="73" xr3:uid="{44B18966-CAF2-4282-BA60-DB60A848E30D}" name="Zarobki uzyskiwane przez mojego/moją podopieczną/podopiecznego w 3 lata po ukończeniu studiów były satysfakcjonujące (z mojego punktu widzenia)18" dataCellStyle="Normalny 2"/>
    <tableColumn id="74" xr3:uid="{0C51F27B-6E25-4E4A-AC8D-468405657774}" name="W ile miesięcy po ukończeniu studiów Twoja/Twój podopieczna/podopieczny uzyskał/a zatrudnienie? Proszę podać liczbę miesięcy lub wpisać inną opcję (np. praca przed ukończeniem studiów; założenie własnej firmy; nie zamierzam pracować)19" dataCellStyle="Normalny 2"/>
    <tableColumn id="75" xr3:uid="{9BCF01C5-AAFF-42B1-B184-B3C0596C9995}" name="Jakie inne (poza zarobkami) efekty kształcenia na ocenianej uczelni się dostrzegasz obecnie?20" dataCellStyle="Normalny 2"/>
    <tableColumn id="76" xr3:uid="{143FF37E-AF8D-4A3E-A0FE-8C9D0D51762F}" name="Jakiego rodzaju były studia, które ukończył/a Twoja/Twój podopieczna/podopieczny?21" dataCellStyle="Normalny 2"/>
    <tableColumn id="77" xr3:uid="{D5D4934C-C921-4C71-8863-9B0454A0C693}" name="Pole dodatkowe22" dataCellStyle="Normalny 2"/>
    <tableColumn id="78" xr3:uid="{695AF320-99ED-4CFA-97B8-D614B1E87F73}" name="Jeśli Twoja/Twój podopieczna/podopieczny ukończył/a również inne szkoły / kierunki studiów to proszę wpisz je tutaj.23" dataCellStyle="Normalny 2"/>
    <tableColumn id="79" xr3:uid="{5DCD8B33-6B70-4BC5-A22E-7F915BE8410A}" name="Czy będziesz oceniał uczelnię ukończoną przez trzeciego podopiecznego?" dataCellStyle="Normalny 2"/>
    <tableColumn id="80" xr3:uid="{C117D672-FF06-464F-82AD-DBA9E0EAAD95}" name="Jak się nazywa uczelnia, którą ukończył/a Twoja/Twój podopieczna/podopieczny? (proszę o wybranie jednej uczelni podlegającej ocenie)24" dataCellStyle="Normalny 2"/>
    <tableColumn id="81" xr3:uid="{1F66302D-98F9-4E23-9C56-C7ED64A55992}" name="W którym roku Twoja/Twój podopieczna/y ukończył/a studia (rok w którym uzyskano dyplom ukończenia studiów drugiego stopnia, albo pierwszego stopnia, jeśli nie uzyskano dyplomu 2. stopnia)?25" dataCellStyle="Normalny 2"/>
    <tableColumn id="82" xr3:uid="{D93976EE-D9BA-409C-A196-41F9C7840364}" name="Czy ukończony kierunek był kierunkiem technicznym, tzn. takim, po którym uzyskano tytuł inżyniera?26" dataCellStyle="Normalny 2"/>
    <tableColumn id="83" xr3:uid="{BA8CA152-3E5E-425F-A90D-F191704F0502}" name="Jak się nazywa kierunek, który ukończył/a Twoja/Twój podopieczna/podopieczny?27" dataCellStyle="Normalny 2"/>
    <tableColumn id="84" xr3:uid="{54B2841A-F866-4FC4-96BA-EF6E4D8C2527}" name="Moja satysfakcja z (efektów) usług edukacyjnych ocenianej uczelni jest wysoka.28" dataCellStyle="Normalny 2"/>
    <tableColumn id="85" xr3:uid="{2552B5F1-DC0D-43B0-9705-A3C932AC6829}" name="Usługi edukacyjne ocenianej uczelni mają wysoką wartość (okazja / szansa rozwoju własnego lub kariery).29" dataCellStyle="Normalny 2"/>
    <tableColumn id="86" xr3:uid="{0364CC9E-6F6B-4125-A238-534A0E9CECB4}" name="Kształcenie na ocenianej uczelni ma/będzie miało pozytywny wpływ na zwiększenie zarobków mojej/mojego podopiecznej/podopiecznego.30" dataCellStyle="Normalny 2"/>
    <tableColumn id="87" xr3:uid="{BED40B61-09EB-48ED-A082-E3EFD845CEDE}" name="Zarobki uzyskiwane przez mojego/moją podopieczną/podopiecznego w pierwszym roku po ukończeniu studiów były satysfakcjonujące (z mojego punktu widzenia)31" dataCellStyle="Normalny 2"/>
    <tableColumn id="88" xr3:uid="{93863897-7BFC-459C-AE75-1272B75E4228}" name="Zarobki uzyskiwane przez mojego/moją podopieczną/podopiecznego w 3 lata po ukończeniu studiów były satysfakcjonujące (z mojego punktu widzenia)32" dataCellStyle="Normalny 2"/>
    <tableColumn id="89" xr3:uid="{6480B5EC-5779-47A4-A935-D3B654C40426}" name="W ile miesięcy po ukończeniu studiów Twoja/Twój podopieczna/podopieczny uzyskał/a zatrudnienie? Proszę podać liczbę miesięcy lub wpisać inną opcję (np. praca przed ukończeniem studiów; założenie własnej firmy; nie zamierzam pracować)33" dataCellStyle="Normalny 2"/>
    <tableColumn id="90" xr3:uid="{A2C0BEA5-22FE-4C85-980F-252D9F7D1E94}" name="Jakie inne (poza zarobkami) efekty kształcenia na ocenianej uczelni się dostrzegasz obecnie?34" dataCellStyle="Normalny 2"/>
    <tableColumn id="91" xr3:uid="{D86C9440-D785-473B-AFB1-4C6C87402D9B}" name="Jakiego rodzaju były studia, które ukończył/a Twoja/Twój podopieczna/podopieczny?35" dataCellStyle="Normalny 2"/>
    <tableColumn id="92" xr3:uid="{CB13D978-728C-4ACB-9645-A8A6856C36A9}" name="Pole dodatkowe36" dataCellStyle="Normalny 2"/>
    <tableColumn id="93" xr3:uid="{4CEC6126-AB78-4411-8D08-13549731E224}" name="Jeśli Twoja/Twój podopieczna/podopieczny ukończył/a również inne szkoły / kierunki studiów to proszę wpisz je tutaj.37" dataCellStyle="Normalny 2"/>
    <tableColumn id="94" xr3:uid="{666C882D-3CAC-4CFB-83A0-7E454A7783C8}" name="Czy jesteś aktualnie pracownikiem administracyjnym uczelni wyższej?" dataCellStyle="Normalny 2"/>
    <tableColumn id="95" xr3:uid="{B1A54CF9-7324-463D-B30D-7ED3E40670CE}" name="Jak się nazywa uczelnia, na której pracujesz? (proszę o wybranie jednej uczelni podlegającej ocenie)" dataCellStyle="Normalny 2"/>
    <tableColumn id="96" xr3:uid="{E2512729-F97D-444C-9AFF-34822611EE49}" name="Na jakim wydziale pracujesz?" dataCellStyle="Normalny 2"/>
    <tableColumn id="97" xr3:uid="{F73A9866-8D28-4CC9-A2C7-051F89817984}" name="Moja satysfakcja z pracy na ocenianej uczelni jest wysoka." dataCellStyle="Normalny 2"/>
    <tableColumn id="98" xr3:uid="{28DED136-9BA7-4F69-B459-670F4F346A5A}" name="Atmosfera w zespole współpracowników jest dobra." dataCellStyle="Normalny 2"/>
    <tableColumn id="99" xr3:uid="{D9E15C50-0F2D-4245-AF24-5878C3C4EDD7}" name="Moje zarobki są satysfakcjonujące." dataCellStyle="Normalny 2"/>
    <tableColumn id="100" xr3:uid="{5FC570EE-7ACA-4327-9D70-87C413C9300B}" name="Praca na ocenianej uczelni daje mi duże szanse rozwoju." dataCellStyle="Normalny 2"/>
    <tableColumn id="101" xr3:uid="{9ED19612-451B-453A-AD2C-97754AED97FE}" name="Wartość wykształcenia zdobywanego przez studentów ocenianej uczelni jest wysoka." dataCellStyle="Normalny 2"/>
    <tableColumn id="102" xr3:uid="{4C55692E-B06F-427C-8884-2E0C192583A3}" name="Zdobyte na ocenianej uczelni wykształcenie ma pozytywny wpływ na zwiększenie zarobków absolwentów." dataCellStyle="Normalny 2"/>
    <tableColumn id="103" xr3:uid="{85582560-8093-4EDE-8DF7-7AC787AF74CE}" name="Jakie inne (poza zarobkami) efekty kształcenia na ocenianej uczelni się dostrzegasz obecnie?38" dataCellStyle="Normalny 2"/>
    <tableColumn id="104" xr3:uid="{BB34A713-FD5E-4385-A7EE-3C9861F78B6E}" name="Czy jesteś aktualnie pracownikiem naukowym lub dydaktycznym uczelni wyższej?" dataCellStyle="Normalny 2"/>
    <tableColumn id="105" xr3:uid="{18967455-15D9-45B0-8787-F7DAD1F73496}" name="Jak się nazywa uczelnia, na której pracujesz? (proszę o wybranie jednej uczelni podlegającej ocenie)39" dataCellStyle="Normalny 2"/>
    <tableColumn id="106" xr3:uid="{6187A40C-32C1-4C51-B0B5-C6A88FCF6C0A}" name="Na jakim wydziale pracujesz?40" dataCellStyle="Normalny 2"/>
    <tableColumn id="107" xr3:uid="{4E9360D2-3A07-4069-896E-9F33A3325B5A}" name="Moja satysfakcja z pracy na ocenianej uczelni jest wysoka.41" dataCellStyle="Normalny 2"/>
    <tableColumn id="108" xr3:uid="{E1B594C1-ECE6-4199-BFDC-568F5DE62AB3}" name="Atmosfera w zespole współpracowników jest dobra.42" dataCellStyle="Normalny 2"/>
    <tableColumn id="109" xr3:uid="{2A07BB24-2DE8-48A9-82E5-770EF2DA5FF6}" name="Moje zarobki są satysfakcjonujące.43" dataCellStyle="Normalny 2"/>
    <tableColumn id="110" xr3:uid="{C788D03E-3550-4283-8291-5E22B946DD6A}" name="Praca na ocenianej uczelni daje mi duże szanse rozwoju.44" dataCellStyle="Normalny 2"/>
    <tableColumn id="111" xr3:uid="{E516549C-0276-4F00-A097-843556AB9B14}" name="Wartość wykształcenia zdobywanego przez studentów ocenianej uczelni jest wysoka.45" dataCellStyle="Normalny 2"/>
    <tableColumn id="112" xr3:uid="{E4BFF03B-E0E7-457C-9865-EDA932B5B145}" name="Zdobyte na ocenianej uczelni wykształcenie ma pozytywny wpływ na zwiększenie zarobków absolwentów.46" dataCellStyle="Normalny 2"/>
    <tableColumn id="113" xr3:uid="{AD9A2A17-DEF7-45B0-AAC7-D92DB396CBAC}" name="Jakie inne (poza zarobkami) efekty kształcenia na ocenianej uczelni dostrzegasz obecnie?47" dataCellStyle="Normalny 2"/>
    <tableColumn id="114" xr3:uid="{990CDDDE-FDA9-4C11-88B2-C0FF5E011EB1}" name="Czy jesteś przedstawicielem władz uczelni z grupy rektorów, prorektorów, dziekanów, prodziekanów, członków senatu lub członków rady uczelni?" dataCellStyle="Normalny 2"/>
    <tableColumn id="115" xr3:uid="{5AB3BA79-16E9-4962-90DC-595CABEBB26A}" name="Proszę podać pełnioną funkcję" dataCellStyle="Normalny 2"/>
    <tableColumn id="116" xr3:uid="{E952AE8D-AF9F-420F-B0B0-829A51128C1B}" name="Kolumna48" dataCellStyle="Normalny 2"/>
    <tableColumn id="117" xr3:uid="{0643E503-2492-4737-A466-512FA3C3EF6F}" name="Kolumna49" dataCellStyle="Normalny 2"/>
    <tableColumn id="118" xr3:uid="{0B897FF4-5C48-420E-98DC-DA2701834AAC}" name="Kolumna50" dataCellStyle="Normalny 2"/>
    <tableColumn id="119" xr3:uid="{DADE5314-FBF7-4BB6-A280-BD3E4E598B90}" name="Jak się nazywa uczelnia którą będziesz oceniać (jako przedstawiciel jej władz)?" dataCellStyle="Normalny 2"/>
    <tableColumn id="120" xr3:uid="{9E7109BE-F389-46BE-B633-BEC6691AFE56}" name="Efekty działań ocenianej uczelni na rzesz jakości edukacji są dobre" dataCellStyle="Normalny 2"/>
    <tableColumn id="121" xr3:uid="{3B2A8092-3110-4DE9-83F3-6F85AD27039A}" name="Wartość wykształcenia zdobywanego przez studentów na ocenianej uczelni jest wysoka." dataCellStyle="Normalny 2"/>
    <tableColumn id="122" xr3:uid="{75E405A5-034D-4FF6-839C-03BBE14D9C97}" name="Zdobyte przez studentów ocenianej uczelni wykształcenie miało/ma pozytywny wpływ na ich zarobki." dataCellStyle="Normalny 2"/>
    <tableColumn id="123" xr3:uid="{A6403C7F-D331-4070-A23D-53174C603333}" name="Efekty działań ocenianej uczelni na rzecz jakości edukacji mają dobry wpływ na rozwój regionu." dataCellStyle="Normalny 2"/>
    <tableColumn id="124" xr3:uid="{6412E56F-46D7-4F63-995A-61558C76BFFF}" name="Efekty działań ocenianej uczelni na rzecz jakości edukacji mają dobry wpływ na rozwój Polski." dataCellStyle="Normalny 2"/>
    <tableColumn id="125" xr3:uid="{721383E9-8282-4BEC-8F49-3BD60FC86C73}" name="Współpraca ocenianej uczelni z biznesem ma pozytywne efekty dla rozwoju regionu / kraju." dataCellStyle="Normalny 2"/>
    <tableColumn id="126" xr3:uid="{C2E454CF-FFCE-47B3-A978-AF04116DE776}" name="Ogólny poziom mojej satysfakcji z jakości usług edukacyjnych ocenianej uczelni jest wysoki." dataCellStyle="Normalny 2"/>
    <tableColumn id="127" xr3:uid="{560D6E6A-C1B5-443F-9730-3A9279F33055}" name="Studenci : wybierz wartość z listy rozwijanej" dataCellStyle="Normalny 2"/>
    <tableColumn id="128" xr3:uid="{0F1238D6-127B-43F2-8D4C-233709831663}" name="Absolwenci : wybierz wartość z listy rozwijanej" dataCellStyle="Normalny 2"/>
    <tableColumn id="129" xr3:uid="{843BD4B2-D370-42CF-8788-5EAC0BF8994F}" name="Rodzice absolwentów : wybierz wartość z listy rozwijanej" dataCellStyle="Normalny 2"/>
    <tableColumn id="130" xr3:uid="{1B60FF51-9D53-4024-83E2-CE6A40F83F27}" name="Pracownicy administracyjni : wybierz wartość z listy rozwijanej" dataCellStyle="Normalny 2"/>
    <tableColumn id="131" xr3:uid="{D344D961-2ECA-49C6-AFF1-73E830AE2E5E}" name="Pracownicy naukowi i dydaktyczni : wybierz wartość z listy rozwijanej" dataCellStyle="Normalny 2"/>
    <tableColumn id="132" xr3:uid="{39F1F214-0370-46B5-A78A-3D3E2BB59790}" name="Pracodawcy : wybierz wartość z listy rozwijanej" dataCellStyle="Normalny 2"/>
    <tableColumn id="133" xr3:uid="{A05B0C86-A94C-4729-8E24-9DF55B8C60E6}" name="Władze samorządowe i centralne : wybierz wartość z listy rozwijanej" dataCellStyle="Normalny 2"/>
    <tableColumn id="134" xr3:uid="{FD83BC19-86E5-4A64-9B41-2022AEC9A446}" name="Pole dodatkowe51" dataCellStyle="Normalny 2"/>
    <tableColumn id="135" xr3:uid="{FB49CC91-A81E-48C5-B058-970D020406B2}" name="Studenci : wybierz wartość z listy rozwijanej52" dataCellStyle="Normalny 2"/>
    <tableColumn id="136" xr3:uid="{058613BA-4C4A-4CCB-94E8-B314C8534F0B}" name="Absolwenci : wybierz wartość z listy rozwijanej53" dataCellStyle="Normalny 2"/>
    <tableColumn id="137" xr3:uid="{BCC1CADE-3BDA-40D8-B904-3F62B865BF0E}" name="Rodzice absolwentów : wybierz wartość z listy rozwijanej54" dataCellStyle="Normalny 2"/>
    <tableColumn id="138" xr3:uid="{7289DA8C-5E20-4C0A-9AFF-68A0446DAF6F}" name="Pracownicy administracyjni : wybierz wartość z listy rozwijanej55" dataCellStyle="Normalny 2"/>
    <tableColumn id="139" xr3:uid="{C927E823-24F5-4556-87E1-5934AF25F16D}" name="Pracownicy naukowi i dydaktyczni : wybierz wartość z listy rozwijanej56" dataCellStyle="Normalny 2"/>
    <tableColumn id="140" xr3:uid="{10E4BEC4-AFB0-403C-99F5-66AE3E297475}" name="Pracodawcy : wybierz wartość z listy rozwijanej57" dataCellStyle="Normalny 2"/>
    <tableColumn id="141" xr3:uid="{83ADA906-44EE-4E46-A0E5-EB2AA3B8AD6E}" name="Władze samorządowe i centralne : wybierz wartość z listy rozwijanej58" dataCellStyle="Normalny 2"/>
    <tableColumn id="142" xr3:uid="{ED86DEBF-394D-490A-81FF-CDAFC592F5F8}" name="Pole dodatkowe59" dataCellStyle="Normalny 2"/>
    <tableColumn id="143" xr3:uid="{E1CA7C3C-9ACB-4076-9F49-AB0F8B33478E}" name="Czy jesteś przedstawicielem firmy, w której są zatrudniani absolwenci uczelni wyższych (tytuł licencjata, magistra lub wyższy)?" dataCellStyle="Normalny 2"/>
    <tableColumn id="144" xr3:uid="{2687D4A0-70AB-49EB-8D25-82A9A57EEB8B}" name="Czy w Twojej firmie są zatrudnieni absolwenci uczelni technicznych (posiadają tytuł inżyniera)?" dataCellStyle="Normalny 2"/>
    <tableColumn id="145" xr3:uid="{4262C7B7-A239-413E-A79D-C1EB1FE06CF8}" name="Ile uczelni będziesz oceniać?" dataCellStyle="Normalny 2"/>
    <tableColumn id="146" xr3:uid="{D3229E83-2F0E-471D-8F53-858E0A4EEBCC}" name="Jak się nazywa uczelnia, którą ocenisz? " dataCellStyle="Normalny 2"/>
    <tableColumn id="147" xr3:uid="{E292C881-CB01-46A1-B3B8-281CE2938F8B}" name="Moja satysfakcja z (efektów) usług edukacyjnych na ocenianej uczelni jest wysoka." dataCellStyle="Normalny 2"/>
    <tableColumn id="148" xr3:uid="{81717CB1-3F46-4D5F-A86B-8ABD338D44CE}" name="Kompetencje absolwentów ocenianej uczelni są wysokie." dataCellStyle="Normalny 2"/>
    <tableColumn id="149" xr3:uid="{1E122298-BB35-4E54-BB28-5D4E37016D64}" name="Zarobki absolwentów ocenianej uczelni zatrudnionych w mojej firmie są wyższe od zarobków absolwentów innych polskich uczelni." dataCellStyle="Normalny 2"/>
    <tableColumn id="150" xr3:uid="{28198B93-CE8A-4BAB-AD96-B47B8289799F}" name="Czy w Twojej firmie są zatrudniani absolwenci uczelni w pierwszym roku po ukończeniu studiów (do 12 miesięcy od uzyskania dyplomu)?" dataCellStyle="Normalny 2"/>
    <tableColumn id="151" xr3:uid="{4EF260D4-CFE7-4DC7-B19A-332C6E85DC95}" name="Jakie kompetencje absolwentów ocenianej uczelni są w Twojej firmie najwyżej wyceniane?" dataCellStyle="Normalny 2"/>
    <tableColumn id="152" xr3:uid="{569E9220-B370-42A9-9231-54AB527CDC8C}" name="Jakiego rodzaju prace wykonują absolwenci ocenianej uczelni w Twojej firmie?" dataCellStyle="Normalny 2"/>
    <tableColumn id="153" xr3:uid="{17D7F89D-0F7B-4027-8D20-1FA3AE54DADF}" name="Czy będziesz oceniał drugą uczelnię?" dataCellStyle="Normalny 2"/>
    <tableColumn id="154" xr3:uid="{A1C11982-84F3-41BE-A4F6-D0D243903208}" name="Jak się nazywa uczelnia, którą ocenisz? 60" dataCellStyle="Normalny 2"/>
    <tableColumn id="155" xr3:uid="{392DFCA0-C916-49BA-9171-01362FCAAB2F}" name="Moja satysfakcja z (efektów) usług edukacyjnych na ocenianej uczelni jest wysoka.61" dataCellStyle="Normalny 2"/>
    <tableColumn id="156" xr3:uid="{7B069D39-3E83-4C1A-8D3D-4B1CD6B978B6}" name="Kompetencje absolwentów ocenianej uczelni są wysokie.62" dataCellStyle="Normalny 2"/>
    <tableColumn id="157" xr3:uid="{5BD66F4B-6251-4D06-9CC9-B9D2A295A9ED}" name="Zarobki absolwentów ocenianej uczelni zatrudnionych w mojej firmie są wyższe od zarobków absolwentów innych polskich uczelni.63" dataCellStyle="Normalny 2"/>
    <tableColumn id="158" xr3:uid="{FDDD6DC2-B837-4691-9E47-FA9424D519D0}" name="Czy w Twojej firmie są zatrudniani absolwenci uczelni w pierwszym roku po ukończeniu studiów (do 12 miesięcy od uzyskania dyplomu)?64" dataCellStyle="Normalny 2"/>
    <tableColumn id="159" xr3:uid="{4E7553A2-DB79-48E0-829B-E839FAA49D24}" name="Jakie kompetencje absolwentów ocenianej uczelni są w Twojej firmie najwyżej wyceniane?65" dataCellStyle="Normalny 2"/>
    <tableColumn id="160" xr3:uid="{C972591E-30FD-4DFB-B23E-B08B9F735EA7}" name="Jakiego rodzaju prace wykonują absolwenci ocenianej uczelni w Twojej firmie?66" dataCellStyle="Normalny 2"/>
    <tableColumn id="161" xr3:uid="{E3765297-DD85-464F-A572-0E174BFF5AF3}" name="Czy będziesz oceniał trzecią uczelnię techniczną?" dataCellStyle="Normalny 2"/>
    <tableColumn id="162" xr3:uid="{90EED4A5-EC0D-4B7F-B7B2-0EBEC1EA21F0}" name="Jak się nazywa uczelnia, którą ocenisz? 67" dataCellStyle="Normalny 2"/>
    <tableColumn id="163" xr3:uid="{05510E32-0711-40CB-9268-8B3A640C11B8}" name="Moja satysfakcja z (efektów) usług edukacyjnych na ocenianej uczelni jest wysoka.68" dataCellStyle="Normalny 2"/>
    <tableColumn id="164" xr3:uid="{C387393A-5F42-447D-A323-74210401CD95}" name="Kompetencje absolwentów ocenianej uczelni są wysokie.69" dataCellStyle="Normalny 2"/>
    <tableColumn id="165" xr3:uid="{D1D9A253-96B4-4B34-9F8A-C57315C6319C}" name="Zarobki absolwentów ocenianej uczelni zatrudnionych w mojej firmie są wyższe od zarobków absolwentów innych polskich uczelni.70" dataCellStyle="Normalny 2"/>
    <tableColumn id="166" xr3:uid="{36C1CB29-F998-46C4-AD70-678C16A16664}" name="Czy w Twojej firmie są zatrudniani absolwenci uczelni w pierwszym roku po ukończeniu studiów (do 12 miesięcy od uzyskania dyplomu)?71" dataCellStyle="Normalny 2"/>
    <tableColumn id="167" xr3:uid="{DB325C70-2419-4453-95FE-20267F60D0E7}" name="Jakie kompetencje absolwentów ocenianej uczelni są w Twojej firmie najwyżej wyceniane?72" dataCellStyle="Normalny 2"/>
    <tableColumn id="168" xr3:uid="{D94E00D5-9937-4980-8D20-DE5D753F00D7}" name="Jakiego rodzaju prace wykonują absolwenci ocenianej uczelni są w Twojej firmie?" dataCellStyle="Normalny 2"/>
    <tableColumn id="169" xr3:uid="{57EED464-6F43-46F9-B341-7C5A377D50FD}" name="Czy jesteś przedstawicielem władz samorządowych lub centralnych Rzeczypospolitej Polskiej?" dataCellStyle="Normalny 2"/>
    <tableColumn id="170" xr3:uid="{6FDFE67D-E445-4BB3-A0FF-633D6E4F9496}" name="Proszę wskaż jaki poziom władzy samorządowej lub centralnej reprezentujesz." dataCellStyle="Normalny 2"/>
    <tableColumn id="171" xr3:uid="{2F166724-CB55-4B49-8D2E-B02A769F836B}" name="Proszę o podanie nazwy organu władzy jaki reprezentujesz." dataCellStyle="Normalny 2"/>
    <tableColumn id="172" xr3:uid="{F9FC0433-E540-49DA-8D6E-5993171DEE51}" name="Ile uczelni będziesz oceniać?73" dataCellStyle="Normalny 2"/>
    <tableColumn id="173" xr3:uid="{5E1125E8-C2D7-4B0F-A47F-DE7919A2FED8}" name="Jak się nazywa uczelnia, którą ocenisz?" dataCellStyle="Normalny 2"/>
    <tableColumn id="174" xr3:uid="{F8AB6ED8-0F10-40AE-8FC7-000B7F96E96C}" name="Efekty działań ocenianej uczelni na rzesz jakości edukacji są zgodne ze strategią rozwoju w regionie." dataCellStyle="Normalny 2"/>
    <tableColumn id="175" xr3:uid="{86DCFC62-3F79-4473-867C-451F20D7A6CE}" name="Wartość wykształcenia zdobywanego przez studentów na ocenianej uczelni jest wysoka.74" dataCellStyle="Normalny 2"/>
    <tableColumn id="176" xr3:uid="{E82C9FB7-078B-4DF7-9450-1D3322DCB680}" name="Zdobyte przez studentów ocenianej uczelni wykształcenie miało/ma pozytywny wpływ na ich zarobki.75" dataCellStyle="Normalny 2"/>
    <tableColumn id="177" xr3:uid="{E55501BC-CDF6-417E-AEAF-A154A0E5BD4F}" name="Efekty działań ocenianej uczelni na rzecz jakości edukacji mają dobry wpływ na rozwój regionu.76" dataCellStyle="Normalny 2"/>
    <tableColumn id="178" xr3:uid="{F53E86A7-02B7-472C-8265-0F5D6315320F}" name="Efekty działań ocenianej uczelni na rzecz jakości edukacji mają dobry wpływ na rozwój Polski.77" dataCellStyle="Normalny 2"/>
    <tableColumn id="179" xr3:uid="{234ACE91-CD8B-48FD-951B-61D5B96043D0}" name="Współpraca ocenianej uczelni z biznesem ma pozytywne efekty dla rozwoju regionu / kraju.78" dataCellStyle="Normalny 2"/>
    <tableColumn id="180" xr3:uid="{8EA524A6-AF4A-4CE6-9EB1-6020E91CAA81}" name="Ogólny poziom mojej satysfakcji z jakości usług edukacyjnych ocenianej uczelni jest wysoki.79" dataCellStyle="Normalny 2"/>
    <tableColumn id="181" xr3:uid="{D44D1C88-9132-46A1-AD03-554E66D99999}" name="Pole dodatkowe80" dataCellStyle="Normalny 2"/>
    <tableColumn id="182" xr3:uid="{B149B31B-FB77-4576-9980-C86C0707A144}" name="Jakie inne efekty pracy ocenianej uczelni technicznej dostrzegasz obecnie?" dataCellStyle="Normalny 2"/>
    <tableColumn id="183" xr3:uid="{0B343CA7-BB0F-48A5-97DA-129033B7A172}" name="Czy będziesz oceniać drugą uczelnię?" dataCellStyle="Normalny 2"/>
    <tableColumn id="184" xr3:uid="{D9E86899-FB37-41EB-A500-7C87CC40869F}" name="Jak się nazywa uczelnia, którą ocenisz?81" dataCellStyle="Normalny 2"/>
    <tableColumn id="185" xr3:uid="{AD110E0B-9889-4D55-8155-28FEC1BF4F3D}" name="Efekty działań ocenianej uczelni na rzesz jakości edukacji są zgodne ze strategią rozwoju w regionie.82" dataCellStyle="Normalny 2"/>
    <tableColumn id="186" xr3:uid="{F7C0009E-8C94-424C-A848-3CA0315F1EB4}" name="Wartość wykształcenia zdobywanego przez studentów na ocenianej uczelni jest wysoka.83" dataCellStyle="Normalny 2"/>
    <tableColumn id="187" xr3:uid="{677CBFBB-DDDC-4291-B0F8-6F31A32EED4B}" name="Zdobyte przez studentów ocenianej uczelni wykształcenie miało/ma pozytywny wpływ na ich zarobki.84" dataCellStyle="Normalny 2"/>
    <tableColumn id="188" xr3:uid="{CCF37801-8A02-44EE-B5D9-64F52A5AE159}" name="Efekty działań ocenianej uczelni na rzecz jakości edukacji mają dobry wpływ na rozwój regionu.85" dataCellStyle="Normalny 2"/>
    <tableColumn id="189" xr3:uid="{DA36F849-0F47-4AB2-9F75-C59697F2A970}" name="Efekty działań ocenianej uczelni na rzecz jakości edukacji mają dobry wpływ na rozwój Polski.86" dataCellStyle="Normalny 2"/>
    <tableColumn id="190" xr3:uid="{E69203F5-3300-470D-8F7E-694820213EA3}" name="Współpraca ocenianej uczelni z biznesem ma pozytywne efekty dla rozwoju regionu / kraju.87" dataCellStyle="Normalny 2"/>
    <tableColumn id="191" xr3:uid="{D48A24F7-EDC7-4AE6-B5F6-1902A6E63512}" name="Ogólny poziom mojej satysfakcji z jakości usług edukacyjnych ocenianej uczelni jest wysoki.88" dataCellStyle="Normalny 2"/>
    <tableColumn id="192" xr3:uid="{D4E7BB30-188D-4052-818F-B81306B9B7A7}" name="Jakie inne efekty pracy ocenianej uczelni dostrzegasz obecnie?" dataCellStyle="Normalny 2"/>
    <tableColumn id="193" xr3:uid="{A19C2831-1EB9-4077-BA10-68B4145E1C3C}" name="Czy będziesz oceniać trzecią uczelnię?" dataCellStyle="Normalny 2"/>
    <tableColumn id="194" xr3:uid="{4F7881F4-C95A-42D9-A94E-1B02565AD360}" name="Jak się nazywa uczelnia, którą ocenisz?89" dataCellStyle="Normalny 2"/>
    <tableColumn id="195" xr3:uid="{DA7E3D9F-83C0-43B9-AA11-E04410681096}" name="Efekty działań ocenianej uczelni na rzesz jakości edukacji są zgodne ze strategią rozwoju w regionie.90" dataCellStyle="Normalny 2"/>
    <tableColumn id="196" xr3:uid="{E7B3A4F8-D8E8-4C33-B23F-1928FBF86E6A}" name="Wartość wykształcenia zdobywanego przez studentów na ocenianej uczelni jest wysoka.91" dataCellStyle="Normalny 2"/>
    <tableColumn id="197" xr3:uid="{D6ED2206-69AB-4085-B8E2-0056DCABC529}" name="Zdobyte przez studentów ocenianej uczelni wykształcenie miało/ma pozytywny wpływ na ich zarobki.92" dataCellStyle="Normalny 2"/>
    <tableColumn id="198" xr3:uid="{82A3DA10-F59C-40DA-92E7-E3B751F81B3E}" name="Efekty działań ocenianej uczelni na rzecz jakości edukacji mają dobry wpływ na rozwój regionu.93" dataCellStyle="Normalny 2"/>
    <tableColumn id="199" xr3:uid="{079AA76D-B0C2-4EBB-8071-DB8DB20ADCFA}" name="Efekty działań ocenianej uczelni na rzecz jakości edukacji mają dobry wpływ na rozwój Polski.94" dataCellStyle="Normalny 2"/>
    <tableColumn id="200" xr3:uid="{9EAF3916-F91D-4731-BAD2-F3B28253A304}" name="Współpraca ocenianej uczelni z biznesem ma pozytywne efekty dla rozwoju regionu / kraju.95" dataCellStyle="Normalny 2"/>
    <tableColumn id="201" xr3:uid="{816567B4-C3E4-4B54-9222-6ACD062E600D}" name="Ogólny poziom mojej satysfakcji z jakości usług edukacyjnych ocenianej uczelni jest wysoki.96" dataCellStyle="Normalny 2"/>
    <tableColumn id="202" xr3:uid="{8ADD409D-82AA-4F5E-BD1D-9A53AAB19C62}" name="Jakie inne efekty pracy ocenianej uczelni dostrzegasz obecnie?97" dataCellStyle="Normalny 2"/>
    <tableColumn id="203" xr3:uid="{95E05CC0-AFCF-434D-BA73-7F04F8C7E48D}" name="Jakie, Twoim zdaniem, elementy decydują o tym, że uczelnie są lepsze lub gorsze." dataCellStyle="Normalny 2"/>
    <tableColumn id="204" xr3:uid="{CC7AA612-B396-45FD-A0C7-B3AC9294A131}" name="Kolumna98" dataCellStyle="Normalny 2"/>
    <tableColumn id="205" xr3:uid="{2372F47B-B929-4467-9E38-DC5F46632A58}" name="Kolumna99" dataCellStyle="Normalny 2"/>
    <tableColumn id="206" xr3:uid="{949CBC35-C947-4046-B1B4-4D5B1E12644F}" name="Płeć" dataCellStyle="Normalny 2"/>
    <tableColumn id="207" xr3:uid="{FA7EDC2E-8677-40A0-A3EF-AF7899202865}" name="Rok urodzenia" dataCellStyle="Normalny 2"/>
    <tableColumn id="208" xr3:uid="{26F29751-5A64-4873-B418-AA071A0970B5}" name="Z jakiej wielkości miejscowości pochodzisz? (dotyczy miejscowości, w której się wychowałaś/eś" dataCellStyle="Normalny 2"/>
    <tableColumn id="209" xr3:uid="{54B289C0-7362-4E56-8F5A-EB739011FC83}" name="Pole dodatkowe100" dataCellStyle="Normalny 2"/>
    <tableColumn id="210" xr3:uid="{1C640D33-2962-43D3-8F26-675240C9293B}" name="Jakie inne wykształcenie poza tym uwzględnionym w niniejszej ankiecie posiadasz? (ukończone szkoły/studia)" dataCellStyle="Normalny 2"/>
    <tableColumn id="211" xr3:uid="{B6D3D217-DC9F-45BD-8330-BA2276606BA8}" name="Jakie inne wykształcenie poza tym uwzględnionym w niniejszej ankiecie zdobywasz? (nieukończone jeszcze lub przerwane szkoły/studia)" dataCellStyle="Normalny 2"/>
    <tableColumn id="212" xr3:uid="{6755377F-0B0D-405E-885A-BA5FED1E3028}" name="Dziękuję za czas poświęcony na wypełnienie niniejszej ankiety. _x000a_Jeśli masz uwagi to proszę zamieść je poniżej._x000a_Po zakończeniu udzielania odpowiedzi proszę o naciśnięcie przycisku &quot;Zakończ&quot;." dataCellStyle="Normalny 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3B5C4A-F9C7-4F57-A625-32E993ED50EE}" name="KategorieWiekowe" displayName="KategorieWiekowe" ref="B2:C8" totalsRowShown="0" headerRowDxfId="5">
  <autoFilter ref="B2:C8" xr:uid="{E63B5C4A-F9C7-4F57-A625-32E993ED50EE}"/>
  <tableColumns count="2">
    <tableColumn id="1" xr3:uid="{82964CF4-6EC9-45E3-BCAE-782CAA430102}" name="Wiek"/>
    <tableColumn id="2" xr3:uid="{A8B6ABC8-837D-42C0-B03A-97D5E2F5B5B7}" name="Kategorie wiekowe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EF96D-20D3-4BD5-AB25-706F6B338490}" name="KategorieUczelni" displayName="KategorieUczelni" ref="B11:C41" totalsRowShown="0" headerRowDxfId="3">
  <autoFilter ref="B11:C41" xr:uid="{153EF96D-20D3-4BD5-AB25-706F6B338490}"/>
  <tableColumns count="2">
    <tableColumn id="1" xr3:uid="{F3934641-58AD-451D-A35B-5D57D7E0E414}" name="Nazwa uczelni" dataDxfId="2"/>
    <tableColumn id="2" xr3:uid="{011F8DAE-7C60-444B-B4A2-78D05A325532}" name="Kategoria uczelni" dataDxfId="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DE2C12-96E3-4A1C-8B94-8F1447F9EB90}" name="SkalaLikerta" displayName="SkalaLikerta" ref="B44:C52" totalsRowShown="0" headerRowDxfId="0">
  <autoFilter ref="B44:C52" xr:uid="{68DE2C12-96E3-4A1C-8B94-8F1447F9EB90}"/>
  <tableColumns count="2">
    <tableColumn id="1" xr3:uid="{6B73594D-97F8-40B5-8D98-2D51B43C79AA}" name="Opis słowny oceny"/>
    <tableColumn id="2" xr3:uid="{804EFE98-5770-4860-8B57-889FCCD88199}" name="Przypisana wartość ocen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7989-50F5-4CE4-9AAF-CCF334716A94}">
  <dimension ref="A4:M604"/>
  <sheetViews>
    <sheetView tabSelected="1" topLeftCell="A513" workbookViewId="0">
      <selection activeCell="D529" sqref="D529"/>
    </sheetView>
  </sheetViews>
  <sheetFormatPr defaultRowHeight="14.25" x14ac:dyDescent="0.45"/>
  <cols>
    <col min="1" max="1" width="51" bestFit="1" customWidth="1"/>
    <col min="2" max="2" width="20.9296875" customWidth="1"/>
    <col min="4" max="4" width="23.53125" customWidth="1"/>
  </cols>
  <sheetData>
    <row r="4" spans="1:3" x14ac:dyDescent="0.45">
      <c r="A4">
        <v>259</v>
      </c>
      <c r="B4" t="s">
        <v>2341</v>
      </c>
    </row>
    <row r="5" spans="1:3" x14ac:dyDescent="0.45">
      <c r="A5">
        <v>138</v>
      </c>
      <c r="B5" t="s">
        <v>2342</v>
      </c>
    </row>
    <row r="6" spans="1:3" x14ac:dyDescent="0.45">
      <c r="A6" s="30">
        <f>A5/A4</f>
        <v>0.53281853281853286</v>
      </c>
      <c r="B6" t="s">
        <v>2345</v>
      </c>
      <c r="C6" s="30"/>
    </row>
    <row r="7" spans="1:3" x14ac:dyDescent="0.45">
      <c r="A7">
        <v>249</v>
      </c>
      <c r="B7" t="s">
        <v>2344</v>
      </c>
    </row>
    <row r="8" spans="1:3" x14ac:dyDescent="0.45">
      <c r="A8">
        <v>133</v>
      </c>
      <c r="B8" t="s">
        <v>2343</v>
      </c>
    </row>
    <row r="9" spans="1:3" x14ac:dyDescent="0.45">
      <c r="A9" s="30">
        <f>A8/A7</f>
        <v>0.53413654618473894</v>
      </c>
      <c r="B9" t="s">
        <v>2345</v>
      </c>
      <c r="C9" s="30"/>
    </row>
    <row r="16" spans="1:3" x14ac:dyDescent="0.45">
      <c r="A16" s="20" t="s">
        <v>2336</v>
      </c>
      <c r="C16" s="20" t="s">
        <v>2305</v>
      </c>
    </row>
    <row r="17" spans="1:4" x14ac:dyDescent="0.45">
      <c r="A17">
        <f>COUNTIFS(AnalizaCzyste[Czy jesteś studentem uczelni wyższej?],"*"&amp;"Tak"&amp;"*")</f>
        <v>14</v>
      </c>
      <c r="B17" s="20" t="s">
        <v>2296</v>
      </c>
      <c r="C17" s="30">
        <f>A17/$A$25</f>
        <v>0.10526315789473684</v>
      </c>
      <c r="D17" s="20" t="s">
        <v>2283</v>
      </c>
    </row>
    <row r="18" spans="1:4" x14ac:dyDescent="0.45">
      <c r="A18">
        <f>COUNTIFS(AnalizaCzyste[Czy jesteś absolwentem uczelni wyższej?],"*"&amp;"Tak"&amp;"*")</f>
        <v>120</v>
      </c>
      <c r="B18" t="s">
        <v>2297</v>
      </c>
      <c r="C18" s="30">
        <f t="shared" ref="C18:C24" si="0">A18/$A$25</f>
        <v>0.90225563909774431</v>
      </c>
      <c r="D18" t="s">
        <v>2281</v>
      </c>
    </row>
    <row r="19" spans="1:4" x14ac:dyDescent="0.45">
      <c r="A19">
        <f>COUNTIF(AnalizaCzyste[Czy jesteś rodzicem / opiekunem absolwenta uczelni wyższej?],"*"&amp;"Tak"&amp;"*")</f>
        <v>17</v>
      </c>
      <c r="B19" t="s">
        <v>2298</v>
      </c>
      <c r="C19" s="30">
        <f t="shared" si="0"/>
        <v>0.12781954887218044</v>
      </c>
      <c r="D19" t="s">
        <v>2284</v>
      </c>
    </row>
    <row r="20" spans="1:4" x14ac:dyDescent="0.45">
      <c r="A20">
        <f>COUNTIF(AnalizaCzyste[Czy jesteś aktualnie pracownikiem administracyjnym uczelni wyższej?],"*"&amp;"Tak"&amp;"*")</f>
        <v>4</v>
      </c>
      <c r="B20" t="s">
        <v>2299</v>
      </c>
      <c r="C20" s="30">
        <f t="shared" si="0"/>
        <v>3.007518796992481E-2</v>
      </c>
      <c r="D20" t="s">
        <v>2285</v>
      </c>
    </row>
    <row r="21" spans="1:4" x14ac:dyDescent="0.45">
      <c r="A21">
        <f>COUNTIF(AnalizaCzyste[Czy jesteś aktualnie pracownikiem naukowym lub dydaktycznym uczelni wyższej?],"*"&amp;"Tak"&amp;"*")</f>
        <v>16</v>
      </c>
      <c r="B21" t="s">
        <v>2300</v>
      </c>
      <c r="C21" s="30">
        <f t="shared" si="0"/>
        <v>0.12030075187969924</v>
      </c>
      <c r="D21" t="s">
        <v>2286</v>
      </c>
    </row>
    <row r="22" spans="1:4" x14ac:dyDescent="0.45">
      <c r="A22">
        <f>COUNTIF(AnalizaCzyste[Czy jesteś przedstawicielem władz uczelni z grupy rektorów, prorektorów, dziekanów, prodziekanów, członków senatu lub członków rady uczelni?],"*"&amp;"Tak"&amp;"*")</f>
        <v>5</v>
      </c>
      <c r="B22" t="s">
        <v>2301</v>
      </c>
      <c r="C22" s="30">
        <f t="shared" si="0"/>
        <v>3.7593984962406013E-2</v>
      </c>
      <c r="D22" t="s">
        <v>2289</v>
      </c>
    </row>
    <row r="23" spans="1:4" x14ac:dyDescent="0.45">
      <c r="A23">
        <f>COUNTIF(AnalizaCzyste[Czy jesteś przedstawicielem firmy, w której są zatrudniani absolwenci uczelni wyższych (tytuł licencjata, magistra lub wyższy)?],"*"&amp;"Tak"&amp;"*")</f>
        <v>18</v>
      </c>
      <c r="B23" t="s">
        <v>2302</v>
      </c>
      <c r="C23" s="30">
        <f t="shared" si="0"/>
        <v>0.13533834586466165</v>
      </c>
      <c r="D23" t="s">
        <v>2291</v>
      </c>
    </row>
    <row r="24" spans="1:4" x14ac:dyDescent="0.45">
      <c r="A24">
        <f>COUNTIF(AnalizaCzyste[Czy jesteś przedstawicielem władz samorządowych lub centralnych Rzeczypospolitej Polskiej?],"*"&amp;"Tak"&amp;"*")</f>
        <v>2</v>
      </c>
      <c r="B24" t="s">
        <v>2303</v>
      </c>
      <c r="C24" s="30">
        <f t="shared" si="0"/>
        <v>1.5037593984962405E-2</v>
      </c>
      <c r="D24" t="s">
        <v>2290</v>
      </c>
    </row>
    <row r="25" spans="1:4" x14ac:dyDescent="0.45">
      <c r="A25" s="29">
        <f>COUNTIF(AnalizaCzyste[Czy jesteś osobą pełnoletnią?],"*"&amp;"Tak"&amp;"*")</f>
        <v>133</v>
      </c>
      <c r="B25" s="29" t="s">
        <v>2304</v>
      </c>
      <c r="C25" s="31">
        <f>SUM(C17:C24)</f>
        <v>1.4736842105263159</v>
      </c>
      <c r="D25" s="32" t="s">
        <v>2306</v>
      </c>
    </row>
    <row r="26" spans="1:4" x14ac:dyDescent="0.45">
      <c r="C26" s="20" t="s">
        <v>2309</v>
      </c>
    </row>
    <row r="28" spans="1:4" x14ac:dyDescent="0.45">
      <c r="A28" s="29" t="s">
        <v>2338</v>
      </c>
      <c r="C28" s="29" t="s">
        <v>2321</v>
      </c>
    </row>
    <row r="29" spans="1:4" x14ac:dyDescent="0.45">
      <c r="A29" s="43">
        <f>COUNTIFS(AnalizaCzyste[Płeć],"*"&amp;B29&amp;"*",AnalizaCzyste[Czy jesteś osobą pełnoletnią?],"*"&amp;"Tak"&amp;"*")</f>
        <v>67</v>
      </c>
      <c r="B29" t="s">
        <v>140</v>
      </c>
      <c r="C29" s="30">
        <f>A29/$A$31</f>
        <v>0.50375939849624063</v>
      </c>
    </row>
    <row r="30" spans="1:4" x14ac:dyDescent="0.45">
      <c r="A30" s="43">
        <f>COUNTIFS(AnalizaCzyste[Płeć],"*"&amp;B30&amp;"*",AnalizaCzyste[Czy jesteś osobą pełnoletnią?],"*"&amp;"Tak"&amp;"*")</f>
        <v>66</v>
      </c>
      <c r="B30" t="s">
        <v>186</v>
      </c>
      <c r="C30" s="30">
        <f>A30/$A$31</f>
        <v>0.49624060150375937</v>
      </c>
    </row>
    <row r="31" spans="1:4" x14ac:dyDescent="0.45">
      <c r="A31" s="29">
        <f>SUM(A29:A30)</f>
        <v>133</v>
      </c>
      <c r="C31" s="33"/>
    </row>
    <row r="33" spans="1:3" x14ac:dyDescent="0.45">
      <c r="A33" s="29" t="s">
        <v>2339</v>
      </c>
    </row>
    <row r="34" spans="1:3" x14ac:dyDescent="0.45">
      <c r="C34" s="29" t="s">
        <v>2321</v>
      </c>
    </row>
    <row r="35" spans="1:3" x14ac:dyDescent="0.45">
      <c r="A35">
        <f>COUNTIFS(AnalizaCzyste[GrupaWiekowa],B35,AnalizaCzyste[Czy jesteś osobą pełnoletnią?],"*"&amp;"Tak"&amp;"*")</f>
        <v>7</v>
      </c>
      <c r="B35" t="s">
        <v>2318</v>
      </c>
      <c r="C35" s="33">
        <f>A35/$A$42</f>
        <v>5.2631578947368418E-2</v>
      </c>
    </row>
    <row r="36" spans="1:3" x14ac:dyDescent="0.45">
      <c r="A36">
        <f>COUNTIFS(AnalizaCzyste[GrupaWiekowa],B36,AnalizaCzyste[Czy jesteś osobą pełnoletnią?],"*"&amp;"Tak"&amp;"*")</f>
        <v>13</v>
      </c>
      <c r="B36" t="s">
        <v>2317</v>
      </c>
      <c r="C36" s="33">
        <f t="shared" ref="C36:C41" si="1">A36/$A$42</f>
        <v>9.7744360902255634E-2</v>
      </c>
    </row>
    <row r="37" spans="1:3" x14ac:dyDescent="0.45">
      <c r="A37">
        <f>COUNTIFS(AnalizaCzyste[GrupaWiekowa],B37,AnalizaCzyste[Czy jesteś osobą pełnoletnią?],"*"&amp;"Tak"&amp;"*")</f>
        <v>10</v>
      </c>
      <c r="B37" t="s">
        <v>2316</v>
      </c>
      <c r="C37" s="33">
        <f t="shared" si="1"/>
        <v>7.5187969924812026E-2</v>
      </c>
    </row>
    <row r="38" spans="1:3" x14ac:dyDescent="0.45">
      <c r="A38">
        <f>COUNTIFS(AnalizaCzyste[GrupaWiekowa],B38,AnalizaCzyste[Czy jesteś osobą pełnoletnią?],"*"&amp;"Tak"&amp;"*")</f>
        <v>30</v>
      </c>
      <c r="B38" t="s">
        <v>2315</v>
      </c>
      <c r="C38" s="33">
        <f t="shared" si="1"/>
        <v>0.22556390977443608</v>
      </c>
    </row>
    <row r="39" spans="1:3" x14ac:dyDescent="0.45">
      <c r="A39">
        <f>COUNTIFS(AnalizaCzyste[GrupaWiekowa],B39,AnalizaCzyste[Czy jesteś osobą pełnoletnią?],"*"&amp;"Tak"&amp;"*")</f>
        <v>61</v>
      </c>
      <c r="B39" t="s">
        <v>2314</v>
      </c>
      <c r="C39" s="33">
        <f t="shared" si="1"/>
        <v>0.45864661654135336</v>
      </c>
    </row>
    <row r="40" spans="1:3" x14ac:dyDescent="0.45">
      <c r="A40">
        <f>COUNTIFS(AnalizaCzyste[GrupaWiekowa],B40,AnalizaCzyste[Czy jesteś osobą pełnoletnią?],"*"&amp;"Tak"&amp;"*")</f>
        <v>9</v>
      </c>
      <c r="B40" t="s">
        <v>2313</v>
      </c>
      <c r="C40" s="33">
        <f t="shared" si="1"/>
        <v>6.7669172932330823E-2</v>
      </c>
    </row>
    <row r="41" spans="1:3" x14ac:dyDescent="0.45">
      <c r="A41">
        <f>COUNTIFS(AnalizaCzyste[GrupaWiekowa],"#N/D",AnalizaCzyste[Czy jesteś osobą pełnoletnią?],"*"&amp;"Tak"&amp;"*")</f>
        <v>3</v>
      </c>
      <c r="B41" s="20" t="s">
        <v>2340</v>
      </c>
      <c r="C41" s="33">
        <f t="shared" si="1"/>
        <v>2.2556390977443608E-2</v>
      </c>
    </row>
    <row r="42" spans="1:3" x14ac:dyDescent="0.45">
      <c r="A42" s="29">
        <f>SUM(A35:A41)</f>
        <v>133</v>
      </c>
    </row>
    <row r="44" spans="1:3" x14ac:dyDescent="0.45">
      <c r="A44" s="29" t="s">
        <v>2346</v>
      </c>
    </row>
    <row r="45" spans="1:3" x14ac:dyDescent="0.45">
      <c r="C45" s="29" t="s">
        <v>2321</v>
      </c>
    </row>
    <row r="46" spans="1:3" x14ac:dyDescent="0.45">
      <c r="A46">
        <f>COUNTIFS(AnalizaCzyste[Z jakiej wielkości miejscowości pochodzisz? (dotyczy miejscowości, w której się wychowałaś/eś],B46,AnalizaCzyste[Czy jesteś osobą pełnoletnią?],"*"&amp;"Tak"&amp;"*")</f>
        <v>60</v>
      </c>
      <c r="B46" t="s">
        <v>141</v>
      </c>
      <c r="C46" s="33">
        <f>A46/$A$52</f>
        <v>0.45112781954887216</v>
      </c>
    </row>
    <row r="47" spans="1:3" x14ac:dyDescent="0.45">
      <c r="A47">
        <f>COUNTIFS(AnalizaCzyste[Z jakiej wielkości miejscowości pochodzisz? (dotyczy miejscowości, w której się wychowałaś/eś],B47,AnalizaCzyste[Czy jesteś osobą pełnoletnią?],"*"&amp;"Tak"&amp;"*")</f>
        <v>24</v>
      </c>
      <c r="B47" t="s">
        <v>398</v>
      </c>
      <c r="C47" s="33">
        <f t="shared" ref="C47:C51" si="2">A47/$A$52</f>
        <v>0.18045112781954886</v>
      </c>
    </row>
    <row r="48" spans="1:3" x14ac:dyDescent="0.45">
      <c r="A48">
        <f>COUNTIFS(AnalizaCzyste[Z jakiej wielkości miejscowości pochodzisz? (dotyczy miejscowości, w której się wychowałaś/eś],B48,AnalizaCzyste[Czy jesteś osobą pełnoletnią?],"*"&amp;"Tak"&amp;"*")</f>
        <v>12</v>
      </c>
      <c r="B48" t="s">
        <v>246</v>
      </c>
      <c r="C48" s="33">
        <f t="shared" si="2"/>
        <v>9.0225563909774431E-2</v>
      </c>
    </row>
    <row r="49" spans="1:5" x14ac:dyDescent="0.45">
      <c r="A49">
        <f>COUNTIFS(AnalizaCzyste[Z jakiej wielkości miejscowości pochodzisz? (dotyczy miejscowości, w której się wychowałaś/eś],B49,AnalizaCzyste[Czy jesteś osobą pełnoletnią?],"*"&amp;"Tak"&amp;"*")</f>
        <v>19</v>
      </c>
      <c r="B49" t="s">
        <v>220</v>
      </c>
      <c r="C49" s="33">
        <f t="shared" si="2"/>
        <v>0.14285714285714285</v>
      </c>
    </row>
    <row r="50" spans="1:5" x14ac:dyDescent="0.45">
      <c r="A50">
        <f>COUNTIFS(AnalizaCzyste[Z jakiej wielkości miejscowości pochodzisz? (dotyczy miejscowości, w której się wychowałaś/eś],B50,AnalizaCzyste[Czy jesteś osobą pełnoletnią?],"*"&amp;"Tak"&amp;"*")</f>
        <v>2</v>
      </c>
      <c r="B50" t="s">
        <v>1630</v>
      </c>
      <c r="C50" s="33">
        <f t="shared" si="2"/>
        <v>1.5037593984962405E-2</v>
      </c>
    </row>
    <row r="51" spans="1:5" x14ac:dyDescent="0.45">
      <c r="A51">
        <f>COUNTIFS(AnalizaCzyste[Z jakiej wielkości miejscowości pochodzisz? (dotyczy miejscowości, w której się wychowałaś/eś],B51,AnalizaCzyste[Czy jesteś osobą pełnoletnią?],"*"&amp;"Tak"&amp;"*")</f>
        <v>16</v>
      </c>
      <c r="B51" t="s">
        <v>483</v>
      </c>
      <c r="C51" s="33">
        <f t="shared" si="2"/>
        <v>0.12030075187969924</v>
      </c>
    </row>
    <row r="52" spans="1:5" x14ac:dyDescent="0.45">
      <c r="A52" s="29">
        <f>SUM(A46:A51)</f>
        <v>133</v>
      </c>
    </row>
    <row r="57" spans="1:5" x14ac:dyDescent="0.45">
      <c r="A57" s="20"/>
    </row>
    <row r="58" spans="1:5" x14ac:dyDescent="0.45">
      <c r="A58" s="29" t="s">
        <v>2295</v>
      </c>
      <c r="B58" s="20"/>
      <c r="C58" t="s">
        <v>2351</v>
      </c>
      <c r="D58" t="s">
        <v>2308</v>
      </c>
    </row>
    <row r="59" spans="1:5" x14ac:dyDescent="0.45">
      <c r="A59" s="30">
        <f t="shared" ref="A59:A66" si="3">B59/$B$67</f>
        <v>2.5000000000000001E-2</v>
      </c>
      <c r="B59" s="34">
        <f>COUNTIFS(AnalizaCzyste[Czy jesteś studentem uczelni wyższej?],"*"&amp;"Tak"&amp;"*",AnalizaCzyste[Czy jesteś absolwentem uczelni wyższej?],"*"&amp;"Tak"&amp;"*")</f>
        <v>3</v>
      </c>
      <c r="C59" s="33">
        <f t="shared" ref="C59:C66" si="4">$B59/$A17</f>
        <v>0.21428571428571427</v>
      </c>
      <c r="D59" s="20" t="s">
        <v>2296</v>
      </c>
      <c r="E59" s="20" t="s">
        <v>2283</v>
      </c>
    </row>
    <row r="60" spans="1:5" x14ac:dyDescent="0.45">
      <c r="A60" s="30">
        <f t="shared" si="3"/>
        <v>0</v>
      </c>
      <c r="B60" s="34"/>
      <c r="C60" s="33">
        <f t="shared" si="4"/>
        <v>0</v>
      </c>
      <c r="D60" t="s">
        <v>2297</v>
      </c>
      <c r="E60" t="s">
        <v>2281</v>
      </c>
    </row>
    <row r="61" spans="1:5" x14ac:dyDescent="0.45">
      <c r="A61" s="30">
        <f t="shared" si="3"/>
        <v>0.14166666666666666</v>
      </c>
      <c r="B61" s="34">
        <f>COUNTIFS(AnalizaCzyste[Czy jesteś rodzicem / opiekunem absolwenta uczelni wyższej?],"*"&amp;"Tak"&amp;"*",AnalizaCzyste[Czy jesteś absolwentem uczelni wyższej?],"*"&amp;"Tak"&amp;"*")</f>
        <v>17</v>
      </c>
      <c r="C61" s="33">
        <f t="shared" si="4"/>
        <v>1</v>
      </c>
      <c r="D61" t="s">
        <v>2298</v>
      </c>
      <c r="E61" t="s">
        <v>2284</v>
      </c>
    </row>
    <row r="62" spans="1:5" x14ac:dyDescent="0.45">
      <c r="A62" s="30">
        <f t="shared" si="3"/>
        <v>3.3333333333333333E-2</v>
      </c>
      <c r="B62" s="34">
        <f>COUNTIFS(AnalizaCzyste[Czy jesteś aktualnie pracownikiem administracyjnym uczelni wyższej?],"*"&amp;"Tak"&amp;"*",AnalizaCzyste[Czy jesteś absolwentem uczelni wyższej?],"*"&amp;"Tak"&amp;"*")</f>
        <v>4</v>
      </c>
      <c r="C62" s="33">
        <f t="shared" si="4"/>
        <v>1</v>
      </c>
      <c r="D62" t="s">
        <v>2299</v>
      </c>
      <c r="E62" t="s">
        <v>2285</v>
      </c>
    </row>
    <row r="63" spans="1:5" x14ac:dyDescent="0.45">
      <c r="A63" s="30">
        <f t="shared" si="3"/>
        <v>0.125</v>
      </c>
      <c r="B63" s="34">
        <f>COUNTIFS(AnalizaCzyste[Czy jesteś aktualnie pracownikiem naukowym lub dydaktycznym uczelni wyższej?],"*"&amp;"Tak"&amp;"*",AnalizaCzyste[Czy jesteś absolwentem uczelni wyższej?],"*"&amp;"Tak"&amp;"*")</f>
        <v>15</v>
      </c>
      <c r="C63" s="33">
        <f t="shared" si="4"/>
        <v>0.9375</v>
      </c>
      <c r="D63" t="s">
        <v>2300</v>
      </c>
      <c r="E63" t="s">
        <v>2286</v>
      </c>
    </row>
    <row r="64" spans="1:5" x14ac:dyDescent="0.45">
      <c r="A64" s="30">
        <f t="shared" si="3"/>
        <v>4.1666666666666664E-2</v>
      </c>
      <c r="B64" s="34">
        <f>COUNTIFS(AnalizaCzyste[Czy jesteś przedstawicielem władz uczelni z grupy rektorów, prorektorów, dziekanów, prodziekanów, członków senatu lub członków rady uczelni?],"*"&amp;"Tak"&amp;"*",AnalizaCzyste[Czy jesteś absolwentem uczelni wyższej?],"*"&amp;"Tak"&amp;"*")</f>
        <v>5</v>
      </c>
      <c r="C64" s="33">
        <f t="shared" si="4"/>
        <v>1</v>
      </c>
      <c r="D64" t="s">
        <v>2301</v>
      </c>
      <c r="E64" t="s">
        <v>2289</v>
      </c>
    </row>
    <row r="65" spans="1:5" x14ac:dyDescent="0.45">
      <c r="A65" s="30">
        <f t="shared" si="3"/>
        <v>0.13333333333333333</v>
      </c>
      <c r="B65" s="34">
        <f>COUNTIFS(AnalizaCzyste[Czy jesteś przedstawicielem firmy, w której są zatrudniani absolwenci uczelni wyższych (tytuł licencjata, magistra lub wyższy)?],"*"&amp;"Tak"&amp;"*",AnalizaCzyste[Czy jesteś absolwentem uczelni wyższej?],"*"&amp;"Tak"&amp;"*")</f>
        <v>16</v>
      </c>
      <c r="C65" s="33">
        <f t="shared" si="4"/>
        <v>0.88888888888888884</v>
      </c>
      <c r="D65" t="s">
        <v>2302</v>
      </c>
      <c r="E65" t="s">
        <v>2291</v>
      </c>
    </row>
    <row r="66" spans="1:5" x14ac:dyDescent="0.45">
      <c r="A66" s="30">
        <f t="shared" si="3"/>
        <v>1.6666666666666666E-2</v>
      </c>
      <c r="B66" s="34">
        <f>COUNTIFS(AnalizaCzyste[Czy jesteś przedstawicielem władz samorządowych lub centralnych Rzeczypospolitej Polskiej?],"*"&amp;"Tak"&amp;"*",AnalizaCzyste[Czy jesteś absolwentem uczelni wyższej?],"*"&amp;"Tak"&amp;"*")</f>
        <v>2</v>
      </c>
      <c r="C66" s="33">
        <f t="shared" si="4"/>
        <v>1</v>
      </c>
      <c r="D66" t="s">
        <v>2303</v>
      </c>
      <c r="E66" t="s">
        <v>2290</v>
      </c>
    </row>
    <row r="67" spans="1:5" ht="15.75" x14ac:dyDescent="0.55000000000000004">
      <c r="A67" s="32">
        <f>SUM(A59:A66)</f>
        <v>0.51666666666666672</v>
      </c>
      <c r="B67" s="29">
        <v>120</v>
      </c>
      <c r="C67" s="32" t="s">
        <v>2306</v>
      </c>
      <c r="D67" s="29" t="s">
        <v>2307</v>
      </c>
    </row>
    <row r="68" spans="1:5" x14ac:dyDescent="0.45">
      <c r="C68" s="20" t="s">
        <v>2309</v>
      </c>
    </row>
    <row r="71" spans="1:5" x14ac:dyDescent="0.45">
      <c r="A71" s="29" t="s">
        <v>2310</v>
      </c>
      <c r="C71" s="29" t="s">
        <v>2321</v>
      </c>
    </row>
    <row r="72" spans="1:5" x14ac:dyDescent="0.45">
      <c r="A72">
        <f>COUNTIFS(AnalizaCzyste[Płeć],"*"&amp;B72&amp;"*",AnalizaCzyste[Czy jesteś absolwentem uczelni wyższej?],"*"&amp;"Tak"&amp;"*")</f>
        <v>58</v>
      </c>
      <c r="B72" t="s">
        <v>140</v>
      </c>
      <c r="C72" s="33">
        <f>A72/$B$67</f>
        <v>0.48333333333333334</v>
      </c>
    </row>
    <row r="73" spans="1:5" x14ac:dyDescent="0.45">
      <c r="A73">
        <f>COUNTIFS(AnalizaCzyste[Płeć],"*"&amp;B73&amp;"*",AnalizaCzyste[Czy jesteś absolwentem uczelni wyższej?],"*"&amp;"Tak"&amp;"*")</f>
        <v>62</v>
      </c>
      <c r="B73" t="s">
        <v>186</v>
      </c>
      <c r="C73" s="33">
        <f>A73/$B$67</f>
        <v>0.51666666666666672</v>
      </c>
    </row>
    <row r="75" spans="1:5" x14ac:dyDescent="0.45">
      <c r="A75" s="29" t="s">
        <v>2311</v>
      </c>
    </row>
    <row r="76" spans="1:5" x14ac:dyDescent="0.45">
      <c r="C76" s="20" t="s">
        <v>2321</v>
      </c>
    </row>
    <row r="77" spans="1:5" x14ac:dyDescent="0.45">
      <c r="A77">
        <f>COUNTIFS(AnalizaCzyste[GrupaWiekowa],B77,AnalizaCzyste[Czy jesteś absolwentem uczelni wyższej?],"*"&amp;"Tak"&amp;"*")</f>
        <v>7</v>
      </c>
      <c r="B77" t="s">
        <v>2318</v>
      </c>
      <c r="C77" s="33">
        <f t="shared" ref="C77:C83" si="5">A77/$A$84</f>
        <v>5.8333333333333334E-2</v>
      </c>
    </row>
    <row r="78" spans="1:5" x14ac:dyDescent="0.45">
      <c r="A78">
        <f>COUNTIFS(AnalizaCzyste[GrupaWiekowa],B78,AnalizaCzyste[Czy jesteś absolwentem uczelni wyższej?],"*"&amp;"Tak"&amp;"*")</f>
        <v>13</v>
      </c>
      <c r="B78" t="s">
        <v>2317</v>
      </c>
      <c r="C78" s="33">
        <f t="shared" si="5"/>
        <v>0.10833333333333334</v>
      </c>
    </row>
    <row r="79" spans="1:5" x14ac:dyDescent="0.45">
      <c r="A79">
        <f>COUNTIFS(AnalizaCzyste[GrupaWiekowa],B79,AnalizaCzyste[Czy jesteś absolwentem uczelni wyższej?],"*"&amp;"Tak"&amp;"*")</f>
        <v>10</v>
      </c>
      <c r="B79" t="s">
        <v>2316</v>
      </c>
      <c r="C79" s="33">
        <f t="shared" si="5"/>
        <v>8.3333333333333329E-2</v>
      </c>
    </row>
    <row r="80" spans="1:5" x14ac:dyDescent="0.45">
      <c r="A80">
        <f>COUNTIFS(AnalizaCzyste[GrupaWiekowa],B80,AnalizaCzyste[Czy jesteś absolwentem uczelni wyższej?],"*"&amp;"Tak"&amp;"*")</f>
        <v>29</v>
      </c>
      <c r="B80" t="s">
        <v>2315</v>
      </c>
      <c r="C80" s="33">
        <f t="shared" si="5"/>
        <v>0.24166666666666667</v>
      </c>
    </row>
    <row r="81" spans="1:3" x14ac:dyDescent="0.45">
      <c r="A81">
        <f>COUNTIFS(AnalizaCzyste[GrupaWiekowa],B81,AnalizaCzyste[Czy jesteś absolwentem uczelni wyższej?],"*"&amp;"Tak"&amp;"*")</f>
        <v>57</v>
      </c>
      <c r="B81" t="s">
        <v>2314</v>
      </c>
      <c r="C81" s="33">
        <f t="shared" si="5"/>
        <v>0.47499999999999998</v>
      </c>
    </row>
    <row r="82" spans="1:3" x14ac:dyDescent="0.45">
      <c r="A82">
        <f>COUNTIFS(AnalizaCzyste[GrupaWiekowa],B82,AnalizaCzyste[Czy jesteś absolwentem uczelni wyższej?],"*"&amp;"Tak"&amp;"*")</f>
        <v>2</v>
      </c>
      <c r="B82" t="s">
        <v>2313</v>
      </c>
      <c r="C82" s="33">
        <f t="shared" si="5"/>
        <v>1.6666666666666666E-2</v>
      </c>
    </row>
    <row r="83" spans="1:3" x14ac:dyDescent="0.45">
      <c r="A83">
        <v>2</v>
      </c>
      <c r="B83" s="20" t="s">
        <v>2340</v>
      </c>
      <c r="C83" s="33">
        <f t="shared" si="5"/>
        <v>1.6666666666666666E-2</v>
      </c>
    </row>
    <row r="84" spans="1:3" x14ac:dyDescent="0.45">
      <c r="A84" s="29">
        <f>SUM(A77:A83)</f>
        <v>120</v>
      </c>
    </row>
    <row r="86" spans="1:3" x14ac:dyDescent="0.45">
      <c r="A86" s="29" t="s">
        <v>2324</v>
      </c>
      <c r="B86" s="29" t="s">
        <v>2323</v>
      </c>
    </row>
    <row r="87" spans="1:3" x14ac:dyDescent="0.45">
      <c r="A87">
        <f>COUNTIFS(AnalizaCzyste[Jak się nazywa uczelnia którą ukończyłeś? (proszę o wybranie jednej uczelni podlegającej ocenie)],B87,AnalizaCzyste[Czy jesteś absolwentem uczelni wyższej?],"*"&amp;"Tak"&amp;"*")</f>
        <v>1</v>
      </c>
      <c r="B87" s="28" t="s">
        <v>987</v>
      </c>
    </row>
    <row r="88" spans="1:3" ht="28.5" x14ac:dyDescent="0.45">
      <c r="A88">
        <f>COUNTIFS(AnalizaCzyste[Jak się nazywa uczelnia którą ukończyłeś? (proszę o wybranie jednej uczelni podlegającej ocenie)],B88,AnalizaCzyste[Czy jesteś absolwentem uczelni wyższej?],"*"&amp;"Tak"&amp;"*")</f>
        <v>2</v>
      </c>
      <c r="B88" s="28" t="s">
        <v>1503</v>
      </c>
    </row>
    <row r="89" spans="1:3" ht="28.5" x14ac:dyDescent="0.45">
      <c r="A89">
        <f>COUNTIFS(AnalizaCzyste[Jak się nazywa uczelnia którą ukończyłeś? (proszę o wybranie jednej uczelni podlegającej ocenie)],B89,AnalizaCzyste[Czy jesteś absolwentem uczelni wyższej?],"*"&amp;"Tak"&amp;"*")</f>
        <v>3</v>
      </c>
      <c r="B89" s="28" t="s">
        <v>234</v>
      </c>
    </row>
    <row r="90" spans="1:3" ht="28.5" x14ac:dyDescent="0.45">
      <c r="A90">
        <f>COUNTIFS(AnalizaCzyste[Jak się nazywa uczelnia którą ukończyłeś? (proszę o wybranie jednej uczelni podlegającej ocenie)],B90,AnalizaCzyste[Czy jesteś absolwentem uczelni wyższej?],"*"&amp;"Tak"&amp;"*")</f>
        <v>1</v>
      </c>
      <c r="B90" s="28" t="s">
        <v>2270</v>
      </c>
    </row>
    <row r="91" spans="1:3" ht="28.5" x14ac:dyDescent="0.45">
      <c r="A91">
        <f>COUNTIFS(AnalizaCzyste[Jak się nazywa uczelnia którą ukończyłeś? (proszę o wybranie jednej uczelni podlegającej ocenie)],B91,AnalizaCzyste[Czy jesteś absolwentem uczelni wyższej?],"*"&amp;"Tak"&amp;"*")</f>
        <v>1</v>
      </c>
      <c r="B91" s="28" t="s">
        <v>2269</v>
      </c>
    </row>
    <row r="92" spans="1:3" ht="28.5" x14ac:dyDescent="0.45">
      <c r="A92">
        <f>COUNTIFS(AnalizaCzyste[Jak się nazywa uczelnia którą ukończyłeś? (proszę o wybranie jednej uczelni podlegającej ocenie)],B92,AnalizaCzyste[Czy jesteś absolwentem uczelni wyższej?],"*"&amp;"Tak"&amp;"*")</f>
        <v>1</v>
      </c>
      <c r="B92" s="28" t="s">
        <v>2268</v>
      </c>
    </row>
    <row r="93" spans="1:3" x14ac:dyDescent="0.45">
      <c r="A93">
        <f>COUNTIFS(AnalizaCzyste[Jak się nazywa uczelnia którą ukończyłeś? (proszę o wybranie jednej uczelni podlegającej ocenie)],B93,AnalizaCzyste[Czy jesteś absolwentem uczelni wyższej?],"*"&amp;"Tak"&amp;"*")</f>
        <v>1</v>
      </c>
      <c r="B93" s="28" t="s">
        <v>995</v>
      </c>
    </row>
    <row r="94" spans="1:3" x14ac:dyDescent="0.45">
      <c r="A94">
        <f>COUNTIFS(AnalizaCzyste[Jak się nazywa uczelnia którą ukończyłeś? (proszę o wybranie jednej uczelni podlegającej ocenie)],B94,AnalizaCzyste[Czy jesteś absolwentem uczelni wyższej?],"*"&amp;"Tak"&amp;"*")</f>
        <v>2</v>
      </c>
      <c r="B94" s="28" t="s">
        <v>1461</v>
      </c>
    </row>
    <row r="95" spans="1:3" ht="28.5" x14ac:dyDescent="0.45">
      <c r="A95">
        <f>COUNTIFS(AnalizaCzyste[Jak się nazywa uczelnia którą ukończyłeś? (proszę o wybranie jednej uczelni podlegającej ocenie)],B95,AnalizaCzyste[Czy jesteś absolwentem uczelni wyższej?],"*"&amp;"Tak"&amp;"*")</f>
        <v>2</v>
      </c>
      <c r="B95" s="28" t="s">
        <v>428</v>
      </c>
    </row>
    <row r="96" spans="1:3" x14ac:dyDescent="0.45">
      <c r="A96">
        <f>COUNTIFS(AnalizaCzyste[Jak się nazywa uczelnia którą ukończyłeś? (proszę o wybranie jednej uczelni podlegającej ocenie)],B96,AnalizaCzyste[Czy jesteś absolwentem uczelni wyższej?],"*"&amp;"Tak"&amp;"*")</f>
        <v>45</v>
      </c>
      <c r="B96" s="28" t="s">
        <v>191</v>
      </c>
    </row>
    <row r="97" spans="1:2" x14ac:dyDescent="0.45">
      <c r="A97">
        <f>COUNTIFS(AnalizaCzyste[Jak się nazywa uczelnia którą ukończyłeś? (proszę o wybranie jednej uczelni podlegającej ocenie)],B97,AnalizaCzyste[Czy jesteś absolwentem uczelni wyższej?],"*"&amp;"Tak"&amp;"*")</f>
        <v>1</v>
      </c>
      <c r="B97" s="28" t="s">
        <v>2322</v>
      </c>
    </row>
    <row r="98" spans="1:2" x14ac:dyDescent="0.45">
      <c r="A98">
        <f>COUNTIFS(AnalizaCzyste[Jak się nazywa uczelnia którą ukończyłeś? (proszę o wybranie jednej uczelni podlegającej ocenie)],B98,AnalizaCzyste[Czy jesteś absolwentem uczelni wyższej?],"*"&amp;"Tak"&amp;"*")</f>
        <v>2</v>
      </c>
      <c r="B98" s="28" t="s">
        <v>1415</v>
      </c>
    </row>
    <row r="99" spans="1:2" x14ac:dyDescent="0.45">
      <c r="A99">
        <f>COUNTIFS(AnalizaCzyste[Jak się nazywa uczelnia którą ukończyłeś? (proszę o wybranie jednej uczelni podlegającej ocenie)],B99,AnalizaCzyste[Czy jesteś absolwentem uczelni wyższej?],"*"&amp;"Tak"&amp;"*")</f>
        <v>2</v>
      </c>
      <c r="B99" s="28" t="s">
        <v>1090</v>
      </c>
    </row>
    <row r="100" spans="1:2" x14ac:dyDescent="0.45">
      <c r="A100">
        <f>COUNTIFS(AnalizaCzyste[Jak się nazywa uczelnia którą ukończyłeś? (proszę o wybranie jednej uczelni podlegającej ocenie)],B100,AnalizaCzyste[Czy jesteś absolwentem uczelni wyższej?],"*"&amp;"Tak"&amp;"*")</f>
        <v>1</v>
      </c>
      <c r="B100" s="28" t="s">
        <v>862</v>
      </c>
    </row>
    <row r="101" spans="1:2" x14ac:dyDescent="0.45">
      <c r="A101">
        <f>COUNTIFS(AnalizaCzyste[Jak się nazywa uczelnia którą ukończyłeś? (proszę o wybranie jednej uczelni podlegającej ocenie)],B101,AnalizaCzyste[Czy jesteś absolwentem uczelni wyższej?],"*"&amp;"Tak"&amp;"*")</f>
        <v>2</v>
      </c>
      <c r="B101" s="28" t="s">
        <v>1290</v>
      </c>
    </row>
    <row r="102" spans="1:2" x14ac:dyDescent="0.45">
      <c r="A102">
        <f>COUNTIFS(AnalizaCzyste[Jak się nazywa uczelnia którą ukończyłeś? (proszę o wybranie jednej uczelni podlegającej ocenie)],B102,AnalizaCzyste[Czy jesteś absolwentem uczelni wyższej?],"*"&amp;"Tak"&amp;"*")</f>
        <v>1</v>
      </c>
      <c r="B102" s="28" t="s">
        <v>1514</v>
      </c>
    </row>
    <row r="103" spans="1:2" ht="28.5" x14ac:dyDescent="0.45">
      <c r="A103">
        <f>COUNTIFS(AnalizaCzyste[Jak się nazywa uczelnia którą ukończyłeś? (proszę o wybranie jednej uczelni podlegającej ocenie)],B103,AnalizaCzyste[Czy jesteś absolwentem uczelni wyższej?],"*"&amp;"Tak"&amp;"*")</f>
        <v>1</v>
      </c>
      <c r="B103" s="28" t="s">
        <v>2271</v>
      </c>
    </row>
    <row r="104" spans="1:2" ht="42.75" x14ac:dyDescent="0.45">
      <c r="A104">
        <f>COUNTIFS(AnalizaCzyste[Jak się nazywa uczelnia którą ukończyłeś? (proszę o wybranie jednej uczelni podlegającej ocenie)],B104,AnalizaCzyste[Czy jesteś absolwentem uczelni wyższej?],"*"&amp;"Tak"&amp;"*")</f>
        <v>1</v>
      </c>
      <c r="B104" s="28" t="s">
        <v>553</v>
      </c>
    </row>
    <row r="105" spans="1:2" ht="28.5" x14ac:dyDescent="0.45">
      <c r="A105">
        <f>COUNTIFS(AnalizaCzyste[Jak się nazywa uczelnia którą ukończyłeś? (proszę o wybranie jednej uczelni podlegającej ocenie)],B105,AnalizaCzyste[Czy jesteś absolwentem uczelni wyższej?],"*"&amp;"Tak"&amp;"*")</f>
        <v>1</v>
      </c>
      <c r="B105" s="28" t="s">
        <v>1472</v>
      </c>
    </row>
    <row r="106" spans="1:2" x14ac:dyDescent="0.45">
      <c r="A106">
        <f>COUNTIFS(AnalizaCzyste[Jak się nazywa uczelnia którą ukończyłeś? (proszę o wybranie jednej uczelni podlegającej ocenie)],B106,AnalizaCzyste[Czy jesteś absolwentem uczelni wyższej?],"*"&amp;"Tak"&amp;"*")</f>
        <v>28</v>
      </c>
      <c r="B106" s="28" t="s">
        <v>223</v>
      </c>
    </row>
    <row r="107" spans="1:2" x14ac:dyDescent="0.45">
      <c r="A107">
        <f>COUNTIFS(AnalizaCzyste[Jak się nazywa uczelnia którą ukończyłeś? (proszę o wybranie jednej uczelni podlegającej ocenie)],B107,AnalizaCzyste[Czy jesteś absolwentem uczelni wyższej?],"*"&amp;"Tak"&amp;"*")</f>
        <v>8</v>
      </c>
      <c r="B107" s="28" t="s">
        <v>445</v>
      </c>
    </row>
    <row r="108" spans="1:2" ht="42.75" x14ac:dyDescent="0.45">
      <c r="A108">
        <f>COUNTIFS(AnalizaCzyste[Jak się nazywa uczelnia którą ukończyłeś? (proszę o wybranie jednej uczelni podlegającej ocenie)],B108,AnalizaCzyste[Czy jesteś absolwentem uczelni wyższej?],"*"&amp;"Tak"&amp;"*")</f>
        <v>1</v>
      </c>
      <c r="B108" s="28" t="s">
        <v>2272</v>
      </c>
    </row>
    <row r="109" spans="1:2" x14ac:dyDescent="0.45">
      <c r="A109">
        <f>COUNTIFS(AnalizaCzyste[Jak się nazywa uczelnia którą ukończyłeś? (proszę o wybranie jednej uczelni podlegającej ocenie)],B109,AnalizaCzyste[Czy jesteś absolwentem uczelni wyższej?],"*"&amp;"Tak"&amp;"*")</f>
        <v>2</v>
      </c>
      <c r="B109" s="28" t="s">
        <v>813</v>
      </c>
    </row>
    <row r="110" spans="1:2" ht="28.5" x14ac:dyDescent="0.45">
      <c r="A110">
        <f>COUNTIFS(AnalizaCzyste[Jak się nazywa uczelnia którą ukończyłeś? (proszę o wybranie jednej uczelni podlegającej ocenie)],B110,AnalizaCzyste[Czy jesteś absolwentem uczelni wyższej?],"*"&amp;"Tak"&amp;"*")</f>
        <v>1</v>
      </c>
      <c r="B110" s="28" t="s">
        <v>1712</v>
      </c>
    </row>
    <row r="111" spans="1:2" ht="28.5" x14ac:dyDescent="0.45">
      <c r="A111">
        <f>COUNTIFS(AnalizaCzyste[Jak się nazywa uczelnia którą ukończyłeś? (proszę o wybranie jednej uczelni podlegającej ocenie)],B111,AnalizaCzyste[Czy jesteś absolwentem uczelni wyższej?],"*"&amp;"Tak"&amp;"*")</f>
        <v>1</v>
      </c>
      <c r="B111" s="28" t="s">
        <v>1636</v>
      </c>
    </row>
    <row r="112" spans="1:2" x14ac:dyDescent="0.45">
      <c r="A112">
        <f>COUNTIFS(AnalizaCzyste[Jak się nazywa uczelnia którą ukończyłeś? (proszę o wybranie jednej uczelni podlegającej ocenie)],B112,AnalizaCzyste[Czy jesteś absolwentem uczelni wyższej?],"*"&amp;"Tak"&amp;"*")</f>
        <v>1</v>
      </c>
      <c r="B112" s="28" t="s">
        <v>975</v>
      </c>
    </row>
    <row r="113" spans="1:3" x14ac:dyDescent="0.45">
      <c r="A113">
        <f>COUNTIFS(AnalizaCzyste[Jak się nazywa uczelnia którą ukończyłeś? (proszę o wybranie jednej uczelni podlegającej ocenie)],B113,AnalizaCzyste[Czy jesteś absolwentem uczelni wyższej?],"*"&amp;"Tak"&amp;"*")</f>
        <v>1</v>
      </c>
      <c r="B113" s="28" t="s">
        <v>701</v>
      </c>
    </row>
    <row r="114" spans="1:3" ht="28.5" x14ac:dyDescent="0.45">
      <c r="A114">
        <f>COUNTIFS(AnalizaCzyste[Jak się nazywa uczelnia którą ukończyłeś? (proszę o wybranie jednej uczelni podlegającej ocenie)],B114,AnalizaCzyste[Czy jesteś absolwentem uczelni wyższej?],"*"&amp;"Tak"&amp;"*")</f>
        <v>1</v>
      </c>
      <c r="B114" s="28" t="s">
        <v>800</v>
      </c>
    </row>
    <row r="115" spans="1:3" x14ac:dyDescent="0.45">
      <c r="A115">
        <f>COUNTIFS(AnalizaCzyste[Jak się nazywa uczelnia którą ukończyłeś? (proszę o wybranie jednej uczelni podlegającej ocenie)],B115,AnalizaCzyste[Czy jesteś absolwentem uczelni wyższej?],"*"&amp;"Tak"&amp;"*")</f>
        <v>2</v>
      </c>
      <c r="B115" s="28" t="s">
        <v>160</v>
      </c>
    </row>
    <row r="116" spans="1:3" x14ac:dyDescent="0.45">
      <c r="A116">
        <f>COUNTIFS(AnalizaCzyste[Jak się nazywa uczelnia którą ukończyłeś? (proszę o wybranie jednej uczelni podlegającej ocenie)],B116,AnalizaCzyste[Czy jesteś absolwentem uczelni wyższej?],"*"&amp;"Tak"&amp;"*")</f>
        <v>3</v>
      </c>
      <c r="B116" s="28" t="s">
        <v>1439</v>
      </c>
    </row>
    <row r="117" spans="1:3" x14ac:dyDescent="0.45">
      <c r="A117" s="29">
        <f>SUM(A87:A116)</f>
        <v>120</v>
      </c>
    </row>
    <row r="119" spans="1:3" x14ac:dyDescent="0.45">
      <c r="A119" s="29" t="s">
        <v>2331</v>
      </c>
      <c r="B119" s="29" t="s">
        <v>2330</v>
      </c>
      <c r="C119" s="29" t="s">
        <v>2337</v>
      </c>
    </row>
    <row r="120" spans="1:3" x14ac:dyDescent="0.45">
      <c r="A120">
        <f>COUNTIFS(AnalizaCzyste[KategoriaUczelni],B120,AnalizaCzyste[Czy jesteś absolwentem uczelni wyższej?],"*"&amp;"Tak"&amp;"*")</f>
        <v>113</v>
      </c>
      <c r="B120" s="20" t="s">
        <v>2325</v>
      </c>
      <c r="C120" s="30">
        <f>A120/$A$123</f>
        <v>0.94166666666666665</v>
      </c>
    </row>
    <row r="121" spans="1:3" x14ac:dyDescent="0.45">
      <c r="A121">
        <f>COUNTIFS(AnalizaCzyste[KategoriaUczelni],B121,AnalizaCzyste[Czy jesteś absolwentem uczelni wyższej?],"*"&amp;"Tak"&amp;"*")</f>
        <v>6</v>
      </c>
      <c r="B121" s="20" t="s">
        <v>2327</v>
      </c>
      <c r="C121" s="30">
        <f>A121/$A$123</f>
        <v>0.05</v>
      </c>
    </row>
    <row r="122" spans="1:3" x14ac:dyDescent="0.45">
      <c r="A122">
        <f>COUNTIFS(AnalizaCzyste[KategoriaUczelni],B122,AnalizaCzyste[Czy jesteś absolwentem uczelni wyższej?],"*"&amp;"Tak"&amp;"*")</f>
        <v>1</v>
      </c>
      <c r="B122" s="20" t="s">
        <v>2326</v>
      </c>
      <c r="C122" s="30">
        <f>A122/$A$123</f>
        <v>8.3333333333333332E-3</v>
      </c>
    </row>
    <row r="123" spans="1:3" x14ac:dyDescent="0.45">
      <c r="A123" s="29">
        <f>SUM(A120:A122)</f>
        <v>120</v>
      </c>
    </row>
    <row r="133" spans="1:7" x14ac:dyDescent="0.45">
      <c r="A133" s="29" t="s">
        <v>2352</v>
      </c>
      <c r="C133" t="s">
        <v>2353</v>
      </c>
      <c r="E133" s="20" t="s">
        <v>2367</v>
      </c>
      <c r="F133" s="20" t="s">
        <v>2368</v>
      </c>
    </row>
    <row r="134" spans="1:7" x14ac:dyDescent="0.45">
      <c r="A134">
        <v>7</v>
      </c>
      <c r="B134" t="s">
        <v>169</v>
      </c>
      <c r="C134">
        <f>COUNTIFS(AnalizaCzyste[Moja satysfakcja z usług edukacyjnych ocenianej uczelni jest wysoka.],B134,AnalizaCzyste[Czy jesteś studentem uczelni wyższej?],"*"&amp;"Tak"&amp;"*")</f>
        <v>3</v>
      </c>
      <c r="D134">
        <f t="shared" ref="D134:D141" si="6">PRODUCT(A134,C134)</f>
        <v>21</v>
      </c>
      <c r="E134" s="46">
        <f>(A134-$D$142)^2</f>
        <v>3.719387755102042</v>
      </c>
      <c r="F134">
        <f>PRODUCT(C134,E134)</f>
        <v>11.158163265306126</v>
      </c>
    </row>
    <row r="135" spans="1:7" x14ac:dyDescent="0.45">
      <c r="A135">
        <v>6</v>
      </c>
      <c r="B135" t="s">
        <v>150</v>
      </c>
      <c r="C135">
        <f>COUNTIFS(AnalizaCzyste[Moja satysfakcja z usług edukacyjnych ocenianej uczelni jest wysoka.],B135,AnalizaCzyste[Czy jesteś studentem uczelni wyższej?],"*"&amp;"Tak"&amp;"*")</f>
        <v>2</v>
      </c>
      <c r="D135">
        <f t="shared" si="6"/>
        <v>12</v>
      </c>
      <c r="E135" s="46">
        <f t="shared" ref="E135:E140" si="7">(A135-$D$142)^2</f>
        <v>0.86224489795918413</v>
      </c>
      <c r="F135">
        <f t="shared" ref="F135:F140" si="8">PRODUCT(C135,E135)</f>
        <v>1.7244897959183683</v>
      </c>
    </row>
    <row r="136" spans="1:7" x14ac:dyDescent="0.45">
      <c r="A136">
        <v>5</v>
      </c>
      <c r="B136" t="s">
        <v>162</v>
      </c>
      <c r="C136">
        <f>COUNTIFS(AnalizaCzyste[Moja satysfakcja z usług edukacyjnych ocenianej uczelni jest wysoka.],B136,AnalizaCzyste[Czy jesteś studentem uczelni wyższej?],"*"&amp;"Tak"&amp;"*")</f>
        <v>5</v>
      </c>
      <c r="D136">
        <f t="shared" si="6"/>
        <v>25</v>
      </c>
      <c r="E136" s="46">
        <f t="shared" si="7"/>
        <v>5.1020408163264946E-3</v>
      </c>
      <c r="F136">
        <f t="shared" si="8"/>
        <v>2.5510204081632473E-2</v>
      </c>
    </row>
    <row r="137" spans="1:7" x14ac:dyDescent="0.45">
      <c r="A137">
        <v>4</v>
      </c>
      <c r="B137" t="s">
        <v>151</v>
      </c>
      <c r="C137">
        <f>COUNTIFS(AnalizaCzyste[Moja satysfakcja z usług edukacyjnych ocenianej uczelni jest wysoka.],B137,AnalizaCzyste[Czy jesteś studentem uczelni wyższej?],"*"&amp;"Tak"&amp;"*")</f>
        <v>2</v>
      </c>
      <c r="D137">
        <f t="shared" si="6"/>
        <v>8</v>
      </c>
      <c r="E137" s="46">
        <f t="shared" si="7"/>
        <v>1.1479591836734688</v>
      </c>
      <c r="F137">
        <f t="shared" si="8"/>
        <v>2.2959183673469377</v>
      </c>
    </row>
    <row r="138" spans="1:7" x14ac:dyDescent="0.45">
      <c r="A138">
        <v>3</v>
      </c>
      <c r="B138" t="s">
        <v>128</v>
      </c>
      <c r="C138">
        <f>COUNTIFS(AnalizaCzyste[Moja satysfakcja z usług edukacyjnych ocenianej uczelni jest wysoka.],B138,AnalizaCzyste[Czy jesteś studentem uczelni wyższej?],"*"&amp;"Tak"&amp;"*")</f>
        <v>1</v>
      </c>
      <c r="D138">
        <f t="shared" si="6"/>
        <v>3</v>
      </c>
      <c r="E138" s="46">
        <f t="shared" si="7"/>
        <v>4.290816326530611</v>
      </c>
      <c r="F138">
        <f t="shared" si="8"/>
        <v>4.290816326530611</v>
      </c>
    </row>
    <row r="139" spans="1:7" x14ac:dyDescent="0.45">
      <c r="A139">
        <v>2</v>
      </c>
      <c r="B139" t="s">
        <v>236</v>
      </c>
      <c r="C139">
        <f>COUNTIFS(AnalizaCzyste[Moja satysfakcja z usług edukacyjnych ocenianej uczelni jest wysoka.],B139,AnalizaCzyste[Czy jesteś studentem uczelni wyższej?],"*"&amp;"Tak"&amp;"*")</f>
        <v>1</v>
      </c>
      <c r="D139">
        <f t="shared" si="6"/>
        <v>2</v>
      </c>
      <c r="E139" s="46">
        <f t="shared" si="7"/>
        <v>9.4336734693877542</v>
      </c>
      <c r="F139">
        <f t="shared" si="8"/>
        <v>9.4336734693877542</v>
      </c>
    </row>
    <row r="140" spans="1:7" x14ac:dyDescent="0.45">
      <c r="A140">
        <v>1</v>
      </c>
      <c r="B140" t="s">
        <v>129</v>
      </c>
      <c r="C140">
        <f>COUNTIFS(AnalizaCzyste[Moja satysfakcja z usług edukacyjnych ocenianej uczelni jest wysoka.],B140,AnalizaCzyste[Czy jesteś studentem uczelni wyższej?],"*"&amp;"Tak"&amp;"*")</f>
        <v>0</v>
      </c>
      <c r="D140">
        <f t="shared" si="6"/>
        <v>0</v>
      </c>
      <c r="E140" s="46">
        <f t="shared" si="7"/>
        <v>16.576530612244895</v>
      </c>
      <c r="F140">
        <f t="shared" si="8"/>
        <v>0</v>
      </c>
    </row>
    <row r="141" spans="1:7" x14ac:dyDescent="0.45">
      <c r="A141" t="s">
        <v>2333</v>
      </c>
      <c r="B141" t="s">
        <v>132</v>
      </c>
      <c r="C141">
        <f>COUNTIFS(AnalizaCzyste[Moja satysfakcja z usług edukacyjnych ocenianej uczelni jest wysoka.],B141,AnalizaCzyste[Czy jesteś studentem uczelni wyższej?],"*"&amp;"Tak"&amp;"*")</f>
        <v>0</v>
      </c>
      <c r="D141">
        <f t="shared" si="6"/>
        <v>0</v>
      </c>
    </row>
    <row r="142" spans="1:7" x14ac:dyDescent="0.45">
      <c r="B142" s="20" t="s">
        <v>2356</v>
      </c>
      <c r="C142" s="29">
        <f>SUM(C134:C141)</f>
        <v>14</v>
      </c>
      <c r="D142" s="46">
        <f>SUM(D134:D141)/C143</f>
        <v>5.0714285714285712</v>
      </c>
      <c r="E142" s="20" t="s">
        <v>2358</v>
      </c>
      <c r="F142" s="46">
        <f>SUM(F134:F141)/(C143-1)</f>
        <v>2.2252747252747254</v>
      </c>
      <c r="G142" s="20" t="s">
        <v>2354</v>
      </c>
    </row>
    <row r="143" spans="1:7" x14ac:dyDescent="0.45">
      <c r="B143" s="20" t="s">
        <v>2357</v>
      </c>
      <c r="C143">
        <f>C142-C141</f>
        <v>14</v>
      </c>
      <c r="D143" s="33">
        <f>D142/7</f>
        <v>0.72448979591836726</v>
      </c>
      <c r="F143" s="46">
        <f>F142^(1/2)</f>
        <v>1.4917354742965407</v>
      </c>
      <c r="G143" t="s">
        <v>2369</v>
      </c>
    </row>
    <row r="145" spans="1:7" x14ac:dyDescent="0.45">
      <c r="A145" s="29" t="s">
        <v>2365</v>
      </c>
      <c r="C145" t="s">
        <v>2353</v>
      </c>
      <c r="E145" s="20" t="s">
        <v>2367</v>
      </c>
      <c r="F145" s="20" t="s">
        <v>2368</v>
      </c>
    </row>
    <row r="146" spans="1:7" x14ac:dyDescent="0.45">
      <c r="A146">
        <v>7</v>
      </c>
      <c r="B146" t="s">
        <v>169</v>
      </c>
      <c r="C146">
        <f>COUNTIFS(AnalizaCzyste[Usługi edukacyjne ocenianej uczelni mają wysoką wartość (okazja / szansa rozwoju własnego lub kariery).],B146,AnalizaCzyste[Czy jesteś studentem uczelni wyższej?],"*"&amp;"Tak"&amp;"*")</f>
        <v>2</v>
      </c>
      <c r="D146">
        <f t="shared" ref="D146:D153" si="9">PRODUCT(A146,C146)</f>
        <v>14</v>
      </c>
      <c r="E146" s="46">
        <f>(A146-$D$154)^2</f>
        <v>4.9030612244897966</v>
      </c>
      <c r="F146">
        <f>PRODUCT(C146,E146)</f>
        <v>9.8061224489795933</v>
      </c>
    </row>
    <row r="147" spans="1:7" x14ac:dyDescent="0.45">
      <c r="A147">
        <v>6</v>
      </c>
      <c r="B147" t="s">
        <v>150</v>
      </c>
      <c r="C147">
        <f>COUNTIFS(AnalizaCzyste[Usługi edukacyjne ocenianej uczelni mają wysoką wartość (okazja / szansa rozwoju własnego lub kariery).],B147,AnalizaCzyste[Czy jesteś studentem uczelni wyższej?],"*"&amp;"Tak"&amp;"*")</f>
        <v>3</v>
      </c>
      <c r="D147">
        <f t="shared" si="9"/>
        <v>18</v>
      </c>
      <c r="E147" s="46">
        <f t="shared" ref="E147:E152" si="10">(A147-$D$154)^2</f>
        <v>1.4744897959183676</v>
      </c>
      <c r="F147">
        <f t="shared" ref="F147:F152" si="11">PRODUCT(C147,E147)</f>
        <v>4.4234693877551026</v>
      </c>
    </row>
    <row r="148" spans="1:7" x14ac:dyDescent="0.45">
      <c r="A148">
        <v>5</v>
      </c>
      <c r="B148" t="s">
        <v>162</v>
      </c>
      <c r="C148">
        <f>COUNTIFS(AnalizaCzyste[Usługi edukacyjne ocenianej uczelni mają wysoką wartość (okazja / szansa rozwoju własnego lub kariery).],B148,AnalizaCzyste[Czy jesteś studentem uczelni wyższej?],"*"&amp;"Tak"&amp;"*")</f>
        <v>5</v>
      </c>
      <c r="D148">
        <f t="shared" si="9"/>
        <v>25</v>
      </c>
      <c r="E148" s="46">
        <f t="shared" si="10"/>
        <v>4.5918367346938826E-2</v>
      </c>
      <c r="F148">
        <f t="shared" si="11"/>
        <v>0.22959183673469413</v>
      </c>
    </row>
    <row r="149" spans="1:7" x14ac:dyDescent="0.45">
      <c r="A149">
        <v>4</v>
      </c>
      <c r="B149" t="s">
        <v>151</v>
      </c>
      <c r="C149">
        <f>COUNTIFS(AnalizaCzyste[Usługi edukacyjne ocenianej uczelni mają wysoką wartość (okazja / szansa rozwoju własnego lub kariery).],B149,AnalizaCzyste[Czy jesteś studentem uczelni wyższej?],"*"&amp;"Tak"&amp;"*")</f>
        <v>0</v>
      </c>
      <c r="D149">
        <f t="shared" si="9"/>
        <v>0</v>
      </c>
      <c r="E149" s="46">
        <f t="shared" si="10"/>
        <v>0.61734693877551006</v>
      </c>
      <c r="F149">
        <f t="shared" si="11"/>
        <v>0</v>
      </c>
    </row>
    <row r="150" spans="1:7" x14ac:dyDescent="0.45">
      <c r="A150">
        <v>3</v>
      </c>
      <c r="B150" t="s">
        <v>128</v>
      </c>
      <c r="C150">
        <f>COUNTIFS(AnalizaCzyste[Usługi edukacyjne ocenianej uczelni mają wysoką wartość (okazja / szansa rozwoju własnego lub kariery).],B150,AnalizaCzyste[Czy jesteś studentem uczelni wyższej?],"*"&amp;"Tak"&amp;"*")</f>
        <v>3</v>
      </c>
      <c r="D150">
        <f t="shared" si="9"/>
        <v>9</v>
      </c>
      <c r="E150" s="46">
        <f t="shared" si="10"/>
        <v>3.1887755102040813</v>
      </c>
      <c r="F150">
        <f t="shared" si="11"/>
        <v>9.566326530612244</v>
      </c>
    </row>
    <row r="151" spans="1:7" x14ac:dyDescent="0.45">
      <c r="A151">
        <v>2</v>
      </c>
      <c r="B151" t="s">
        <v>236</v>
      </c>
      <c r="C151">
        <f>COUNTIFS(AnalizaCzyste[Usługi edukacyjne ocenianej uczelni mają wysoką wartość (okazja / szansa rozwoju własnego lub kariery).],B151,AnalizaCzyste[Czy jesteś studentem uczelni wyższej?],"*"&amp;"Tak"&amp;"*")</f>
        <v>0</v>
      </c>
      <c r="D151">
        <f t="shared" si="9"/>
        <v>0</v>
      </c>
      <c r="E151" s="46">
        <f t="shared" si="10"/>
        <v>7.7602040816326525</v>
      </c>
      <c r="F151">
        <f t="shared" si="11"/>
        <v>0</v>
      </c>
    </row>
    <row r="152" spans="1:7" x14ac:dyDescent="0.45">
      <c r="A152">
        <v>1</v>
      </c>
      <c r="B152" t="s">
        <v>129</v>
      </c>
      <c r="C152">
        <f>COUNTIFS(AnalizaCzyste[Usługi edukacyjne ocenianej uczelni mają wysoką wartość (okazja / szansa rozwoju własnego lub kariery).],B152,AnalizaCzyste[Czy jesteś studentem uczelni wyższej?],"*"&amp;"Tak"&amp;"*")</f>
        <v>1</v>
      </c>
      <c r="D152">
        <f t="shared" si="9"/>
        <v>1</v>
      </c>
      <c r="E152" s="46">
        <f t="shared" si="10"/>
        <v>14.331632653061224</v>
      </c>
      <c r="F152">
        <f t="shared" si="11"/>
        <v>14.331632653061224</v>
      </c>
    </row>
    <row r="153" spans="1:7" x14ac:dyDescent="0.45">
      <c r="A153" t="s">
        <v>2333</v>
      </c>
      <c r="B153" t="s">
        <v>132</v>
      </c>
      <c r="C153">
        <f>COUNTIFS(AnalizaCzyste[Usługi edukacyjne ocenianej uczelni mają wysoką wartość (okazja / szansa rozwoju własnego lub kariery).],B153,AnalizaCzyste[Czy jesteś studentem uczelni wyższej?],"*"&amp;"Tak"&amp;"*")</f>
        <v>0</v>
      </c>
      <c r="D153">
        <f t="shared" si="9"/>
        <v>0</v>
      </c>
    </row>
    <row r="154" spans="1:7" x14ac:dyDescent="0.45">
      <c r="B154" s="20" t="s">
        <v>2356</v>
      </c>
      <c r="C154" s="29">
        <f>SUM(C146:C153)</f>
        <v>14</v>
      </c>
      <c r="D154" s="46">
        <f>SUM(D146:D152)/C155</f>
        <v>4.7857142857142856</v>
      </c>
      <c r="E154" s="20" t="s">
        <v>2358</v>
      </c>
      <c r="F154" s="46">
        <f>SUM(F146:F153)/(C155-1)</f>
        <v>2.9505494505494507</v>
      </c>
      <c r="G154" s="20" t="s">
        <v>2354</v>
      </c>
    </row>
    <row r="155" spans="1:7" x14ac:dyDescent="0.45">
      <c r="B155" s="20" t="s">
        <v>2357</v>
      </c>
      <c r="C155">
        <f>C154-C153</f>
        <v>14</v>
      </c>
      <c r="D155" s="33">
        <f>D154/7</f>
        <v>0.68367346938775508</v>
      </c>
      <c r="F155" s="46">
        <f>F154^(1/2)</f>
        <v>1.7177163475234933</v>
      </c>
      <c r="G155" t="s">
        <v>2369</v>
      </c>
    </row>
    <row r="157" spans="1:7" x14ac:dyDescent="0.45">
      <c r="A157" s="29" t="s">
        <v>2366</v>
      </c>
      <c r="C157" t="s">
        <v>2353</v>
      </c>
      <c r="E157" s="20" t="s">
        <v>2367</v>
      </c>
      <c r="F157" s="20" t="s">
        <v>2368</v>
      </c>
    </row>
    <row r="158" spans="1:7" x14ac:dyDescent="0.45">
      <c r="A158">
        <v>7</v>
      </c>
      <c r="B158" t="s">
        <v>169</v>
      </c>
      <c r="C158">
        <f>COUNTIFS(AnalizaCzyste[Kształcenie na ocenianej uczelni ma/będzie miało pozytywny wpływ na zwiększenie moich zarobków.],B158,AnalizaCzyste[Czy jesteś studentem uczelni wyższej?],"*"&amp;"Tak"&amp;"*")</f>
        <v>2</v>
      </c>
      <c r="D158">
        <f t="shared" ref="D158:D165" si="12">PRODUCT(A158,C158)</f>
        <v>14</v>
      </c>
      <c r="E158" s="46">
        <f>(A158-$D$166)^2</f>
        <v>5.8979591836734704</v>
      </c>
      <c r="F158">
        <f>PRODUCT(C158,E158)</f>
        <v>11.795918367346941</v>
      </c>
    </row>
    <row r="159" spans="1:7" x14ac:dyDescent="0.45">
      <c r="A159">
        <v>6</v>
      </c>
      <c r="B159" t="s">
        <v>150</v>
      </c>
      <c r="C159">
        <f>COUNTIFS(AnalizaCzyste[Kształcenie na ocenianej uczelni ma/będzie miało pozytywny wpływ na zwiększenie moich zarobków.],B159,AnalizaCzyste[Czy jesteś studentem uczelni wyższej?],"*"&amp;"Tak"&amp;"*")</f>
        <v>2</v>
      </c>
      <c r="D159">
        <f t="shared" si="12"/>
        <v>12</v>
      </c>
      <c r="E159" s="46">
        <f t="shared" ref="E159:E164" si="13">(A159-$D$166)^2</f>
        <v>2.0408163265306132</v>
      </c>
      <c r="F159">
        <f t="shared" ref="F159:F164" si="14">PRODUCT(C159,E159)</f>
        <v>4.0816326530612264</v>
      </c>
    </row>
    <row r="160" spans="1:7" x14ac:dyDescent="0.45">
      <c r="A160">
        <v>5</v>
      </c>
      <c r="B160" t="s">
        <v>162</v>
      </c>
      <c r="C160">
        <f>COUNTIFS(AnalizaCzyste[Kształcenie na ocenianej uczelni ma/będzie miało pozytywny wpływ na zwiększenie moich zarobków.],B160,AnalizaCzyste[Czy jesteś studentem uczelni wyższej?],"*"&amp;"Tak"&amp;"*")</f>
        <v>3</v>
      </c>
      <c r="D160">
        <f t="shared" si="12"/>
        <v>15</v>
      </c>
      <c r="E160" s="46">
        <f t="shared" si="13"/>
        <v>0.18367346938775531</v>
      </c>
      <c r="F160">
        <f t="shared" si="14"/>
        <v>0.55102040816326592</v>
      </c>
    </row>
    <row r="161" spans="1:7" x14ac:dyDescent="0.45">
      <c r="A161">
        <v>4</v>
      </c>
      <c r="B161" t="s">
        <v>151</v>
      </c>
      <c r="C161">
        <f>COUNTIFS(AnalizaCzyste[Kształcenie na ocenianej uczelni ma/będzie miało pozytywny wpływ na zwiększenie moich zarobków.],B161,AnalizaCzyste[Czy jesteś studentem uczelni wyższej?],"*"&amp;"Tak"&amp;"*")</f>
        <v>4</v>
      </c>
      <c r="D161">
        <f t="shared" si="12"/>
        <v>16</v>
      </c>
      <c r="E161" s="46">
        <f t="shared" si="13"/>
        <v>0.32653061224489766</v>
      </c>
      <c r="F161">
        <f t="shared" si="14"/>
        <v>1.3061224489795906</v>
      </c>
    </row>
    <row r="162" spans="1:7" x14ac:dyDescent="0.45">
      <c r="A162">
        <v>3</v>
      </c>
      <c r="B162" t="s">
        <v>128</v>
      </c>
      <c r="C162">
        <f>COUNTIFS(AnalizaCzyste[Kształcenie na ocenianej uczelni ma/będzie miało pozytywny wpływ na zwiększenie moich zarobków.],B162,AnalizaCzyste[Czy jesteś studentem uczelni wyższej?],"*"&amp;"Tak"&amp;"*")</f>
        <v>1</v>
      </c>
      <c r="D162">
        <f t="shared" si="12"/>
        <v>3</v>
      </c>
      <c r="E162" s="46">
        <f t="shared" si="13"/>
        <v>2.4693877551020402</v>
      </c>
      <c r="F162">
        <f t="shared" si="14"/>
        <v>2.4693877551020402</v>
      </c>
    </row>
    <row r="163" spans="1:7" x14ac:dyDescent="0.45">
      <c r="A163">
        <v>2</v>
      </c>
      <c r="B163" t="s">
        <v>236</v>
      </c>
      <c r="C163">
        <f>COUNTIFS(AnalizaCzyste[Kształcenie na ocenianej uczelni ma/będzie miało pozytywny wpływ na zwiększenie moich zarobków.],B163,AnalizaCzyste[Czy jesteś studentem uczelni wyższej?],"*"&amp;"Tak"&amp;"*")</f>
        <v>2</v>
      </c>
      <c r="D163">
        <f t="shared" si="12"/>
        <v>4</v>
      </c>
      <c r="E163" s="46">
        <f t="shared" si="13"/>
        <v>6.6122448979591821</v>
      </c>
      <c r="F163">
        <f t="shared" si="14"/>
        <v>13.224489795918364</v>
      </c>
    </row>
    <row r="164" spans="1:7" x14ac:dyDescent="0.45">
      <c r="A164">
        <v>1</v>
      </c>
      <c r="B164" t="s">
        <v>129</v>
      </c>
      <c r="C164">
        <f>COUNTIFS(AnalizaCzyste[Kształcenie na ocenianej uczelni ma/będzie miało pozytywny wpływ na zwiększenie moich zarobków.],B164,AnalizaCzyste[Czy jesteś studentem uczelni wyższej?],"*"&amp;"Tak"&amp;"*")</f>
        <v>0</v>
      </c>
      <c r="D164">
        <f t="shared" si="12"/>
        <v>0</v>
      </c>
      <c r="E164" s="46">
        <f t="shared" si="13"/>
        <v>12.755102040816325</v>
      </c>
      <c r="F164">
        <f t="shared" si="14"/>
        <v>0</v>
      </c>
    </row>
    <row r="165" spans="1:7" x14ac:dyDescent="0.45">
      <c r="A165" t="s">
        <v>2333</v>
      </c>
      <c r="B165" t="s">
        <v>132</v>
      </c>
      <c r="C165">
        <f>COUNTIFS(AnalizaCzyste[Kształcenie na ocenianej uczelni ma/będzie miało pozytywny wpływ na zwiększenie moich zarobków.],B165,AnalizaCzyste[Czy jesteś studentem uczelni wyższej?],"*"&amp;"Tak"&amp;"*")</f>
        <v>0</v>
      </c>
      <c r="D165">
        <f t="shared" si="12"/>
        <v>0</v>
      </c>
    </row>
    <row r="166" spans="1:7" x14ac:dyDescent="0.45">
      <c r="B166" s="20" t="s">
        <v>2356</v>
      </c>
      <c r="C166" s="29">
        <f>SUM(C158:C165)</f>
        <v>14</v>
      </c>
      <c r="D166" s="46">
        <f>SUM(D158:D165)/C167</f>
        <v>4.5714285714285712</v>
      </c>
      <c r="E166" s="20" t="s">
        <v>2358</v>
      </c>
      <c r="F166" s="46">
        <f>SUM(F158:F165)/(C167-1)</f>
        <v>2.5714285714285712</v>
      </c>
      <c r="G166" s="20" t="s">
        <v>2354</v>
      </c>
    </row>
    <row r="167" spans="1:7" x14ac:dyDescent="0.45">
      <c r="B167" s="20" t="s">
        <v>2357</v>
      </c>
      <c r="C167">
        <f>C166-C165</f>
        <v>14</v>
      </c>
      <c r="D167" s="33">
        <f>D166/7</f>
        <v>0.65306122448979587</v>
      </c>
      <c r="F167" s="46">
        <f>F166^(1/2)</f>
        <v>1.6035674514745462</v>
      </c>
      <c r="G167" t="s">
        <v>2369</v>
      </c>
    </row>
    <row r="171" spans="1:7" x14ac:dyDescent="0.45">
      <c r="A171" s="29" t="s">
        <v>2355</v>
      </c>
      <c r="C171" t="s">
        <v>2353</v>
      </c>
      <c r="E171" s="20" t="s">
        <v>2367</v>
      </c>
      <c r="F171" s="20" t="s">
        <v>2368</v>
      </c>
    </row>
    <row r="172" spans="1:7" x14ac:dyDescent="0.45">
      <c r="A172">
        <v>7</v>
      </c>
      <c r="B172" t="s">
        <v>169</v>
      </c>
      <c r="C172">
        <f>COUNTIFS(AnalizaCzyste[Moja satysfakcja z (efektów) usług edukacyjnych ocenianej uczelni jest wysoka.],B172,AnalizaCzyste[Czy jesteś absolwentem uczelni wyższej?],"*"&amp;"Tak"&amp;"*")</f>
        <v>17</v>
      </c>
      <c r="D172">
        <f>PRODUCT(A172,C172)</f>
        <v>119</v>
      </c>
      <c r="E172" s="46">
        <f>(A172-$D$180)^2</f>
        <v>3.2642468752206759</v>
      </c>
      <c r="F172">
        <f>PRODUCT(C172,E172)</f>
        <v>55.492196878751493</v>
      </c>
    </row>
    <row r="173" spans="1:7" x14ac:dyDescent="0.45">
      <c r="A173">
        <v>6</v>
      </c>
      <c r="B173" t="s">
        <v>150</v>
      </c>
      <c r="C173">
        <f>COUNTIFS(AnalizaCzyste[Moja satysfakcja z (efektów) usług edukacyjnych ocenianej uczelni jest wysoka.],B173,AnalizaCzyste[Czy jesteś absolwentem uczelni wyższej?],"*"&amp;"Tak"&amp;"*")</f>
        <v>43</v>
      </c>
      <c r="D173">
        <f t="shared" ref="D173:D179" si="15">PRODUCT(A173,C173)</f>
        <v>258</v>
      </c>
      <c r="E173" s="46">
        <f t="shared" ref="E173:E178" si="16">(A173-$D$180)^2</f>
        <v>0.6508014970694157</v>
      </c>
      <c r="F173">
        <f t="shared" ref="F173:F178" si="17">PRODUCT(C173,E173)</f>
        <v>27.984464373984874</v>
      </c>
    </row>
    <row r="174" spans="1:7" x14ac:dyDescent="0.45">
      <c r="A174">
        <v>5</v>
      </c>
      <c r="B174" t="s">
        <v>162</v>
      </c>
      <c r="C174">
        <f>COUNTIFS(AnalizaCzyste[Moja satysfakcja z (efektów) usług edukacyjnych ocenianej uczelni jest wysoka.],B174,AnalizaCzyste[Czy jesteś absolwentem uczelni wyższej?],"*"&amp;"Tak"&amp;"*")</f>
        <v>32</v>
      </c>
      <c r="D174">
        <f t="shared" si="15"/>
        <v>160</v>
      </c>
      <c r="E174" s="46">
        <f t="shared" si="16"/>
        <v>3.7356118918155573E-2</v>
      </c>
      <c r="F174">
        <f t="shared" si="17"/>
        <v>1.1953958053809783</v>
      </c>
    </row>
    <row r="175" spans="1:7" x14ac:dyDescent="0.45">
      <c r="A175">
        <v>4</v>
      </c>
      <c r="B175" t="s">
        <v>151</v>
      </c>
      <c r="C175">
        <f>COUNTIFS(AnalizaCzyste[Moja satysfakcja z (efektów) usług edukacyjnych ocenianej uczelni jest wysoka.],B175,AnalizaCzyste[Czy jesteś absolwentem uczelni wyższej?],"*"&amp;"Tak"&amp;"*")</f>
        <v>8</v>
      </c>
      <c r="D175">
        <f t="shared" si="15"/>
        <v>32</v>
      </c>
      <c r="E175" s="46">
        <f t="shared" si="16"/>
        <v>1.4239107407668954</v>
      </c>
      <c r="F175">
        <f t="shared" si="17"/>
        <v>11.391285926135163</v>
      </c>
    </row>
    <row r="176" spans="1:7" x14ac:dyDescent="0.45">
      <c r="A176">
        <v>3</v>
      </c>
      <c r="B176" t="s">
        <v>128</v>
      </c>
      <c r="C176">
        <f>COUNTIFS(AnalizaCzyste[Moja satysfakcja z (efektów) usług edukacyjnych ocenianej uczelni jest wysoka.],B176,AnalizaCzyste[Czy jesteś absolwentem uczelni wyższej?],"*"&amp;"Tak"&amp;"*")</f>
        <v>12</v>
      </c>
      <c r="D176">
        <f t="shared" si="15"/>
        <v>36</v>
      </c>
      <c r="E176" s="46">
        <f t="shared" si="16"/>
        <v>4.8104653626156351</v>
      </c>
      <c r="F176">
        <f t="shared" si="17"/>
        <v>57.725584351387624</v>
      </c>
    </row>
    <row r="177" spans="1:7" x14ac:dyDescent="0.45">
      <c r="A177">
        <v>2</v>
      </c>
      <c r="B177" t="s">
        <v>236</v>
      </c>
      <c r="C177">
        <f>COUNTIFS(AnalizaCzyste[Moja satysfakcja z (efektów) usług edukacyjnych ocenianej uczelni jest wysoka.],B177,AnalizaCzyste[Czy jesteś absolwentem uczelni wyższej?],"*"&amp;"Tak"&amp;"*")</f>
        <v>6</v>
      </c>
      <c r="D177">
        <f t="shared" si="15"/>
        <v>12</v>
      </c>
      <c r="E177" s="46">
        <f t="shared" si="16"/>
        <v>10.197019984464376</v>
      </c>
      <c r="F177">
        <f t="shared" si="17"/>
        <v>61.182119906786255</v>
      </c>
    </row>
    <row r="178" spans="1:7" x14ac:dyDescent="0.45">
      <c r="A178">
        <v>1</v>
      </c>
      <c r="B178" t="s">
        <v>129</v>
      </c>
      <c r="C178">
        <f>COUNTIFS(AnalizaCzyste[Moja satysfakcja z (efektów) usług edukacyjnych ocenianej uczelni jest wysoka.],B178,AnalizaCzyste[Czy jesteś absolwentem uczelni wyższej?],"*"&amp;"Tak"&amp;"*")</f>
        <v>1</v>
      </c>
      <c r="D178">
        <f t="shared" si="15"/>
        <v>1</v>
      </c>
      <c r="E178" s="46">
        <f t="shared" si="16"/>
        <v>17.583574606313114</v>
      </c>
      <c r="F178">
        <f t="shared" si="17"/>
        <v>17.583574606313114</v>
      </c>
    </row>
    <row r="179" spans="1:7" x14ac:dyDescent="0.45">
      <c r="A179" t="s">
        <v>2333</v>
      </c>
      <c r="B179" t="s">
        <v>132</v>
      </c>
      <c r="C179">
        <f>COUNTIFS(AnalizaCzyste[Moja satysfakcja z (efektów) usług edukacyjnych ocenianej uczelni jest wysoka.],B179,AnalizaCzyste[Czy jesteś absolwentem uczelni wyższej?],"*"&amp;"Tak"&amp;"*")</f>
        <v>1</v>
      </c>
      <c r="D179">
        <f t="shared" si="15"/>
        <v>1</v>
      </c>
    </row>
    <row r="180" spans="1:7" x14ac:dyDescent="0.45">
      <c r="B180" s="20" t="s">
        <v>2356</v>
      </c>
      <c r="C180" s="29">
        <f>SUM(C172:C179)</f>
        <v>120</v>
      </c>
      <c r="D180" s="46">
        <f>SUM(D172:D178)/C181</f>
        <v>5.1932773109243699</v>
      </c>
      <c r="E180" s="20" t="s">
        <v>2358</v>
      </c>
      <c r="F180" s="46">
        <f>SUM(F172:F179)/(C181-1)</f>
        <v>1.9708018800740637</v>
      </c>
      <c r="G180" s="20" t="s">
        <v>2354</v>
      </c>
    </row>
    <row r="181" spans="1:7" x14ac:dyDescent="0.45">
      <c r="B181" s="20" t="s">
        <v>2357</v>
      </c>
      <c r="C181">
        <f>C180-C179</f>
        <v>119</v>
      </c>
      <c r="D181" s="33">
        <f>D180/7</f>
        <v>0.74189675870348137</v>
      </c>
      <c r="F181" s="46">
        <f>F180^(1/2)</f>
        <v>1.4038525136473787</v>
      </c>
      <c r="G181" t="s">
        <v>2369</v>
      </c>
    </row>
    <row r="182" spans="1:7" x14ac:dyDescent="0.45">
      <c r="B182" s="20"/>
      <c r="D182" s="33"/>
    </row>
    <row r="183" spans="1:7" x14ac:dyDescent="0.45">
      <c r="A183" s="29" t="s">
        <v>2370</v>
      </c>
      <c r="C183" t="s">
        <v>2353</v>
      </c>
      <c r="E183" s="20" t="s">
        <v>2367</v>
      </c>
      <c r="F183" s="20" t="s">
        <v>2368</v>
      </c>
    </row>
    <row r="184" spans="1:7" x14ac:dyDescent="0.45">
      <c r="A184">
        <v>7</v>
      </c>
      <c r="B184" t="s">
        <v>169</v>
      </c>
      <c r="C184">
        <f>COUNTIFS(AnalizaCzyste[Usługi edukacyjne ocenianej uczelni mają wysoką wartość (okazja / szansa rozwoju własnego lub kariery).3],B184,AnalizaCzyste[Czy jesteś absolwentem uczelni wyższej?],"*"&amp;"Tak"&amp;"*")</f>
        <v>19</v>
      </c>
      <c r="D184">
        <f>PRODUCT(A184,C184)</f>
        <v>133</v>
      </c>
      <c r="E184" s="46">
        <f>(A184-$D$192)^2</f>
        <v>3.5749593955229164</v>
      </c>
      <c r="F184">
        <f>PRODUCT(C184,E184)</f>
        <v>67.924228514935407</v>
      </c>
    </row>
    <row r="185" spans="1:7" x14ac:dyDescent="0.45">
      <c r="A185">
        <v>6</v>
      </c>
      <c r="B185" t="s">
        <v>150</v>
      </c>
      <c r="C185">
        <f>COUNTIFS(AnalizaCzyste[Usługi edukacyjne ocenianej uczelni mają wysoką wartość (okazja / szansa rozwoju własnego lub kariery).3],B185,AnalizaCzyste[Czy jesteś absolwentem uczelni wyższej?],"*"&amp;"Tak"&amp;"*")</f>
        <v>34</v>
      </c>
      <c r="D185">
        <f t="shared" ref="D185:D191" si="18">PRODUCT(A185,C185)</f>
        <v>204</v>
      </c>
      <c r="E185" s="46">
        <f t="shared" ref="E185:E190" si="19">(A185-$D$192)^2</f>
        <v>0.79344679048089894</v>
      </c>
      <c r="F185">
        <f t="shared" ref="F185:F190" si="20">PRODUCT(C185,E185)</f>
        <v>26.977190876350566</v>
      </c>
    </row>
    <row r="186" spans="1:7" x14ac:dyDescent="0.45">
      <c r="A186">
        <v>5</v>
      </c>
      <c r="B186" t="s">
        <v>162</v>
      </c>
      <c r="C186">
        <f>COUNTIFS(AnalizaCzyste[Usługi edukacyjne ocenianej uczelni mają wysoką wartość (okazja / szansa rozwoju własnego lub kariery).3],B186,AnalizaCzyste[Czy jesteś absolwentem uczelni wyższej?],"*"&amp;"Tak"&amp;"*")</f>
        <v>32</v>
      </c>
      <c r="D186">
        <f t="shared" si="18"/>
        <v>160</v>
      </c>
      <c r="E186" s="46">
        <f t="shared" si="19"/>
        <v>1.193418543888135E-2</v>
      </c>
      <c r="F186">
        <f t="shared" si="20"/>
        <v>0.38189393404420319</v>
      </c>
    </row>
    <row r="187" spans="1:7" x14ac:dyDescent="0.45">
      <c r="A187">
        <v>4</v>
      </c>
      <c r="B187" t="s">
        <v>151</v>
      </c>
      <c r="C187">
        <f>COUNTIFS(AnalizaCzyste[Usługi edukacyjne ocenianej uczelni mają wysoką wartość (okazja / szansa rozwoju własnego lub kariery).3],B187,AnalizaCzyste[Czy jesteś absolwentem uczelni wyższej?],"*"&amp;"Tak"&amp;"*")</f>
        <v>18</v>
      </c>
      <c r="D187">
        <f t="shared" si="18"/>
        <v>72</v>
      </c>
      <c r="E187" s="46">
        <f t="shared" si="19"/>
        <v>1.2304215803968637</v>
      </c>
      <c r="F187">
        <f t="shared" si="20"/>
        <v>22.147588447143548</v>
      </c>
    </row>
    <row r="188" spans="1:7" x14ac:dyDescent="0.45">
      <c r="A188">
        <v>3</v>
      </c>
      <c r="B188" t="s">
        <v>128</v>
      </c>
      <c r="C188">
        <f>COUNTIFS(AnalizaCzyste[Usługi edukacyjne ocenianej uczelni mają wysoką wartość (okazja / szansa rozwoju własnego lub kariery).3],B188,AnalizaCzyste[Czy jesteś absolwentem uczelni wyższej?],"*"&amp;"Tak"&amp;"*")</f>
        <v>9</v>
      </c>
      <c r="D188">
        <f t="shared" si="18"/>
        <v>27</v>
      </c>
      <c r="E188" s="46">
        <f t="shared" si="19"/>
        <v>4.4489089753548461</v>
      </c>
      <c r="F188">
        <f t="shared" si="20"/>
        <v>40.040180778193616</v>
      </c>
    </row>
    <row r="189" spans="1:7" x14ac:dyDescent="0.45">
      <c r="A189">
        <v>2</v>
      </c>
      <c r="B189" t="s">
        <v>236</v>
      </c>
      <c r="C189">
        <f>COUNTIFS(AnalizaCzyste[Usługi edukacyjne ocenianej uczelni mają wysoką wartość (okazja / szansa rozwoju własnego lub kariery).3],B189,AnalizaCzyste[Czy jesteś absolwentem uczelni wyższej?],"*"&amp;"Tak"&amp;"*")</f>
        <v>5</v>
      </c>
      <c r="D189">
        <f t="shared" si="18"/>
        <v>10</v>
      </c>
      <c r="E189" s="46">
        <f t="shared" si="19"/>
        <v>9.6673963703128294</v>
      </c>
      <c r="F189">
        <f t="shared" si="20"/>
        <v>48.336981851564147</v>
      </c>
    </row>
    <row r="190" spans="1:7" x14ac:dyDescent="0.45">
      <c r="A190">
        <v>1</v>
      </c>
      <c r="B190" t="s">
        <v>129</v>
      </c>
      <c r="C190">
        <f>COUNTIFS(AnalizaCzyste[Usługi edukacyjne ocenianej uczelni mają wysoką wartość (okazja / szansa rozwoju własnego lub kariery).3],B190,AnalizaCzyste[Czy jesteś absolwentem uczelni wyższej?],"*"&amp;"Tak"&amp;"*")</f>
        <v>2</v>
      </c>
      <c r="D190">
        <f t="shared" si="18"/>
        <v>2</v>
      </c>
      <c r="E190" s="46">
        <f t="shared" si="19"/>
        <v>16.885883765270812</v>
      </c>
      <c r="F190">
        <f t="shared" si="20"/>
        <v>33.771767530541624</v>
      </c>
    </row>
    <row r="191" spans="1:7" x14ac:dyDescent="0.45">
      <c r="A191" t="s">
        <v>2333</v>
      </c>
      <c r="B191" t="s">
        <v>132</v>
      </c>
      <c r="C191">
        <f>COUNTIFS(AnalizaCzyste[Usługi edukacyjne ocenianej uczelni mają wysoką wartość (okazja / szansa rozwoju własnego lub kariery).3],B191,AnalizaCzyste[Czy jesteś absolwentem uczelni wyższej?],"*"&amp;"Tak"&amp;"*")</f>
        <v>1</v>
      </c>
      <c r="D191">
        <f t="shared" si="18"/>
        <v>1</v>
      </c>
    </row>
    <row r="192" spans="1:7" x14ac:dyDescent="0.45">
      <c r="B192" s="20" t="s">
        <v>2356</v>
      </c>
      <c r="C192" s="29">
        <f>SUM(C184:C191)</f>
        <v>120</v>
      </c>
      <c r="D192" s="46">
        <f>SUM(D184:D190)/C193</f>
        <v>5.1092436974789912</v>
      </c>
      <c r="E192" s="20" t="s">
        <v>2358</v>
      </c>
      <c r="F192" s="46">
        <f>SUM(F184:F191)/(C193-1)</f>
        <v>2.0303375587523145</v>
      </c>
      <c r="G192" s="20" t="s">
        <v>2354</v>
      </c>
    </row>
    <row r="193" spans="1:12" x14ac:dyDescent="0.45">
      <c r="B193" s="20" t="s">
        <v>2357</v>
      </c>
      <c r="C193">
        <f>C192-C191</f>
        <v>119</v>
      </c>
      <c r="D193" s="33">
        <f>D192/7</f>
        <v>0.72989195678271301</v>
      </c>
      <c r="F193" s="46">
        <f>F192^(1/2)</f>
        <v>1.424899139852472</v>
      </c>
      <c r="G193" t="s">
        <v>2369</v>
      </c>
    </row>
    <row r="194" spans="1:12" x14ac:dyDescent="0.45">
      <c r="B194" s="20"/>
      <c r="D194" s="33"/>
    </row>
    <row r="195" spans="1:12" x14ac:dyDescent="0.45">
      <c r="A195" s="29" t="s">
        <v>2371</v>
      </c>
      <c r="C195" t="s">
        <v>2353</v>
      </c>
      <c r="E195" s="20" t="s">
        <v>2367</v>
      </c>
      <c r="F195" s="20" t="s">
        <v>2368</v>
      </c>
    </row>
    <row r="196" spans="1:12" x14ac:dyDescent="0.45">
      <c r="A196">
        <v>7</v>
      </c>
      <c r="B196" t="s">
        <v>169</v>
      </c>
      <c r="C196">
        <f>COUNTIFS(AnalizaCzyste[Kształcenie na ocenianej uczelni ma/miało pozytywny wpływ na zwiększenie moich zarobków.],B196,AnalizaCzyste[Czy jesteś absolwentem uczelni wyższej?],"*"&amp;"Tak"&amp;"*")</f>
        <v>26</v>
      </c>
      <c r="D196">
        <f>PRODUCT(A196,C196)</f>
        <v>182</v>
      </c>
      <c r="E196" s="46">
        <f>(A196-$D$204)^2</f>
        <v>4.1698326389379279</v>
      </c>
      <c r="F196">
        <f>PRODUCT(C196,E196)</f>
        <v>108.41564861238612</v>
      </c>
    </row>
    <row r="197" spans="1:12" x14ac:dyDescent="0.45">
      <c r="A197">
        <v>6</v>
      </c>
      <c r="B197" t="s">
        <v>150</v>
      </c>
      <c r="C197">
        <f>COUNTIFS(AnalizaCzyste[Kształcenie na ocenianej uczelni ma/miało pozytywny wpływ na zwiększenie moich zarobków.],B197,AnalizaCzyste[Czy jesteś absolwentem uczelni wyższej?],"*"&amp;"Tak"&amp;"*")</f>
        <v>28</v>
      </c>
      <c r="D197">
        <f t="shared" ref="D197:D203" si="21">PRODUCT(A197,C197)</f>
        <v>168</v>
      </c>
      <c r="E197" s="46">
        <f t="shared" ref="E197:E202" si="22">(A197-$D$204)^2</f>
        <v>1.0857990254925496</v>
      </c>
      <c r="F197">
        <f t="shared" ref="F197:F202" si="23">PRODUCT(C197,E197)</f>
        <v>30.402372713791387</v>
      </c>
    </row>
    <row r="198" spans="1:12" x14ac:dyDescent="0.45">
      <c r="A198">
        <v>5</v>
      </c>
      <c r="B198" t="s">
        <v>162</v>
      </c>
      <c r="C198">
        <f>COUNTIFS(AnalizaCzyste[Kształcenie na ocenianej uczelni ma/miało pozytywny wpływ na zwiększenie moich zarobków.],B198,AnalizaCzyste[Czy jesteś absolwentem uczelni wyższej?],"*"&amp;"Tak"&amp;"*")</f>
        <v>27</v>
      </c>
      <c r="D198">
        <f t="shared" si="21"/>
        <v>135</v>
      </c>
      <c r="E198" s="46">
        <f t="shared" si="22"/>
        <v>1.7654120471717973E-3</v>
      </c>
      <c r="F198">
        <f t="shared" si="23"/>
        <v>4.7666125273638525E-2</v>
      </c>
    </row>
    <row r="199" spans="1:12" x14ac:dyDescent="0.45">
      <c r="A199">
        <v>4</v>
      </c>
      <c r="B199" t="s">
        <v>151</v>
      </c>
      <c r="C199">
        <f>COUNTIFS(AnalizaCzyste[Kształcenie na ocenianej uczelni ma/miało pozytywny wpływ na zwiększenie moich zarobków.],B199,AnalizaCzyste[Czy jesteś absolwentem uczelni wyższej?],"*"&amp;"Tak"&amp;"*")</f>
        <v>13</v>
      </c>
      <c r="D199">
        <f t="shared" si="21"/>
        <v>52</v>
      </c>
      <c r="E199" s="46">
        <f t="shared" si="22"/>
        <v>0.91773179860179399</v>
      </c>
      <c r="F199">
        <f t="shared" si="23"/>
        <v>11.930513381823323</v>
      </c>
    </row>
    <row r="200" spans="1:12" x14ac:dyDescent="0.45">
      <c r="A200">
        <v>3</v>
      </c>
      <c r="B200" t="s">
        <v>128</v>
      </c>
      <c r="C200">
        <f>COUNTIFS(AnalizaCzyste[Kształcenie na ocenianej uczelni ma/miało pozytywny wpływ na zwiększenie moich zarobków.],B200,AnalizaCzyste[Czy jesteś absolwentem uczelni wyższej?],"*"&amp;"Tak"&amp;"*")</f>
        <v>11</v>
      </c>
      <c r="D200">
        <f t="shared" si="21"/>
        <v>33</v>
      </c>
      <c r="E200" s="46">
        <f t="shared" si="22"/>
        <v>3.833698185156416</v>
      </c>
      <c r="F200">
        <f t="shared" si="23"/>
        <v>42.170680036720576</v>
      </c>
    </row>
    <row r="201" spans="1:12" x14ac:dyDescent="0.45">
      <c r="A201">
        <v>2</v>
      </c>
      <c r="B201" t="s">
        <v>236</v>
      </c>
      <c r="C201">
        <f>COUNTIFS(AnalizaCzyste[Kształcenie na ocenianej uczelni ma/miało pozytywny wpływ na zwiększenie moich zarobków.],B201,AnalizaCzyste[Czy jesteś absolwentem uczelni wyższej?],"*"&amp;"Tak"&amp;"*")</f>
        <v>6</v>
      </c>
      <c r="D201">
        <f t="shared" si="21"/>
        <v>12</v>
      </c>
      <c r="E201" s="46">
        <f t="shared" si="22"/>
        <v>8.7496645717110386</v>
      </c>
      <c r="F201">
        <f t="shared" si="23"/>
        <v>52.497987430266235</v>
      </c>
    </row>
    <row r="202" spans="1:12" x14ac:dyDescent="0.45">
      <c r="A202">
        <v>1</v>
      </c>
      <c r="B202" t="s">
        <v>129</v>
      </c>
      <c r="C202">
        <f>COUNTIFS(AnalizaCzyste[Kształcenie na ocenianej uczelni ma/miało pozytywny wpływ na zwiększenie moich zarobków.],B202,AnalizaCzyste[Czy jesteś absolwentem uczelni wyższej?],"*"&amp;"Tak"&amp;"*")</f>
        <v>8</v>
      </c>
      <c r="D202">
        <f t="shared" si="21"/>
        <v>8</v>
      </c>
      <c r="E202" s="46">
        <f t="shared" si="22"/>
        <v>15.665630958265661</v>
      </c>
      <c r="F202">
        <f t="shared" si="23"/>
        <v>125.32504766612529</v>
      </c>
    </row>
    <row r="203" spans="1:12" x14ac:dyDescent="0.45">
      <c r="A203" t="s">
        <v>2333</v>
      </c>
      <c r="B203" t="s">
        <v>132</v>
      </c>
      <c r="C203">
        <f>COUNTIFS(AnalizaCzyste[Kształcenie na ocenianej uczelni ma/miało pozytywny wpływ na zwiększenie moich zarobków.],B203,AnalizaCzyste[Czy jesteś absolwentem uczelni wyższej?],"*"&amp;"Tak"&amp;"*")</f>
        <v>1</v>
      </c>
      <c r="D203">
        <f t="shared" si="21"/>
        <v>1</v>
      </c>
    </row>
    <row r="204" spans="1:12" x14ac:dyDescent="0.45">
      <c r="B204" s="20" t="s">
        <v>2356</v>
      </c>
      <c r="C204" s="29">
        <f>SUM(C196:C203)</f>
        <v>120</v>
      </c>
      <c r="D204" s="46">
        <f>SUM(D196:D202)/C205</f>
        <v>4.9579831932773111</v>
      </c>
      <c r="E204" s="20" t="s">
        <v>2358</v>
      </c>
      <c r="F204" s="46">
        <f>SUM(F196:F203)/(C205-1)</f>
        <v>3.1422874234439537</v>
      </c>
      <c r="G204" s="20" t="s">
        <v>2354</v>
      </c>
    </row>
    <row r="205" spans="1:12" x14ac:dyDescent="0.45">
      <c r="B205" s="20" t="s">
        <v>2357</v>
      </c>
      <c r="C205">
        <f>C204-C203</f>
        <v>119</v>
      </c>
      <c r="D205" s="33">
        <f>D204/7</f>
        <v>0.70828331332533012</v>
      </c>
      <c r="F205" s="46">
        <f>F204^(1/2)</f>
        <v>1.7726498310281007</v>
      </c>
      <c r="G205" t="s">
        <v>2369</v>
      </c>
    </row>
    <row r="206" spans="1:12" x14ac:dyDescent="0.45">
      <c r="B206" s="20"/>
      <c r="D206" s="33"/>
    </row>
    <row r="207" spans="1:12" x14ac:dyDescent="0.45">
      <c r="A207" s="29" t="s">
        <v>2359</v>
      </c>
      <c r="C207" t="s">
        <v>2373</v>
      </c>
      <c r="D207" t="s">
        <v>2374</v>
      </c>
      <c r="E207" t="s">
        <v>2375</v>
      </c>
      <c r="F207" s="20" t="s">
        <v>2380</v>
      </c>
      <c r="G207" s="20" t="s">
        <v>2376</v>
      </c>
      <c r="H207" s="20" t="s">
        <v>2377</v>
      </c>
      <c r="I207" s="20" t="s">
        <v>2378</v>
      </c>
      <c r="J207" s="20" t="s">
        <v>2379</v>
      </c>
      <c r="K207" s="20" t="s">
        <v>2367</v>
      </c>
      <c r="L207" s="20" t="s">
        <v>2368</v>
      </c>
    </row>
    <row r="208" spans="1:12" x14ac:dyDescent="0.45">
      <c r="A208">
        <v>7</v>
      </c>
      <c r="B208" t="s">
        <v>169</v>
      </c>
      <c r="C208">
        <f>COUNTIFS(AnalizaCzyste[Moja satysfakcja z (efektów) usług edukacyjnych ocenianej uczelni jest wysoka.8],B208,AnalizaCzyste[Czy jesteś rodzicem / opiekunem absolwenta uczelni wyższej?],"*"&amp;"Tak"&amp;"*")</f>
        <v>6</v>
      </c>
      <c r="D208">
        <f>COUNTIFS(AnalizaCzyste[Moja satysfakcja z (efektów) usług edukacyjnych ocenianej uczelni jest wysoka.15],B208,AnalizaCzyste[Czy jesteś rodzicem / opiekunem absolwenta uczelni wyższej?],"*"&amp;"Tak"&amp;"*")</f>
        <v>1</v>
      </c>
      <c r="E208">
        <f>COUNTIFS(AnalizaCzyste[Moja satysfakcja z (efektów) usług edukacyjnych ocenianej uczelni jest wysoka.29],B208,AnalizaCzyste[Czy jesteś rodzicem / opiekunem absolwenta uczelni wyższej?],"*"&amp;"Tak"&amp;"*")</f>
        <v>1</v>
      </c>
      <c r="F208">
        <f>SUM(C208:E208)</f>
        <v>8</v>
      </c>
      <c r="G208">
        <f>PRODUCT($A208,C208)</f>
        <v>42</v>
      </c>
      <c r="H208">
        <f t="shared" ref="H208:I208" si="24">PRODUCT($A208,D208)</f>
        <v>7</v>
      </c>
      <c r="I208">
        <f t="shared" si="24"/>
        <v>7</v>
      </c>
      <c r="J208">
        <f>SUM(G208:I208)</f>
        <v>56</v>
      </c>
      <c r="K208" s="46">
        <f>(A208-$J$216)^2</f>
        <v>1.7013232514177683</v>
      </c>
      <c r="L208">
        <f>PRODUCT(F208,K208)</f>
        <v>13.610586011342146</v>
      </c>
    </row>
    <row r="209" spans="1:13" x14ac:dyDescent="0.45">
      <c r="A209">
        <v>6</v>
      </c>
      <c r="B209" t="s">
        <v>150</v>
      </c>
      <c r="C209">
        <f>COUNTIFS(AnalizaCzyste[Moja satysfakcja z (efektów) usług edukacyjnych ocenianej uczelni jest wysoka.8],B209,AnalizaCzyste[Czy jesteś rodzicem / opiekunem absolwenta uczelni wyższej?],"*"&amp;"Tak"&amp;"*")</f>
        <v>5</v>
      </c>
      <c r="D209">
        <f>COUNTIFS(AnalizaCzyste[Moja satysfakcja z (efektów) usług edukacyjnych ocenianej uczelni jest wysoka.15],B209,AnalizaCzyste[Czy jesteś rodzicem / opiekunem absolwenta uczelni wyższej?],"*"&amp;"Tak"&amp;"*")</f>
        <v>2</v>
      </c>
      <c r="E209">
        <f>COUNTIFS(AnalizaCzyste[Moja satysfakcja z (efektów) usług edukacyjnych ocenianej uczelni jest wysoka.29],B209,AnalizaCzyste[Czy jesteś rodzicem / opiekunem absolwenta uczelni wyższej?],"*"&amp;"Tak"&amp;"*")</f>
        <v>0</v>
      </c>
      <c r="F209">
        <f t="shared" ref="F209:F217" si="25">SUM(C209:E209)</f>
        <v>7</v>
      </c>
      <c r="G209">
        <f t="shared" ref="G209:G215" si="26">PRODUCT($A209,C209)</f>
        <v>30</v>
      </c>
      <c r="H209">
        <f t="shared" ref="H209:H215" si="27">PRODUCT($A209,D209)</f>
        <v>12</v>
      </c>
      <c r="I209">
        <f t="shared" ref="I209:I215" si="28">PRODUCT($A209,E209)</f>
        <v>0</v>
      </c>
      <c r="J209">
        <f t="shared" ref="J209:J215" si="29">SUM(G209:I209)</f>
        <v>42</v>
      </c>
      <c r="K209" s="46">
        <f t="shared" ref="K209:K214" si="30">(A209-$J$216)^2</f>
        <v>9.2627599243856079E-2</v>
      </c>
      <c r="L209">
        <f t="shared" ref="L209:L214" si="31">PRODUCT(F209,K209)</f>
        <v>0.64839319470699253</v>
      </c>
    </row>
    <row r="210" spans="1:13" x14ac:dyDescent="0.45">
      <c r="A210">
        <v>5</v>
      </c>
      <c r="B210" t="s">
        <v>162</v>
      </c>
      <c r="C210">
        <f>COUNTIFS(AnalizaCzyste[Moja satysfakcja z (efektów) usług edukacyjnych ocenianej uczelni jest wysoka.8],B210,AnalizaCzyste[Czy jesteś rodzicem / opiekunem absolwenta uczelni wyższej?],"*"&amp;"Tak"&amp;"*")</f>
        <v>2</v>
      </c>
      <c r="D210">
        <f>COUNTIFS(AnalizaCzyste[Moja satysfakcja z (efektów) usług edukacyjnych ocenianej uczelni jest wysoka.15],B210,AnalizaCzyste[Czy jesteś rodzicem / opiekunem absolwenta uczelni wyższej?],"*"&amp;"Tak"&amp;"*")</f>
        <v>1</v>
      </c>
      <c r="E210">
        <f>COUNTIFS(AnalizaCzyste[Moja satysfakcja z (efektów) usług edukacyjnych ocenianej uczelni jest wysoka.29],B210,AnalizaCzyste[Czy jesteś rodzicem / opiekunem absolwenta uczelni wyższej?],"*"&amp;"Tak"&amp;"*")</f>
        <v>0</v>
      </c>
      <c r="F210">
        <f t="shared" si="25"/>
        <v>3</v>
      </c>
      <c r="G210">
        <f t="shared" si="26"/>
        <v>10</v>
      </c>
      <c r="H210">
        <f t="shared" si="27"/>
        <v>5</v>
      </c>
      <c r="I210">
        <f t="shared" si="28"/>
        <v>0</v>
      </c>
      <c r="J210">
        <f t="shared" si="29"/>
        <v>15</v>
      </c>
      <c r="K210" s="46">
        <f t="shared" si="30"/>
        <v>0.48393194706994386</v>
      </c>
      <c r="L210">
        <f t="shared" si="31"/>
        <v>1.4517958412098315</v>
      </c>
    </row>
    <row r="211" spans="1:13" x14ac:dyDescent="0.45">
      <c r="A211">
        <v>4</v>
      </c>
      <c r="B211" t="s">
        <v>151</v>
      </c>
      <c r="C211">
        <f>COUNTIFS(AnalizaCzyste[Moja satysfakcja z (efektów) usług edukacyjnych ocenianej uczelni jest wysoka.8],B211,AnalizaCzyste[Czy jesteś rodzicem / opiekunem absolwenta uczelni wyższej?],"*"&amp;"Tak"&amp;"*")</f>
        <v>2</v>
      </c>
      <c r="D211">
        <f>COUNTIFS(AnalizaCzyste[Moja satysfakcja z (efektów) usług edukacyjnych ocenianej uczelni jest wysoka.15],B211,AnalizaCzyste[Czy jesteś rodzicem / opiekunem absolwenta uczelni wyższej?],"*"&amp;"Tak"&amp;"*")</f>
        <v>1</v>
      </c>
      <c r="E211">
        <f>COUNTIFS(AnalizaCzyste[Moja satysfakcja z (efektów) usług edukacyjnych ocenianej uczelni jest wysoka.29],B211,AnalizaCzyste[Czy jesteś rodzicem / opiekunem absolwenta uczelni wyższej?],"*"&amp;"Tak"&amp;"*")</f>
        <v>1</v>
      </c>
      <c r="F211">
        <f t="shared" si="25"/>
        <v>4</v>
      </c>
      <c r="G211">
        <f t="shared" si="26"/>
        <v>8</v>
      </c>
      <c r="H211">
        <f t="shared" si="27"/>
        <v>4</v>
      </c>
      <c r="I211">
        <f t="shared" si="28"/>
        <v>4</v>
      </c>
      <c r="J211">
        <f t="shared" si="29"/>
        <v>16</v>
      </c>
      <c r="K211" s="46">
        <f t="shared" si="30"/>
        <v>2.8752362948960317</v>
      </c>
      <c r="L211">
        <f t="shared" si="31"/>
        <v>11.500945179584127</v>
      </c>
    </row>
    <row r="212" spans="1:13" x14ac:dyDescent="0.45">
      <c r="A212">
        <v>3</v>
      </c>
      <c r="B212" t="s">
        <v>128</v>
      </c>
      <c r="C212">
        <f>COUNTIFS(AnalizaCzyste[Moja satysfakcja z (efektów) usług edukacyjnych ocenianej uczelni jest wysoka.8],B212,AnalizaCzyste[Czy jesteś rodzicem / opiekunem absolwenta uczelni wyższej?],"*"&amp;"Tak"&amp;"*")</f>
        <v>0</v>
      </c>
      <c r="D212">
        <f>COUNTIFS(AnalizaCzyste[Moja satysfakcja z (efektów) usług edukacyjnych ocenianej uczelni jest wysoka.15],B212,AnalizaCzyste[Czy jesteś rodzicem / opiekunem absolwenta uczelni wyższej?],"*"&amp;"Tak"&amp;"*")</f>
        <v>0</v>
      </c>
      <c r="E212">
        <f>COUNTIFS(AnalizaCzyste[Moja satysfakcja z (efektów) usług edukacyjnych ocenianej uczelni jest wysoka.29],B212,AnalizaCzyste[Czy jesteś rodzicem / opiekunem absolwenta uczelni wyższej?],"*"&amp;"Tak"&amp;"*")</f>
        <v>0</v>
      </c>
      <c r="F212">
        <f t="shared" si="25"/>
        <v>0</v>
      </c>
      <c r="G212">
        <f t="shared" si="26"/>
        <v>0</v>
      </c>
      <c r="H212">
        <f t="shared" si="27"/>
        <v>0</v>
      </c>
      <c r="I212">
        <f t="shared" si="28"/>
        <v>0</v>
      </c>
      <c r="J212">
        <f t="shared" si="29"/>
        <v>0</v>
      </c>
      <c r="K212" s="46">
        <f t="shared" si="30"/>
        <v>7.2665406427221191</v>
      </c>
      <c r="L212">
        <f t="shared" si="31"/>
        <v>0</v>
      </c>
    </row>
    <row r="213" spans="1:13" x14ac:dyDescent="0.45">
      <c r="A213">
        <v>2</v>
      </c>
      <c r="B213" t="s">
        <v>236</v>
      </c>
      <c r="C213">
        <f>COUNTIFS(AnalizaCzyste[Moja satysfakcja z (efektów) usług edukacyjnych ocenianej uczelni jest wysoka.8],B213,AnalizaCzyste[Czy jesteś rodzicem / opiekunem absolwenta uczelni wyższej?],"*"&amp;"Tak"&amp;"*")</f>
        <v>1</v>
      </c>
      <c r="D213">
        <f>COUNTIFS(AnalizaCzyste[Moja satysfakcja z (efektów) usług edukacyjnych ocenianej uczelni jest wysoka.15],B213,AnalizaCzyste[Czy jesteś rodzicem / opiekunem absolwenta uczelni wyższej?],"*"&amp;"Tak"&amp;"*")</f>
        <v>0</v>
      </c>
      <c r="E213">
        <f>COUNTIFS(AnalizaCzyste[Moja satysfakcja z (efektów) usług edukacyjnych ocenianej uczelni jest wysoka.29],B213,AnalizaCzyste[Czy jesteś rodzicem / opiekunem absolwenta uczelni wyższej?],"*"&amp;"Tak"&amp;"*")</f>
        <v>0</v>
      </c>
      <c r="F213">
        <f t="shared" si="25"/>
        <v>1</v>
      </c>
      <c r="G213">
        <f t="shared" si="26"/>
        <v>2</v>
      </c>
      <c r="H213">
        <f t="shared" si="27"/>
        <v>0</v>
      </c>
      <c r="I213">
        <f t="shared" si="28"/>
        <v>0</v>
      </c>
      <c r="J213">
        <f t="shared" si="29"/>
        <v>2</v>
      </c>
      <c r="K213" s="46">
        <f t="shared" si="30"/>
        <v>13.657844990548208</v>
      </c>
      <c r="L213">
        <f t="shared" si="31"/>
        <v>13.657844990548208</v>
      </c>
    </row>
    <row r="214" spans="1:13" x14ac:dyDescent="0.45">
      <c r="A214">
        <v>1</v>
      </c>
      <c r="B214" t="s">
        <v>129</v>
      </c>
      <c r="C214">
        <f>COUNTIFS(AnalizaCzyste[Moja satysfakcja z (efektów) usług edukacyjnych ocenianej uczelni jest wysoka.8],B214,AnalizaCzyste[Czy jesteś rodzicem / opiekunem absolwenta uczelni wyższej?],"*"&amp;"Tak"&amp;"*")</f>
        <v>0</v>
      </c>
      <c r="D214">
        <f>COUNTIFS(AnalizaCzyste[Moja satysfakcja z (efektów) usług edukacyjnych ocenianej uczelni jest wysoka.15],B214,AnalizaCzyste[Czy jesteś rodzicem / opiekunem absolwenta uczelni wyższej?],"*"&amp;"Tak"&amp;"*")</f>
        <v>0</v>
      </c>
      <c r="E214">
        <f>COUNTIFS(AnalizaCzyste[Moja satysfakcja z (efektów) usług edukacyjnych ocenianej uczelni jest wysoka.29],B214,AnalizaCzyste[Czy jesteś rodzicem / opiekunem absolwenta uczelni wyższej?],"*"&amp;"Tak"&amp;"*")</f>
        <v>0</v>
      </c>
      <c r="F214">
        <f t="shared" si="25"/>
        <v>0</v>
      </c>
      <c r="G214">
        <f t="shared" si="26"/>
        <v>0</v>
      </c>
      <c r="H214">
        <f t="shared" si="27"/>
        <v>0</v>
      </c>
      <c r="I214">
        <f t="shared" si="28"/>
        <v>0</v>
      </c>
      <c r="J214">
        <f t="shared" si="29"/>
        <v>0</v>
      </c>
      <c r="K214" s="46">
        <f t="shared" si="30"/>
        <v>22.049149338374296</v>
      </c>
      <c r="L214">
        <f t="shared" si="31"/>
        <v>0</v>
      </c>
    </row>
    <row r="215" spans="1:13" x14ac:dyDescent="0.45">
      <c r="A215" t="s">
        <v>2333</v>
      </c>
      <c r="B215" t="s">
        <v>132</v>
      </c>
      <c r="C215">
        <f>COUNTIFS(AnalizaCzyste[Moja satysfakcja z (efektów) usług edukacyjnych ocenianej uczelni jest wysoka.8],B215,AnalizaCzyste[Czy jesteś rodzicem / opiekunem absolwenta uczelni wyższej?],"*"&amp;"Tak"&amp;"*")</f>
        <v>1</v>
      </c>
      <c r="D215">
        <f>COUNTIFS(AnalizaCzyste[Moja satysfakcja z (efektów) usług edukacyjnych ocenianej uczelni jest wysoka.15],B215,AnalizaCzyste[Czy jesteś rodzicem / opiekunem absolwenta uczelni wyższej?],"*"&amp;"Tak"&amp;"*")</f>
        <v>0</v>
      </c>
      <c r="E215">
        <f>COUNTIFS(AnalizaCzyste[Moja satysfakcja z (efektów) usług edukacyjnych ocenianej uczelni jest wysoka.29],B215,AnalizaCzyste[Czy jesteś rodzicem / opiekunem absolwenta uczelni wyższej?],"*"&amp;"Tak"&amp;"*")</f>
        <v>0</v>
      </c>
      <c r="F215">
        <f t="shared" si="25"/>
        <v>1</v>
      </c>
      <c r="G215">
        <f t="shared" si="26"/>
        <v>1</v>
      </c>
      <c r="H215">
        <f t="shared" si="27"/>
        <v>0</v>
      </c>
      <c r="I215">
        <f t="shared" si="28"/>
        <v>0</v>
      </c>
      <c r="J215">
        <f t="shared" si="29"/>
        <v>1</v>
      </c>
    </row>
    <row r="216" spans="1:13" x14ac:dyDescent="0.45">
      <c r="B216" s="20" t="s">
        <v>2356</v>
      </c>
      <c r="C216" s="29">
        <f>SUM(C208:C215)</f>
        <v>17</v>
      </c>
      <c r="D216" s="29">
        <f>SUM(D208:D215)</f>
        <v>5</v>
      </c>
      <c r="E216" s="29">
        <f>SUM(E208:E215)</f>
        <v>2</v>
      </c>
      <c r="F216" s="29">
        <f t="shared" si="25"/>
        <v>24</v>
      </c>
      <c r="G216" s="46">
        <f>SUM(G208:G215)/$C217</f>
        <v>5.8125</v>
      </c>
      <c r="H216" s="46">
        <f t="shared" ref="H216:I216" si="32">SUM(H208:H215)/$C217</f>
        <v>1.75</v>
      </c>
      <c r="I216" s="46">
        <f t="shared" si="32"/>
        <v>0.6875</v>
      </c>
      <c r="J216" s="46">
        <f>SUM(J208:J214)/$F217</f>
        <v>5.6956521739130439</v>
      </c>
      <c r="K216" s="20" t="s">
        <v>2358</v>
      </c>
      <c r="L216" s="46">
        <f>SUM(L208:L215)/(F217-1)</f>
        <v>1.8577075098814229</v>
      </c>
      <c r="M216" s="20" t="s">
        <v>2354</v>
      </c>
    </row>
    <row r="217" spans="1:13" x14ac:dyDescent="0.45">
      <c r="B217" s="20" t="s">
        <v>2357</v>
      </c>
      <c r="C217">
        <f>C216-C215</f>
        <v>16</v>
      </c>
      <c r="D217">
        <f>D216-D215</f>
        <v>5</v>
      </c>
      <c r="E217">
        <f>E216-E215</f>
        <v>2</v>
      </c>
      <c r="F217">
        <f t="shared" si="25"/>
        <v>23</v>
      </c>
      <c r="G217" s="33">
        <f>G216/7</f>
        <v>0.8303571428571429</v>
      </c>
      <c r="H217" s="33"/>
      <c r="I217" s="33"/>
      <c r="J217" s="33"/>
      <c r="L217" s="46">
        <f>L216^(1/2)</f>
        <v>1.3629774429099781</v>
      </c>
      <c r="M217" t="s">
        <v>2369</v>
      </c>
    </row>
    <row r="218" spans="1:13" x14ac:dyDescent="0.45">
      <c r="B218" s="20"/>
      <c r="D218" s="33"/>
      <c r="F218" s="46"/>
    </row>
    <row r="219" spans="1:13" x14ac:dyDescent="0.45">
      <c r="A219" s="29" t="s">
        <v>2372</v>
      </c>
      <c r="C219" t="s">
        <v>2373</v>
      </c>
      <c r="D219" t="s">
        <v>2374</v>
      </c>
      <c r="E219" t="s">
        <v>2375</v>
      </c>
      <c r="F219" s="20" t="s">
        <v>2380</v>
      </c>
      <c r="G219" s="20" t="s">
        <v>2376</v>
      </c>
      <c r="H219" s="20" t="s">
        <v>2377</v>
      </c>
      <c r="I219" s="20" t="s">
        <v>2378</v>
      </c>
      <c r="J219" s="20" t="s">
        <v>2379</v>
      </c>
      <c r="K219" s="20" t="s">
        <v>2367</v>
      </c>
      <c r="L219" s="20" t="s">
        <v>2368</v>
      </c>
    </row>
    <row r="220" spans="1:13" x14ac:dyDescent="0.45">
      <c r="A220">
        <v>7</v>
      </c>
      <c r="B220" t="s">
        <v>169</v>
      </c>
      <c r="C220">
        <f>COUNTIFS(AnalizaCzyste[Usługi edukacyjne ocenianej uczelni mają wysoką wartość (okazja / szansa rozwoju własnego lub kariery).9],B220,AnalizaCzyste[Czy jesteś rodzicem / opiekunem absolwenta uczelni wyższej?],"*"&amp;"Tak"&amp;"*")</f>
        <v>6</v>
      </c>
      <c r="D220">
        <f>COUNTIFS(AnalizaCzyste[Usługi edukacyjne ocenianej uczelni mają wysoką wartość (okazja / szansa rozwoju własnego lub kariery).16],B220,AnalizaCzyste[Czy jesteś rodzicem / opiekunem absolwenta uczelni wyższej?],"*"&amp;"Tak"&amp;"*")</f>
        <v>2</v>
      </c>
      <c r="E220">
        <f>COUNTIFS(AnalizaCzyste[Usługi edukacyjne ocenianej uczelni mają wysoką wartość (okazja / szansa rozwoju własnego lub kariery).30],B220,AnalizaCzyste[Czy jesteś rodzicem / opiekunem absolwenta uczelni wyższej?],"*"&amp;"Tak"&amp;"*")</f>
        <v>1</v>
      </c>
      <c r="F220">
        <f>SUM(C220:E220)</f>
        <v>9</v>
      </c>
      <c r="G220">
        <f>PRODUCT($A220,C220)</f>
        <v>42</v>
      </c>
      <c r="H220">
        <f t="shared" ref="H220:H227" si="33">PRODUCT($A220,D220)</f>
        <v>14</v>
      </c>
      <c r="I220">
        <f t="shared" ref="I220:I227" si="34">PRODUCT($A220,E220)</f>
        <v>7</v>
      </c>
      <c r="J220">
        <f>SUM(G220:I220)</f>
        <v>63</v>
      </c>
      <c r="K220" s="46">
        <f>(A220-$J$228)^2</f>
        <v>1.2778827977315683</v>
      </c>
      <c r="L220">
        <f>PRODUCT(F220,K220)</f>
        <v>11.500945179584114</v>
      </c>
    </row>
    <row r="221" spans="1:13" x14ac:dyDescent="0.45">
      <c r="A221">
        <v>6</v>
      </c>
      <c r="B221" t="s">
        <v>150</v>
      </c>
      <c r="C221">
        <f>COUNTIFS(AnalizaCzyste[Usługi edukacyjne ocenianej uczelni mają wysoką wartość (okazja / szansa rozwoju własnego lub kariery).9],B221,AnalizaCzyste[Czy jesteś rodzicem / opiekunem absolwenta uczelni wyższej?],"*"&amp;"Tak"&amp;"*")</f>
        <v>6</v>
      </c>
      <c r="D221">
        <f>COUNTIFS(AnalizaCzyste[Usługi edukacyjne ocenianej uczelni mają wysoką wartość (okazja / szansa rozwoju własnego lub kariery).16],B221,AnalizaCzyste[Czy jesteś rodzicem / opiekunem absolwenta uczelni wyższej?],"*"&amp;"Tak"&amp;"*")</f>
        <v>2</v>
      </c>
      <c r="E221">
        <f>COUNTIFS(AnalizaCzyste[Usługi edukacyjne ocenianej uczelni mają wysoką wartość (okazja / szansa rozwoju własnego lub kariery).30],B221,AnalizaCzyste[Czy jesteś rodzicem / opiekunem absolwenta uczelni wyższej?],"*"&amp;"Tak"&amp;"*")</f>
        <v>0</v>
      </c>
      <c r="F221">
        <f t="shared" ref="F221:F229" si="35">SUM(C221:E221)</f>
        <v>8</v>
      </c>
      <c r="G221">
        <f t="shared" ref="G221:G227" si="36">PRODUCT($A221,C221)</f>
        <v>36</v>
      </c>
      <c r="H221">
        <f t="shared" si="33"/>
        <v>12</v>
      </c>
      <c r="I221">
        <f t="shared" si="34"/>
        <v>0</v>
      </c>
      <c r="J221">
        <f t="shared" ref="J221:J227" si="37">SUM(G221:I221)</f>
        <v>48</v>
      </c>
      <c r="K221" s="46">
        <f t="shared" ref="K221:K226" si="38">(A221-$J$228)^2</f>
        <v>1.7013232514177613E-2</v>
      </c>
      <c r="L221">
        <f t="shared" ref="L221:L226" si="39">PRODUCT(F221,K221)</f>
        <v>0.13610586011342091</v>
      </c>
    </row>
    <row r="222" spans="1:13" x14ac:dyDescent="0.45">
      <c r="A222">
        <v>5</v>
      </c>
      <c r="B222" t="s">
        <v>162</v>
      </c>
      <c r="C222">
        <f>COUNTIFS(AnalizaCzyste[Usługi edukacyjne ocenianej uczelni mają wysoką wartość (okazja / szansa rozwoju własnego lub kariery).9],B222,AnalizaCzyste[Czy jesteś rodzicem / opiekunem absolwenta uczelni wyższej?],"*"&amp;"Tak"&amp;"*")</f>
        <v>1</v>
      </c>
      <c r="D222">
        <f>COUNTIFS(AnalizaCzyste[Usługi edukacyjne ocenianej uczelni mają wysoką wartość (okazja / szansa rozwoju własnego lub kariery).16],B222,AnalizaCzyste[Czy jesteś rodzicem / opiekunem absolwenta uczelni wyższej?],"*"&amp;"Tak"&amp;"*")</f>
        <v>0</v>
      </c>
      <c r="E222">
        <f>COUNTIFS(AnalizaCzyste[Usługi edukacyjne ocenianej uczelni mają wysoką wartość (okazja / szansa rozwoju własnego lub kariery).30],B222,AnalizaCzyste[Czy jesteś rodzicem / opiekunem absolwenta uczelni wyższej?],"*"&amp;"Tak"&amp;"*")</f>
        <v>1</v>
      </c>
      <c r="F222">
        <f t="shared" si="35"/>
        <v>2</v>
      </c>
      <c r="G222">
        <f t="shared" si="36"/>
        <v>5</v>
      </c>
      <c r="H222">
        <f t="shared" si="33"/>
        <v>0</v>
      </c>
      <c r="I222">
        <f t="shared" si="34"/>
        <v>5</v>
      </c>
      <c r="J222">
        <f t="shared" si="37"/>
        <v>10</v>
      </c>
      <c r="K222" s="46">
        <f t="shared" si="38"/>
        <v>0.75614366729678695</v>
      </c>
      <c r="L222">
        <f t="shared" si="39"/>
        <v>1.5122873345935739</v>
      </c>
    </row>
    <row r="223" spans="1:13" x14ac:dyDescent="0.45">
      <c r="A223">
        <v>4</v>
      </c>
      <c r="B223" t="s">
        <v>151</v>
      </c>
      <c r="C223">
        <f>COUNTIFS(AnalizaCzyste[Usługi edukacyjne ocenianej uczelni mają wysoką wartość (okazja / szansa rozwoju własnego lub kariery).9],B223,AnalizaCzyste[Czy jesteś rodzicem / opiekunem absolwenta uczelni wyższej?],"*"&amp;"Tak"&amp;"*")</f>
        <v>2</v>
      </c>
      <c r="D223">
        <f>COUNTIFS(AnalizaCzyste[Usługi edukacyjne ocenianej uczelni mają wysoką wartość (okazja / szansa rozwoju własnego lub kariery).16],B223,AnalizaCzyste[Czy jesteś rodzicem / opiekunem absolwenta uczelni wyższej?],"*"&amp;"Tak"&amp;"*")</f>
        <v>0</v>
      </c>
      <c r="E223">
        <f>COUNTIFS(AnalizaCzyste[Usługi edukacyjne ocenianej uczelni mają wysoką wartość (okazja / szansa rozwoju własnego lub kariery).30],B223,AnalizaCzyste[Czy jesteś rodzicem / opiekunem absolwenta uczelni wyższej?],"*"&amp;"Tak"&amp;"*")</f>
        <v>0</v>
      </c>
      <c r="F223">
        <f t="shared" si="35"/>
        <v>2</v>
      </c>
      <c r="G223">
        <f t="shared" si="36"/>
        <v>8</v>
      </c>
      <c r="H223">
        <f t="shared" si="33"/>
        <v>0</v>
      </c>
      <c r="I223">
        <f t="shared" si="34"/>
        <v>0</v>
      </c>
      <c r="J223">
        <f t="shared" si="37"/>
        <v>8</v>
      </c>
      <c r="K223" s="46">
        <f t="shared" si="38"/>
        <v>3.4952741020793963</v>
      </c>
      <c r="L223">
        <f t="shared" si="39"/>
        <v>6.9905482041587925</v>
      </c>
    </row>
    <row r="224" spans="1:13" x14ac:dyDescent="0.45">
      <c r="A224">
        <v>3</v>
      </c>
      <c r="B224" t="s">
        <v>128</v>
      </c>
      <c r="C224">
        <f>COUNTIFS(AnalizaCzyste[Usługi edukacyjne ocenianej uczelni mają wysoką wartość (okazja / szansa rozwoju własnego lub kariery).9],B224,AnalizaCzyste[Czy jesteś rodzicem / opiekunem absolwenta uczelni wyższej?],"*"&amp;"Tak"&amp;"*")</f>
        <v>1</v>
      </c>
      <c r="D224">
        <f>COUNTIFS(AnalizaCzyste[Usługi edukacyjne ocenianej uczelni mają wysoką wartość (okazja / szansa rozwoju własnego lub kariery).16],B224,AnalizaCzyste[Czy jesteś rodzicem / opiekunem absolwenta uczelni wyższej?],"*"&amp;"Tak"&amp;"*")</f>
        <v>1</v>
      </c>
      <c r="E224">
        <f>COUNTIFS(AnalizaCzyste[Usługi edukacyjne ocenianej uczelni mają wysoką wartość (okazja / szansa rozwoju własnego lub kariery).30],B224,AnalizaCzyste[Czy jesteś rodzicem / opiekunem absolwenta uczelni wyższej?],"*"&amp;"Tak"&amp;"*")</f>
        <v>0</v>
      </c>
      <c r="F224">
        <f t="shared" si="35"/>
        <v>2</v>
      </c>
      <c r="G224">
        <f t="shared" si="36"/>
        <v>3</v>
      </c>
      <c r="H224">
        <f t="shared" si="33"/>
        <v>3</v>
      </c>
      <c r="I224">
        <f t="shared" si="34"/>
        <v>0</v>
      </c>
      <c r="J224">
        <f t="shared" si="37"/>
        <v>6</v>
      </c>
      <c r="K224" s="46">
        <f t="shared" si="38"/>
        <v>8.2344045368620051</v>
      </c>
      <c r="L224">
        <f t="shared" si="39"/>
        <v>16.46880907372401</v>
      </c>
    </row>
    <row r="225" spans="1:13" x14ac:dyDescent="0.45">
      <c r="A225">
        <v>2</v>
      </c>
      <c r="B225" t="s">
        <v>236</v>
      </c>
      <c r="C225">
        <f>COUNTIFS(AnalizaCzyste[Usługi edukacyjne ocenianej uczelni mają wysoką wartość (okazja / szansa rozwoju własnego lub kariery).9],B225,AnalizaCzyste[Czy jesteś rodzicem / opiekunem absolwenta uczelni wyższej?],"*"&amp;"Tak"&amp;"*")</f>
        <v>0</v>
      </c>
      <c r="D225">
        <f>COUNTIFS(AnalizaCzyste[Usługi edukacyjne ocenianej uczelni mają wysoką wartość (okazja / szansa rozwoju własnego lub kariery).16],B225,AnalizaCzyste[Czy jesteś rodzicem / opiekunem absolwenta uczelni wyższej?],"*"&amp;"Tak"&amp;"*")</f>
        <v>0</v>
      </c>
      <c r="E225">
        <f>COUNTIFS(AnalizaCzyste[Usługi edukacyjne ocenianej uczelni mają wysoką wartość (okazja / szansa rozwoju własnego lub kariery).30],B225,AnalizaCzyste[Czy jesteś rodzicem / opiekunem absolwenta uczelni wyższej?],"*"&amp;"Tak"&amp;"*")</f>
        <v>0</v>
      </c>
      <c r="F225">
        <f t="shared" si="35"/>
        <v>0</v>
      </c>
      <c r="G225">
        <f t="shared" si="36"/>
        <v>0</v>
      </c>
      <c r="H225">
        <f t="shared" si="33"/>
        <v>0</v>
      </c>
      <c r="I225">
        <f t="shared" si="34"/>
        <v>0</v>
      </c>
      <c r="J225">
        <f t="shared" si="37"/>
        <v>0</v>
      </c>
      <c r="K225" s="46">
        <f t="shared" si="38"/>
        <v>14.973534971644614</v>
      </c>
      <c r="L225">
        <f t="shared" si="39"/>
        <v>0</v>
      </c>
    </row>
    <row r="226" spans="1:13" x14ac:dyDescent="0.45">
      <c r="A226">
        <v>1</v>
      </c>
      <c r="B226" t="s">
        <v>129</v>
      </c>
      <c r="C226">
        <f>COUNTIFS(AnalizaCzyste[Usługi edukacyjne ocenianej uczelni mają wysoką wartość (okazja / szansa rozwoju własnego lub kariery).9],B226,AnalizaCzyste[Czy jesteś rodzicem / opiekunem absolwenta uczelni wyższej?],"*"&amp;"Tak"&amp;"*")</f>
        <v>0</v>
      </c>
      <c r="D226">
        <f>COUNTIFS(AnalizaCzyste[Usługi edukacyjne ocenianej uczelni mają wysoką wartość (okazja / szansa rozwoju własnego lub kariery).16],B226,AnalizaCzyste[Czy jesteś rodzicem / opiekunem absolwenta uczelni wyższej?],"*"&amp;"Tak"&amp;"*")</f>
        <v>0</v>
      </c>
      <c r="E226">
        <f>COUNTIFS(AnalizaCzyste[Usługi edukacyjne ocenianej uczelni mają wysoką wartość (okazja / szansa rozwoju własnego lub kariery).30],B226,AnalizaCzyste[Czy jesteś rodzicem / opiekunem absolwenta uczelni wyższej?],"*"&amp;"Tak"&amp;"*")</f>
        <v>0</v>
      </c>
      <c r="F226">
        <f t="shared" si="35"/>
        <v>0</v>
      </c>
      <c r="G226">
        <f t="shared" si="36"/>
        <v>0</v>
      </c>
      <c r="H226">
        <f t="shared" si="33"/>
        <v>0</v>
      </c>
      <c r="I226">
        <f t="shared" si="34"/>
        <v>0</v>
      </c>
      <c r="J226">
        <f t="shared" si="37"/>
        <v>0</v>
      </c>
      <c r="K226" s="46">
        <f t="shared" si="38"/>
        <v>23.712665406427224</v>
      </c>
      <c r="L226">
        <f t="shared" si="39"/>
        <v>0</v>
      </c>
    </row>
    <row r="227" spans="1:13" x14ac:dyDescent="0.45">
      <c r="A227" t="s">
        <v>2333</v>
      </c>
      <c r="B227" t="s">
        <v>132</v>
      </c>
      <c r="C227">
        <f>COUNTIFS(AnalizaCzyste[Usługi edukacyjne ocenianej uczelni mają wysoką wartość (okazja / szansa rozwoju własnego lub kariery).9],B227,AnalizaCzyste[Czy jesteś rodzicem / opiekunem absolwenta uczelni wyższej?],"*"&amp;"Tak"&amp;"*")</f>
        <v>1</v>
      </c>
      <c r="D227">
        <f>COUNTIFS(AnalizaCzyste[Usługi edukacyjne ocenianej uczelni mają wysoką wartość (okazja / szansa rozwoju własnego lub kariery).16],B227,AnalizaCzyste[Czy jesteś rodzicem / opiekunem absolwenta uczelni wyższej?],"*"&amp;"Tak"&amp;"*")</f>
        <v>0</v>
      </c>
      <c r="E227">
        <f>COUNTIFS(AnalizaCzyste[Usługi edukacyjne ocenianej uczelni mają wysoką wartość (okazja / szansa rozwoju własnego lub kariery).30],B227,AnalizaCzyste[Czy jesteś rodzicem / opiekunem absolwenta uczelni wyższej?],"*"&amp;"Tak"&amp;"*")</f>
        <v>0</v>
      </c>
      <c r="F227">
        <f t="shared" si="35"/>
        <v>1</v>
      </c>
      <c r="G227">
        <f t="shared" si="36"/>
        <v>1</v>
      </c>
      <c r="H227">
        <f t="shared" si="33"/>
        <v>0</v>
      </c>
      <c r="I227">
        <f t="shared" si="34"/>
        <v>0</v>
      </c>
      <c r="J227">
        <f t="shared" si="37"/>
        <v>1</v>
      </c>
    </row>
    <row r="228" spans="1:13" x14ac:dyDescent="0.45">
      <c r="B228" s="20" t="s">
        <v>2356</v>
      </c>
      <c r="C228" s="29">
        <f>SUM(C220:C227)</f>
        <v>17</v>
      </c>
      <c r="D228" s="29">
        <f>SUM(D220:D227)</f>
        <v>5</v>
      </c>
      <c r="E228" s="29">
        <f>SUM(E220:E227)</f>
        <v>2</v>
      </c>
      <c r="F228" s="29">
        <f t="shared" si="35"/>
        <v>24</v>
      </c>
      <c r="G228" s="46">
        <f>SUM(G220:G227)/$C229</f>
        <v>5.9375</v>
      </c>
      <c r="H228" s="46">
        <f t="shared" ref="H228" si="40">SUM(H220:H227)/$C229</f>
        <v>1.8125</v>
      </c>
      <c r="I228" s="46">
        <f t="shared" ref="I228" si="41">SUM(I220:I227)/$C229</f>
        <v>0.75</v>
      </c>
      <c r="J228" s="46">
        <f>SUM(J220:J226)/$F229</f>
        <v>5.8695652173913047</v>
      </c>
      <c r="K228" s="20" t="s">
        <v>2358</v>
      </c>
      <c r="L228" s="46">
        <f>SUM(L220:L227)/(F229-1)</f>
        <v>1.6640316205533594</v>
      </c>
      <c r="M228" s="20" t="s">
        <v>2354</v>
      </c>
    </row>
    <row r="229" spans="1:13" x14ac:dyDescent="0.45">
      <c r="B229" s="20" t="s">
        <v>2357</v>
      </c>
      <c r="C229">
        <f>C228-C227</f>
        <v>16</v>
      </c>
      <c r="D229">
        <f>D228-D227</f>
        <v>5</v>
      </c>
      <c r="E229">
        <f>E228-E227</f>
        <v>2</v>
      </c>
      <c r="F229">
        <f t="shared" si="35"/>
        <v>23</v>
      </c>
      <c r="G229" s="33">
        <f>G228/7</f>
        <v>0.8482142857142857</v>
      </c>
      <c r="H229" s="33"/>
      <c r="I229" s="33"/>
      <c r="J229" s="33"/>
      <c r="L229" s="46">
        <f>L228^(1/2)</f>
        <v>1.2899734960662406</v>
      </c>
      <c r="M229" t="s">
        <v>2369</v>
      </c>
    </row>
    <row r="230" spans="1:13" x14ac:dyDescent="0.45">
      <c r="B230" s="20"/>
      <c r="D230" s="33"/>
      <c r="F230" s="46"/>
    </row>
    <row r="231" spans="1:13" x14ac:dyDescent="0.45">
      <c r="A231" s="29" t="s">
        <v>2381</v>
      </c>
      <c r="C231" t="s">
        <v>2373</v>
      </c>
      <c r="D231" t="s">
        <v>2374</v>
      </c>
      <c r="E231" t="s">
        <v>2375</v>
      </c>
      <c r="F231" s="20" t="s">
        <v>2380</v>
      </c>
      <c r="G231" s="20" t="s">
        <v>2376</v>
      </c>
      <c r="H231" s="20" t="s">
        <v>2377</v>
      </c>
      <c r="I231" s="20" t="s">
        <v>2378</v>
      </c>
      <c r="J231" s="20" t="s">
        <v>2379</v>
      </c>
      <c r="K231" s="20" t="s">
        <v>2367</v>
      </c>
      <c r="L231" s="20" t="s">
        <v>2368</v>
      </c>
    </row>
    <row r="232" spans="1:13" x14ac:dyDescent="0.45">
      <c r="A232">
        <v>7</v>
      </c>
      <c r="B232" t="s">
        <v>169</v>
      </c>
      <c r="C232">
        <f>COUNTIFS(AnalizaCzyste[Kształcenie na ocenianej uczelni ma/będzie miało pozytywny wpływ na zwiększenie zarobków mojej/mojego podopiecznej/podopiecznego.],B232,AnalizaCzyste[Czy jesteś rodzicem / opiekunem absolwenta uczelni wyższej?],"*"&amp;"Tak"&amp;"*")</f>
        <v>7</v>
      </c>
      <c r="D232">
        <f>COUNTIFS(AnalizaCzyste[Kształcenie na ocenianej uczelni ma/będzie miało pozytywny wpływ na zwiększenie zarobków mojej/mojego podopiecznej/podopiecznego.17],B232,AnalizaCzyste[Czy jesteś rodzicem / opiekunem absolwenta uczelni wyższej?],"*"&amp;"Tak"&amp;"*")</f>
        <v>1</v>
      </c>
      <c r="E232">
        <f>COUNTIFS(AnalizaCzyste[Kształcenie na ocenianej uczelni ma/będzie miało pozytywny wpływ na zwiększenie zarobków mojej/mojego podopiecznej/podopiecznego.31],B232,AnalizaCzyste[Czy jesteś rodzicem / opiekunem absolwenta uczelni wyższej?],"*"&amp;"Tak"&amp;"*")</f>
        <v>1</v>
      </c>
      <c r="F232">
        <f>SUM(C232:E232)</f>
        <v>9</v>
      </c>
      <c r="G232">
        <f>PRODUCT($A232,C232)</f>
        <v>49</v>
      </c>
      <c r="H232">
        <f t="shared" ref="H232:H239" si="42">PRODUCT($A232,D232)</f>
        <v>7</v>
      </c>
      <c r="I232">
        <f t="shared" ref="I232:I239" si="43">PRODUCT($A232,E232)</f>
        <v>7</v>
      </c>
      <c r="J232">
        <f>SUM(G232:I232)</f>
        <v>63</v>
      </c>
      <c r="K232" s="46">
        <f>(A232-$J$240)^2</f>
        <v>2.3156899810964071</v>
      </c>
      <c r="L232">
        <f>PRODUCT(F232,K232)</f>
        <v>20.841209829867665</v>
      </c>
    </row>
    <row r="233" spans="1:13" x14ac:dyDescent="0.45">
      <c r="A233">
        <v>6</v>
      </c>
      <c r="B233" t="s">
        <v>150</v>
      </c>
      <c r="C233">
        <f>COUNTIFS(AnalizaCzyste[Kształcenie na ocenianej uczelni ma/będzie miało pozytywny wpływ na zwiększenie zarobków mojej/mojego podopiecznej/podopiecznego.],B233,AnalizaCzyste[Czy jesteś rodzicem / opiekunem absolwenta uczelni wyższej?],"*"&amp;"Tak"&amp;"*")</f>
        <v>3</v>
      </c>
      <c r="D233">
        <f>COUNTIFS(AnalizaCzyste[Kształcenie na ocenianej uczelni ma/będzie miało pozytywny wpływ na zwiększenie zarobków mojej/mojego podopiecznej/podopiecznego.17],B233,AnalizaCzyste[Czy jesteś rodzicem / opiekunem absolwenta uczelni wyższej?],"*"&amp;"Tak"&amp;"*")</f>
        <v>2</v>
      </c>
      <c r="E233">
        <f>COUNTIFS(AnalizaCzyste[Kształcenie na ocenianej uczelni ma/będzie miało pozytywny wpływ na zwiększenie zarobków mojej/mojego podopiecznej/podopiecznego.31],B233,AnalizaCzyste[Czy jesteś rodzicem / opiekunem absolwenta uczelni wyższej?],"*"&amp;"Tak"&amp;"*")</f>
        <v>1</v>
      </c>
      <c r="F233">
        <f t="shared" ref="F233:F241" si="44">SUM(C233:E233)</f>
        <v>6</v>
      </c>
      <c r="G233">
        <f t="shared" ref="G233:G239" si="45">PRODUCT($A233,C233)</f>
        <v>18</v>
      </c>
      <c r="H233">
        <f t="shared" si="42"/>
        <v>12</v>
      </c>
      <c r="I233">
        <f t="shared" si="43"/>
        <v>6</v>
      </c>
      <c r="J233">
        <f t="shared" ref="J233:J239" si="46">SUM(G233:I233)</f>
        <v>36</v>
      </c>
      <c r="K233" s="46">
        <f t="shared" ref="K233:K238" si="47">(A233-$J$240)^2</f>
        <v>0.27221172022684276</v>
      </c>
      <c r="L233">
        <f t="shared" ref="L233:L238" si="48">PRODUCT(F233,K233)</f>
        <v>1.6332703213610564</v>
      </c>
    </row>
    <row r="234" spans="1:13" x14ac:dyDescent="0.45">
      <c r="A234">
        <v>5</v>
      </c>
      <c r="B234" t="s">
        <v>162</v>
      </c>
      <c r="C234">
        <f>COUNTIFS(AnalizaCzyste[Kształcenie na ocenianej uczelni ma/będzie miało pozytywny wpływ na zwiększenie zarobków mojej/mojego podopiecznej/podopiecznego.],B234,AnalizaCzyste[Czy jesteś rodzicem / opiekunem absolwenta uczelni wyższej?],"*"&amp;"Tak"&amp;"*")</f>
        <v>1</v>
      </c>
      <c r="D234">
        <f>COUNTIFS(AnalizaCzyste[Kształcenie na ocenianej uczelni ma/będzie miało pozytywny wpływ na zwiększenie zarobków mojej/mojego podopiecznej/podopiecznego.17],B234,AnalizaCzyste[Czy jesteś rodzicem / opiekunem absolwenta uczelni wyższej?],"*"&amp;"Tak"&amp;"*")</f>
        <v>1</v>
      </c>
      <c r="E234">
        <f>COUNTIFS(AnalizaCzyste[Kształcenie na ocenianej uczelni ma/będzie miało pozytywny wpływ na zwiększenie zarobków mojej/mojego podopiecznej/podopiecznego.31],B234,AnalizaCzyste[Czy jesteś rodzicem / opiekunem absolwenta uczelni wyższej?],"*"&amp;"Tak"&amp;"*")</f>
        <v>0</v>
      </c>
      <c r="F234">
        <f t="shared" si="44"/>
        <v>2</v>
      </c>
      <c r="G234">
        <f t="shared" si="45"/>
        <v>5</v>
      </c>
      <c r="H234">
        <f t="shared" si="42"/>
        <v>5</v>
      </c>
      <c r="I234">
        <f t="shared" si="43"/>
        <v>0</v>
      </c>
      <c r="J234">
        <f t="shared" si="46"/>
        <v>10</v>
      </c>
      <c r="K234" s="46">
        <f t="shared" si="47"/>
        <v>0.22873345935727821</v>
      </c>
      <c r="L234">
        <f t="shared" si="48"/>
        <v>0.45746691871455641</v>
      </c>
    </row>
    <row r="235" spans="1:13" x14ac:dyDescent="0.45">
      <c r="A235">
        <v>4</v>
      </c>
      <c r="B235" t="s">
        <v>151</v>
      </c>
      <c r="C235">
        <f>COUNTIFS(AnalizaCzyste[Kształcenie na ocenianej uczelni ma/będzie miało pozytywny wpływ na zwiększenie zarobków mojej/mojego podopiecznej/podopiecznego.],B235,AnalizaCzyste[Czy jesteś rodzicem / opiekunem absolwenta uczelni wyższej?],"*"&amp;"Tak"&amp;"*")</f>
        <v>2</v>
      </c>
      <c r="D235">
        <f>COUNTIFS(AnalizaCzyste[Kształcenie na ocenianej uczelni ma/będzie miało pozytywny wpływ na zwiększenie zarobków mojej/mojego podopiecznej/podopiecznego.17],B235,AnalizaCzyste[Czy jesteś rodzicem / opiekunem absolwenta uczelni wyższej?],"*"&amp;"Tak"&amp;"*")</f>
        <v>0</v>
      </c>
      <c r="E235">
        <f>COUNTIFS(AnalizaCzyste[Kształcenie na ocenianej uczelni ma/będzie miało pozytywny wpływ na zwiększenie zarobków mojej/mojego podopiecznej/podopiecznego.31],B235,AnalizaCzyste[Czy jesteś rodzicem / opiekunem absolwenta uczelni wyższej?],"*"&amp;"Tak"&amp;"*")</f>
        <v>0</v>
      </c>
      <c r="F235">
        <f t="shared" si="44"/>
        <v>2</v>
      </c>
      <c r="G235">
        <f t="shared" si="45"/>
        <v>8</v>
      </c>
      <c r="H235">
        <f t="shared" si="42"/>
        <v>0</v>
      </c>
      <c r="I235">
        <f t="shared" si="43"/>
        <v>0</v>
      </c>
      <c r="J235">
        <f t="shared" si="46"/>
        <v>8</v>
      </c>
      <c r="K235" s="46">
        <f t="shared" si="47"/>
        <v>2.1852551984877135</v>
      </c>
      <c r="L235">
        <f t="shared" si="48"/>
        <v>4.3705103969754271</v>
      </c>
    </row>
    <row r="236" spans="1:13" x14ac:dyDescent="0.45">
      <c r="A236">
        <v>3</v>
      </c>
      <c r="B236" t="s">
        <v>128</v>
      </c>
      <c r="C236">
        <f>COUNTIFS(AnalizaCzyste[Kształcenie na ocenianej uczelni ma/będzie miało pozytywny wpływ na zwiększenie zarobków mojej/mojego podopiecznej/podopiecznego.],B236,AnalizaCzyste[Czy jesteś rodzicem / opiekunem absolwenta uczelni wyższej?],"*"&amp;"Tak"&amp;"*")</f>
        <v>1</v>
      </c>
      <c r="D236">
        <f>COUNTIFS(AnalizaCzyste[Kształcenie na ocenianej uczelni ma/będzie miało pozytywny wpływ na zwiększenie zarobków mojej/mojego podopiecznej/podopiecznego.17],B236,AnalizaCzyste[Czy jesteś rodzicem / opiekunem absolwenta uczelni wyższej?],"*"&amp;"Tak"&amp;"*")</f>
        <v>0</v>
      </c>
      <c r="E236">
        <f>COUNTIFS(AnalizaCzyste[Kształcenie na ocenianej uczelni ma/będzie miało pozytywny wpływ na zwiększenie zarobków mojej/mojego podopiecznej/podopiecznego.31],B236,AnalizaCzyste[Czy jesteś rodzicem / opiekunem absolwenta uczelni wyższej?],"*"&amp;"Tak"&amp;"*")</f>
        <v>0</v>
      </c>
      <c r="F236">
        <f t="shared" si="44"/>
        <v>1</v>
      </c>
      <c r="G236">
        <f t="shared" si="45"/>
        <v>3</v>
      </c>
      <c r="H236">
        <f t="shared" si="42"/>
        <v>0</v>
      </c>
      <c r="I236">
        <f t="shared" si="43"/>
        <v>0</v>
      </c>
      <c r="J236">
        <f t="shared" si="46"/>
        <v>3</v>
      </c>
      <c r="K236" s="46">
        <f t="shared" si="47"/>
        <v>6.1417769376181495</v>
      </c>
      <c r="L236">
        <f t="shared" si="48"/>
        <v>6.1417769376181495</v>
      </c>
    </row>
    <row r="237" spans="1:13" x14ac:dyDescent="0.45">
      <c r="A237">
        <v>2</v>
      </c>
      <c r="B237" t="s">
        <v>236</v>
      </c>
      <c r="C237">
        <f>COUNTIFS(AnalizaCzyste[Kształcenie na ocenianej uczelni ma/będzie miało pozytywny wpływ na zwiększenie zarobków mojej/mojego podopiecznej/podopiecznego.],B237,AnalizaCzyste[Czy jesteś rodzicem / opiekunem absolwenta uczelni wyższej?],"*"&amp;"Tak"&amp;"*")</f>
        <v>2</v>
      </c>
      <c r="D237">
        <f>COUNTIFS(AnalizaCzyste[Kształcenie na ocenianej uczelni ma/będzie miało pozytywny wpływ na zwiększenie zarobków mojej/mojego podopiecznej/podopiecznego.17],B237,AnalizaCzyste[Czy jesteś rodzicem / opiekunem absolwenta uczelni wyższej?],"*"&amp;"Tak"&amp;"*")</f>
        <v>1</v>
      </c>
      <c r="E237">
        <f>COUNTIFS(AnalizaCzyste[Kształcenie na ocenianej uczelni ma/będzie miało pozytywny wpływ na zwiększenie zarobków mojej/mojego podopiecznej/podopiecznego.31],B237,AnalizaCzyste[Czy jesteś rodzicem / opiekunem absolwenta uczelni wyższej?],"*"&amp;"Tak"&amp;"*")</f>
        <v>0</v>
      </c>
      <c r="F237">
        <f t="shared" si="44"/>
        <v>3</v>
      </c>
      <c r="G237">
        <f t="shared" si="45"/>
        <v>4</v>
      </c>
      <c r="H237">
        <f t="shared" si="42"/>
        <v>2</v>
      </c>
      <c r="I237">
        <f t="shared" si="43"/>
        <v>0</v>
      </c>
      <c r="J237">
        <f t="shared" si="46"/>
        <v>6</v>
      </c>
      <c r="K237" s="46">
        <f t="shared" si="47"/>
        <v>12.098298676748584</v>
      </c>
      <c r="L237">
        <f t="shared" si="48"/>
        <v>36.294896030245752</v>
      </c>
    </row>
    <row r="238" spans="1:13" x14ac:dyDescent="0.45">
      <c r="A238">
        <v>1</v>
      </c>
      <c r="B238" t="s">
        <v>129</v>
      </c>
      <c r="C238">
        <f>COUNTIFS(AnalizaCzyste[Kształcenie na ocenianej uczelni ma/będzie miało pozytywny wpływ na zwiększenie zarobków mojej/mojego podopiecznej/podopiecznego.],B238,AnalizaCzyste[Czy jesteś rodzicem / opiekunem absolwenta uczelni wyższej?],"*"&amp;"Tak"&amp;"*")</f>
        <v>0</v>
      </c>
      <c r="D238">
        <f>COUNTIFS(AnalizaCzyste[Kształcenie na ocenianej uczelni ma/będzie miało pozytywny wpływ na zwiększenie zarobków mojej/mojego podopiecznej/podopiecznego.17],B238,AnalizaCzyste[Czy jesteś rodzicem / opiekunem absolwenta uczelni wyższej?],"*"&amp;"Tak"&amp;"*")</f>
        <v>0</v>
      </c>
      <c r="E238">
        <f>COUNTIFS(AnalizaCzyste[Kształcenie na ocenianej uczelni ma/będzie miało pozytywny wpływ na zwiększenie zarobków mojej/mojego podopiecznej/podopiecznego.31],B238,AnalizaCzyste[Czy jesteś rodzicem / opiekunem absolwenta uczelni wyższej?],"*"&amp;"Tak"&amp;"*")</f>
        <v>0</v>
      </c>
      <c r="F238">
        <f t="shared" si="44"/>
        <v>0</v>
      </c>
      <c r="G238">
        <f t="shared" si="45"/>
        <v>0</v>
      </c>
      <c r="H238">
        <f t="shared" si="42"/>
        <v>0</v>
      </c>
      <c r="I238">
        <f t="shared" si="43"/>
        <v>0</v>
      </c>
      <c r="J238">
        <f t="shared" si="46"/>
        <v>0</v>
      </c>
      <c r="K238" s="46">
        <f t="shared" si="47"/>
        <v>20.054820415879021</v>
      </c>
      <c r="L238">
        <f t="shared" si="48"/>
        <v>0</v>
      </c>
    </row>
    <row r="239" spans="1:13" x14ac:dyDescent="0.45">
      <c r="A239" t="s">
        <v>2333</v>
      </c>
      <c r="B239" t="s">
        <v>132</v>
      </c>
      <c r="C239">
        <f>COUNTIFS(AnalizaCzyste[Kształcenie na ocenianej uczelni ma/będzie miało pozytywny wpływ na zwiększenie zarobków mojej/mojego podopiecznej/podopiecznego.],B239,AnalizaCzyste[Czy jesteś rodzicem / opiekunem absolwenta uczelni wyższej?],"*"&amp;"Tak"&amp;"*")</f>
        <v>1</v>
      </c>
      <c r="D239">
        <f>COUNTIFS(AnalizaCzyste[Kształcenie na ocenianej uczelni ma/będzie miało pozytywny wpływ na zwiększenie zarobków mojej/mojego podopiecznej/podopiecznego.17],B239,AnalizaCzyste[Czy jesteś rodzicem / opiekunem absolwenta uczelni wyższej?],"*"&amp;"Tak"&amp;"*")</f>
        <v>0</v>
      </c>
      <c r="E239">
        <f>COUNTIFS(AnalizaCzyste[Kształcenie na ocenianej uczelni ma/będzie miało pozytywny wpływ na zwiększenie zarobków mojej/mojego podopiecznej/podopiecznego.31],B239,AnalizaCzyste[Czy jesteś rodzicem / opiekunem absolwenta uczelni wyższej?],"*"&amp;"Tak"&amp;"*")</f>
        <v>0</v>
      </c>
      <c r="F239">
        <f t="shared" si="44"/>
        <v>1</v>
      </c>
      <c r="G239">
        <f t="shared" si="45"/>
        <v>1</v>
      </c>
      <c r="H239">
        <f t="shared" si="42"/>
        <v>0</v>
      </c>
      <c r="I239">
        <f t="shared" si="43"/>
        <v>0</v>
      </c>
      <c r="J239">
        <f t="shared" si="46"/>
        <v>1</v>
      </c>
    </row>
    <row r="240" spans="1:13" x14ac:dyDescent="0.45">
      <c r="B240" s="20" t="s">
        <v>2356</v>
      </c>
      <c r="C240" s="29">
        <f>SUM(C232:C239)</f>
        <v>17</v>
      </c>
      <c r="D240" s="29">
        <f>SUM(D232:D239)</f>
        <v>5</v>
      </c>
      <c r="E240" s="29">
        <f>SUM(E232:E239)</f>
        <v>2</v>
      </c>
      <c r="F240" s="29">
        <f t="shared" si="44"/>
        <v>24</v>
      </c>
      <c r="G240" s="46">
        <f>SUM(G232:G239)/$C241</f>
        <v>5.5</v>
      </c>
      <c r="H240" s="46">
        <f t="shared" ref="H240" si="49">SUM(H232:H239)/$C241</f>
        <v>1.625</v>
      </c>
      <c r="I240" s="46">
        <f t="shared" ref="I240" si="50">SUM(I232:I239)/$C241</f>
        <v>0.8125</v>
      </c>
      <c r="J240" s="46">
        <f>SUM(J232:J238)/$F241</f>
        <v>5.4782608695652177</v>
      </c>
      <c r="K240" s="20" t="s">
        <v>2358</v>
      </c>
      <c r="L240" s="46">
        <f>SUM(L232:L239)/(F241-1)</f>
        <v>3.1699604743082999</v>
      </c>
      <c r="M240" s="20" t="s">
        <v>2354</v>
      </c>
    </row>
    <row r="241" spans="1:13" x14ac:dyDescent="0.45">
      <c r="B241" s="20" t="s">
        <v>2357</v>
      </c>
      <c r="C241">
        <f>C240-C239</f>
        <v>16</v>
      </c>
      <c r="D241">
        <f>D240-D239</f>
        <v>5</v>
      </c>
      <c r="E241">
        <f>E240-E239</f>
        <v>2</v>
      </c>
      <c r="F241">
        <f t="shared" si="44"/>
        <v>23</v>
      </c>
      <c r="G241" s="33">
        <f>G240/7</f>
        <v>0.7857142857142857</v>
      </c>
      <c r="H241" s="33"/>
      <c r="I241" s="33"/>
      <c r="J241" s="33"/>
      <c r="L241" s="46">
        <f>L240^(1/2)</f>
        <v>1.7804382815217998</v>
      </c>
      <c r="M241" t="s">
        <v>2369</v>
      </c>
    </row>
    <row r="242" spans="1:13" x14ac:dyDescent="0.45">
      <c r="B242" s="20"/>
      <c r="D242" s="33"/>
      <c r="F242" s="46"/>
    </row>
    <row r="243" spans="1:13" x14ac:dyDescent="0.45">
      <c r="B243" s="20"/>
      <c r="D243" s="33"/>
      <c r="F243" s="46"/>
    </row>
    <row r="244" spans="1:13" x14ac:dyDescent="0.45">
      <c r="B244" s="20"/>
      <c r="D244" s="33"/>
      <c r="F244" s="46"/>
    </row>
    <row r="246" spans="1:13" x14ac:dyDescent="0.45">
      <c r="A246" s="29" t="s">
        <v>2360</v>
      </c>
      <c r="C246" t="s">
        <v>2353</v>
      </c>
      <c r="E246" s="20" t="s">
        <v>2367</v>
      </c>
      <c r="F246" s="20" t="s">
        <v>2368</v>
      </c>
    </row>
    <row r="247" spans="1:13" x14ac:dyDescent="0.45">
      <c r="A247">
        <v>7</v>
      </c>
      <c r="B247" t="s">
        <v>169</v>
      </c>
      <c r="C247">
        <f>COUNTIFS(AnalizaCzyste[Moja satysfakcja z pracy na ocenianej uczelni jest wysoka.],B247,AnalizaCzyste[Czy jesteś aktualnie pracownikiem administracyjnym uczelni wyższej?],"*"&amp;"Tak"&amp;"*")</f>
        <v>3</v>
      </c>
      <c r="D247">
        <f>PRODUCT(A247,C247)</f>
        <v>21</v>
      </c>
      <c r="E247" s="46">
        <f>(A247-$D$255)^2</f>
        <v>6.25E-2</v>
      </c>
      <c r="F247">
        <f>PRODUCT(C247,E247)</f>
        <v>0.1875</v>
      </c>
    </row>
    <row r="248" spans="1:13" x14ac:dyDescent="0.45">
      <c r="A248">
        <v>6</v>
      </c>
      <c r="B248" t="s">
        <v>150</v>
      </c>
      <c r="C248">
        <f>COUNTIFS(AnalizaCzyste[Moja satysfakcja z pracy na ocenianej uczelni jest wysoka.],B248,AnalizaCzyste[Czy jesteś aktualnie pracownikiem administracyjnym uczelni wyższej?],"*"&amp;"Tak"&amp;"*")</f>
        <v>1</v>
      </c>
      <c r="D248">
        <f t="shared" ref="D248:D254" si="51">PRODUCT(A248,C248)</f>
        <v>6</v>
      </c>
      <c r="E248" s="46">
        <f t="shared" ref="E248:E253" si="52">(A248-$D$255)^2</f>
        <v>0.5625</v>
      </c>
      <c r="F248">
        <f t="shared" ref="F248:F253" si="53">PRODUCT(C248,E248)</f>
        <v>0.5625</v>
      </c>
    </row>
    <row r="249" spans="1:13" x14ac:dyDescent="0.45">
      <c r="A249">
        <v>5</v>
      </c>
      <c r="B249" t="s">
        <v>162</v>
      </c>
      <c r="C249">
        <f>COUNTIFS(AnalizaCzyste[Moja satysfakcja z pracy na ocenianej uczelni jest wysoka.],B249,AnalizaCzyste[Czy jesteś aktualnie pracownikiem administracyjnym uczelni wyższej?],"*"&amp;"Tak"&amp;"*")</f>
        <v>0</v>
      </c>
      <c r="D249">
        <f t="shared" si="51"/>
        <v>0</v>
      </c>
      <c r="E249" s="46">
        <f t="shared" si="52"/>
        <v>3.0625</v>
      </c>
      <c r="F249">
        <f t="shared" si="53"/>
        <v>0</v>
      </c>
    </row>
    <row r="250" spans="1:13" x14ac:dyDescent="0.45">
      <c r="A250">
        <v>4</v>
      </c>
      <c r="B250" t="s">
        <v>151</v>
      </c>
      <c r="C250">
        <f>COUNTIFS(AnalizaCzyste[Moja satysfakcja z pracy na ocenianej uczelni jest wysoka.],B250,AnalizaCzyste[Czy jesteś aktualnie pracownikiem administracyjnym uczelni wyższej?],"*"&amp;"Tak"&amp;"*")</f>
        <v>0</v>
      </c>
      <c r="D250">
        <f t="shared" si="51"/>
        <v>0</v>
      </c>
      <c r="E250" s="46">
        <f t="shared" si="52"/>
        <v>7.5625</v>
      </c>
      <c r="F250">
        <f t="shared" si="53"/>
        <v>0</v>
      </c>
    </row>
    <row r="251" spans="1:13" x14ac:dyDescent="0.45">
      <c r="A251">
        <v>3</v>
      </c>
      <c r="B251" t="s">
        <v>128</v>
      </c>
      <c r="C251">
        <f>COUNTIFS(AnalizaCzyste[Moja satysfakcja z pracy na ocenianej uczelni jest wysoka.],B251,AnalizaCzyste[Czy jesteś aktualnie pracownikiem administracyjnym uczelni wyższej?],"*"&amp;"Tak"&amp;"*")</f>
        <v>0</v>
      </c>
      <c r="D251">
        <f t="shared" si="51"/>
        <v>0</v>
      </c>
      <c r="E251" s="46">
        <f t="shared" si="52"/>
        <v>14.0625</v>
      </c>
      <c r="F251">
        <f t="shared" si="53"/>
        <v>0</v>
      </c>
    </row>
    <row r="252" spans="1:13" x14ac:dyDescent="0.45">
      <c r="A252">
        <v>2</v>
      </c>
      <c r="B252" t="s">
        <v>236</v>
      </c>
      <c r="C252">
        <f>COUNTIFS(AnalizaCzyste[Moja satysfakcja z pracy na ocenianej uczelni jest wysoka.],B252,AnalizaCzyste[Czy jesteś aktualnie pracownikiem administracyjnym uczelni wyższej?],"*"&amp;"Tak"&amp;"*")</f>
        <v>0</v>
      </c>
      <c r="D252">
        <f t="shared" si="51"/>
        <v>0</v>
      </c>
      <c r="E252" s="46">
        <f t="shared" si="52"/>
        <v>22.5625</v>
      </c>
      <c r="F252">
        <f t="shared" si="53"/>
        <v>0</v>
      </c>
    </row>
    <row r="253" spans="1:13" x14ac:dyDescent="0.45">
      <c r="A253">
        <v>1</v>
      </c>
      <c r="B253" t="s">
        <v>129</v>
      </c>
      <c r="C253">
        <f>COUNTIFS(AnalizaCzyste[Moja satysfakcja z pracy na ocenianej uczelni jest wysoka.],B253,AnalizaCzyste[Czy jesteś aktualnie pracownikiem administracyjnym uczelni wyższej?],"*"&amp;"Tak"&amp;"*")</f>
        <v>0</v>
      </c>
      <c r="D253">
        <f t="shared" si="51"/>
        <v>0</v>
      </c>
      <c r="E253" s="46">
        <f t="shared" si="52"/>
        <v>33.0625</v>
      </c>
      <c r="F253">
        <f t="shared" si="53"/>
        <v>0</v>
      </c>
    </row>
    <row r="254" spans="1:13" x14ac:dyDescent="0.45">
      <c r="A254" t="s">
        <v>2333</v>
      </c>
      <c r="B254" t="s">
        <v>132</v>
      </c>
      <c r="C254">
        <f>COUNTIFS(AnalizaCzyste[Moja satysfakcja z pracy na ocenianej uczelni jest wysoka.],B254,AnalizaCzyste[Czy jesteś aktualnie pracownikiem administracyjnym uczelni wyższej?],"*"&amp;"Tak"&amp;"*")</f>
        <v>0</v>
      </c>
      <c r="D254">
        <f t="shared" si="51"/>
        <v>0</v>
      </c>
    </row>
    <row r="255" spans="1:13" x14ac:dyDescent="0.45">
      <c r="B255" s="20" t="s">
        <v>2356</v>
      </c>
      <c r="C255" s="29">
        <f>SUM(C247:C254)</f>
        <v>4</v>
      </c>
      <c r="D255" s="46">
        <f>SUM(D247:D253)/C256</f>
        <v>6.75</v>
      </c>
      <c r="E255" s="20" t="s">
        <v>2358</v>
      </c>
      <c r="F255" s="46">
        <f>SUM(F247:F254)/(C256-1)</f>
        <v>0.25</v>
      </c>
      <c r="G255" s="20" t="s">
        <v>2354</v>
      </c>
    </row>
    <row r="256" spans="1:13" x14ac:dyDescent="0.45">
      <c r="B256" s="20" t="s">
        <v>2357</v>
      </c>
      <c r="C256">
        <f>C255-C254</f>
        <v>4</v>
      </c>
      <c r="D256" s="33">
        <f>D255/7</f>
        <v>0.9642857142857143</v>
      </c>
      <c r="F256" s="46">
        <f>F255^(1/2)</f>
        <v>0.5</v>
      </c>
      <c r="G256" t="s">
        <v>2369</v>
      </c>
    </row>
    <row r="257" spans="1:7" x14ac:dyDescent="0.45">
      <c r="B257" s="20"/>
      <c r="D257" s="33"/>
      <c r="F257" s="46"/>
    </row>
    <row r="258" spans="1:7" x14ac:dyDescent="0.45">
      <c r="A258" s="29" t="s">
        <v>2382</v>
      </c>
      <c r="C258" t="s">
        <v>2353</v>
      </c>
      <c r="E258" s="20" t="s">
        <v>2367</v>
      </c>
      <c r="F258" s="20" t="s">
        <v>2368</v>
      </c>
    </row>
    <row r="259" spans="1:7" x14ac:dyDescent="0.45">
      <c r="A259">
        <v>7</v>
      </c>
      <c r="B259" t="s">
        <v>169</v>
      </c>
      <c r="C259">
        <f>COUNTIFS(AnalizaCzyste[Atmosfera w zespole współpracowników jest dobra.],B259,AnalizaCzyste[Czy jesteś aktualnie pracownikiem administracyjnym uczelni wyższej?],"*"&amp;"Tak"&amp;"*")</f>
        <v>2</v>
      </c>
      <c r="D259">
        <f>PRODUCT(A259,C259)</f>
        <v>14</v>
      </c>
      <c r="E259" s="46">
        <f>(A259-$D$267)^2</f>
        <v>0.5625</v>
      </c>
      <c r="F259">
        <f>PRODUCT(C259,E259)</f>
        <v>1.125</v>
      </c>
    </row>
    <row r="260" spans="1:7" x14ac:dyDescent="0.45">
      <c r="A260">
        <v>6</v>
      </c>
      <c r="B260" t="s">
        <v>150</v>
      </c>
      <c r="C260">
        <f>COUNTIFS(AnalizaCzyste[Atmosfera w zespole współpracowników jest dobra.],B260,AnalizaCzyste[Czy jesteś aktualnie pracownikiem administracyjnym uczelni wyższej?],"*"&amp;"Tak"&amp;"*")</f>
        <v>1</v>
      </c>
      <c r="D260">
        <f t="shared" ref="D260:D266" si="54">PRODUCT(A260,C260)</f>
        <v>6</v>
      </c>
      <c r="E260" s="46">
        <f t="shared" ref="E260:E265" si="55">(A260-$D$267)^2</f>
        <v>6.25E-2</v>
      </c>
      <c r="F260">
        <f t="shared" ref="F260:F265" si="56">PRODUCT(C260,E260)</f>
        <v>6.25E-2</v>
      </c>
    </row>
    <row r="261" spans="1:7" x14ac:dyDescent="0.45">
      <c r="A261">
        <v>5</v>
      </c>
      <c r="B261" t="s">
        <v>162</v>
      </c>
      <c r="C261">
        <f>COUNTIFS(AnalizaCzyste[Atmosfera w zespole współpracowników jest dobra.],B261,AnalizaCzyste[Czy jesteś aktualnie pracownikiem administracyjnym uczelni wyższej?],"*"&amp;"Tak"&amp;"*")</f>
        <v>1</v>
      </c>
      <c r="D261">
        <f t="shared" si="54"/>
        <v>5</v>
      </c>
      <c r="E261" s="46">
        <f t="shared" si="55"/>
        <v>1.5625</v>
      </c>
      <c r="F261">
        <f t="shared" si="56"/>
        <v>1.5625</v>
      </c>
    </row>
    <row r="262" spans="1:7" x14ac:dyDescent="0.45">
      <c r="A262">
        <v>4</v>
      </c>
      <c r="B262" t="s">
        <v>151</v>
      </c>
      <c r="C262">
        <f>COUNTIFS(AnalizaCzyste[Atmosfera w zespole współpracowników jest dobra.],B262,AnalizaCzyste[Czy jesteś aktualnie pracownikiem administracyjnym uczelni wyższej?],"*"&amp;"Tak"&amp;"*")</f>
        <v>0</v>
      </c>
      <c r="D262">
        <f t="shared" si="54"/>
        <v>0</v>
      </c>
      <c r="E262" s="46">
        <f t="shared" si="55"/>
        <v>5.0625</v>
      </c>
      <c r="F262">
        <f t="shared" si="56"/>
        <v>0</v>
      </c>
    </row>
    <row r="263" spans="1:7" x14ac:dyDescent="0.45">
      <c r="A263">
        <v>3</v>
      </c>
      <c r="B263" t="s">
        <v>128</v>
      </c>
      <c r="C263">
        <f>COUNTIFS(AnalizaCzyste[Atmosfera w zespole współpracowników jest dobra.],B263,AnalizaCzyste[Czy jesteś aktualnie pracownikiem administracyjnym uczelni wyższej?],"*"&amp;"Tak"&amp;"*")</f>
        <v>0</v>
      </c>
      <c r="D263">
        <f t="shared" si="54"/>
        <v>0</v>
      </c>
      <c r="E263" s="46">
        <f t="shared" si="55"/>
        <v>10.5625</v>
      </c>
      <c r="F263">
        <f t="shared" si="56"/>
        <v>0</v>
      </c>
    </row>
    <row r="264" spans="1:7" x14ac:dyDescent="0.45">
      <c r="A264">
        <v>2</v>
      </c>
      <c r="B264" t="s">
        <v>236</v>
      </c>
      <c r="C264">
        <f>COUNTIFS(AnalizaCzyste[Atmosfera w zespole współpracowników jest dobra.],B264,AnalizaCzyste[Czy jesteś aktualnie pracownikiem administracyjnym uczelni wyższej?],"*"&amp;"Tak"&amp;"*")</f>
        <v>0</v>
      </c>
      <c r="D264">
        <f t="shared" si="54"/>
        <v>0</v>
      </c>
      <c r="E264" s="46">
        <f t="shared" si="55"/>
        <v>18.0625</v>
      </c>
      <c r="F264">
        <f t="shared" si="56"/>
        <v>0</v>
      </c>
    </row>
    <row r="265" spans="1:7" x14ac:dyDescent="0.45">
      <c r="A265">
        <v>1</v>
      </c>
      <c r="B265" t="s">
        <v>129</v>
      </c>
      <c r="C265">
        <f>COUNTIFS(AnalizaCzyste[Atmosfera w zespole współpracowników jest dobra.],B265,AnalizaCzyste[Czy jesteś aktualnie pracownikiem administracyjnym uczelni wyższej?],"*"&amp;"Tak"&amp;"*")</f>
        <v>0</v>
      </c>
      <c r="D265">
        <f t="shared" si="54"/>
        <v>0</v>
      </c>
      <c r="E265" s="46">
        <f t="shared" si="55"/>
        <v>27.5625</v>
      </c>
      <c r="F265">
        <f t="shared" si="56"/>
        <v>0</v>
      </c>
    </row>
    <row r="266" spans="1:7" x14ac:dyDescent="0.45">
      <c r="A266" t="s">
        <v>2333</v>
      </c>
      <c r="B266" t="s">
        <v>132</v>
      </c>
      <c r="C266">
        <f>COUNTIFS(AnalizaCzyste[Moja satysfakcja z pracy na ocenianej uczelni jest wysoka.],B266,AnalizaCzyste[Czy jesteś aktualnie pracownikiem administracyjnym uczelni wyższej?],"*"&amp;"Tak"&amp;"*")</f>
        <v>0</v>
      </c>
      <c r="D266">
        <f t="shared" si="54"/>
        <v>0</v>
      </c>
    </row>
    <row r="267" spans="1:7" x14ac:dyDescent="0.45">
      <c r="B267" s="20" t="s">
        <v>2356</v>
      </c>
      <c r="C267" s="29">
        <f>SUM(C259:C266)</f>
        <v>4</v>
      </c>
      <c r="D267" s="46">
        <f>SUM(D259:D265)/C268</f>
        <v>6.25</v>
      </c>
      <c r="E267" s="20" t="s">
        <v>2358</v>
      </c>
      <c r="F267" s="46">
        <f>SUM(F259:F266)/(C268-1)</f>
        <v>0.91666666666666663</v>
      </c>
      <c r="G267" s="20" t="s">
        <v>2354</v>
      </c>
    </row>
    <row r="268" spans="1:7" x14ac:dyDescent="0.45">
      <c r="B268" s="20" t="s">
        <v>2357</v>
      </c>
      <c r="C268">
        <f>C267-C266</f>
        <v>4</v>
      </c>
      <c r="D268" s="33">
        <f>D267/7</f>
        <v>0.8928571428571429</v>
      </c>
      <c r="F268" s="46">
        <f>F267^(1/2)</f>
        <v>0.9574271077563381</v>
      </c>
      <c r="G268" t="s">
        <v>2369</v>
      </c>
    </row>
    <row r="269" spans="1:7" x14ac:dyDescent="0.45">
      <c r="B269" s="20"/>
      <c r="D269" s="33"/>
      <c r="F269" s="46"/>
    </row>
    <row r="270" spans="1:7" x14ac:dyDescent="0.45">
      <c r="A270" s="29" t="s">
        <v>2383</v>
      </c>
      <c r="C270" t="s">
        <v>2353</v>
      </c>
      <c r="E270" s="20" t="s">
        <v>2367</v>
      </c>
      <c r="F270" s="20" t="s">
        <v>2368</v>
      </c>
    </row>
    <row r="271" spans="1:7" x14ac:dyDescent="0.45">
      <c r="A271">
        <v>7</v>
      </c>
      <c r="B271" t="s">
        <v>169</v>
      </c>
      <c r="C271">
        <f>COUNTIFS(AnalizaCzyste[Moje zarobki są satysfakcjonujące.],B271,AnalizaCzyste[Czy jesteś aktualnie pracownikiem administracyjnym uczelni wyższej?],"*"&amp;"Tak"&amp;"*")</f>
        <v>3</v>
      </c>
      <c r="D271">
        <f>PRODUCT(A271,C271)</f>
        <v>21</v>
      </c>
      <c r="E271" s="46">
        <f>(A271-$D$279)^2</f>
        <v>1</v>
      </c>
      <c r="F271">
        <f>PRODUCT(C271,E271)</f>
        <v>3</v>
      </c>
    </row>
    <row r="272" spans="1:7" x14ac:dyDescent="0.45">
      <c r="A272">
        <v>6</v>
      </c>
      <c r="B272" t="s">
        <v>150</v>
      </c>
      <c r="C272">
        <f>COUNTIFS(AnalizaCzyste[Moje zarobki są satysfakcjonujące.],B272,AnalizaCzyste[Czy jesteś aktualnie pracownikiem administracyjnym uczelni wyższej?],"*"&amp;"Tak"&amp;"*")</f>
        <v>0</v>
      </c>
      <c r="D272">
        <f t="shared" ref="D272:D278" si="57">PRODUCT(A272,C272)</f>
        <v>0</v>
      </c>
      <c r="E272" s="46">
        <f t="shared" ref="E272:E277" si="58">(A272-$D$279)^2</f>
        <v>0</v>
      </c>
      <c r="F272">
        <f t="shared" ref="F272:F277" si="59">PRODUCT(C272,E272)</f>
        <v>0</v>
      </c>
    </row>
    <row r="273" spans="1:7" x14ac:dyDescent="0.45">
      <c r="A273">
        <v>5</v>
      </c>
      <c r="B273" t="s">
        <v>162</v>
      </c>
      <c r="C273">
        <f>COUNTIFS(AnalizaCzyste[Moje zarobki są satysfakcjonujące.],B273,AnalizaCzyste[Czy jesteś aktualnie pracownikiem administracyjnym uczelni wyższej?],"*"&amp;"Tak"&amp;"*")</f>
        <v>0</v>
      </c>
      <c r="D273">
        <f t="shared" si="57"/>
        <v>0</v>
      </c>
      <c r="E273" s="46">
        <f t="shared" si="58"/>
        <v>1</v>
      </c>
      <c r="F273">
        <f t="shared" si="59"/>
        <v>0</v>
      </c>
    </row>
    <row r="274" spans="1:7" x14ac:dyDescent="0.45">
      <c r="A274">
        <v>4</v>
      </c>
      <c r="B274" t="s">
        <v>151</v>
      </c>
      <c r="C274">
        <f>COUNTIFS(AnalizaCzyste[Moje zarobki są satysfakcjonujące.],B274,AnalizaCzyste[Czy jesteś aktualnie pracownikiem administracyjnym uczelni wyższej?],"*"&amp;"Tak"&amp;"*")</f>
        <v>0</v>
      </c>
      <c r="D274">
        <f t="shared" si="57"/>
        <v>0</v>
      </c>
      <c r="E274" s="46">
        <f t="shared" si="58"/>
        <v>4</v>
      </c>
      <c r="F274">
        <f t="shared" si="59"/>
        <v>0</v>
      </c>
    </row>
    <row r="275" spans="1:7" x14ac:dyDescent="0.45">
      <c r="A275">
        <v>3</v>
      </c>
      <c r="B275" t="s">
        <v>128</v>
      </c>
      <c r="C275">
        <f>COUNTIFS(AnalizaCzyste[Moje zarobki są satysfakcjonujące.],B275,AnalizaCzyste[Czy jesteś aktualnie pracownikiem administracyjnym uczelni wyższej?],"*"&amp;"Tak"&amp;"*")</f>
        <v>1</v>
      </c>
      <c r="D275">
        <f t="shared" si="57"/>
        <v>3</v>
      </c>
      <c r="E275" s="46">
        <f t="shared" si="58"/>
        <v>9</v>
      </c>
      <c r="F275">
        <f t="shared" si="59"/>
        <v>9</v>
      </c>
    </row>
    <row r="276" spans="1:7" x14ac:dyDescent="0.45">
      <c r="A276">
        <v>2</v>
      </c>
      <c r="B276" t="s">
        <v>236</v>
      </c>
      <c r="C276">
        <f>COUNTIFS(AnalizaCzyste[Moje zarobki są satysfakcjonujące.],B276,AnalizaCzyste[Czy jesteś aktualnie pracownikiem administracyjnym uczelni wyższej?],"*"&amp;"Tak"&amp;"*")</f>
        <v>0</v>
      </c>
      <c r="D276">
        <f t="shared" si="57"/>
        <v>0</v>
      </c>
      <c r="E276" s="46">
        <f t="shared" si="58"/>
        <v>16</v>
      </c>
      <c r="F276">
        <f t="shared" si="59"/>
        <v>0</v>
      </c>
    </row>
    <row r="277" spans="1:7" x14ac:dyDescent="0.45">
      <c r="A277">
        <v>1</v>
      </c>
      <c r="B277" t="s">
        <v>129</v>
      </c>
      <c r="C277">
        <f>COUNTIFS(AnalizaCzyste[Moje zarobki są satysfakcjonujące.],B277,AnalizaCzyste[Czy jesteś aktualnie pracownikiem administracyjnym uczelni wyższej?],"*"&amp;"Tak"&amp;"*")</f>
        <v>0</v>
      </c>
      <c r="D277">
        <f t="shared" si="57"/>
        <v>0</v>
      </c>
      <c r="E277" s="46">
        <f t="shared" si="58"/>
        <v>25</v>
      </c>
      <c r="F277">
        <f t="shared" si="59"/>
        <v>0</v>
      </c>
    </row>
    <row r="278" spans="1:7" x14ac:dyDescent="0.45">
      <c r="A278" t="s">
        <v>2333</v>
      </c>
      <c r="B278" t="s">
        <v>132</v>
      </c>
      <c r="C278">
        <f>COUNTIFS(AnalizaCzyste[Moje zarobki są satysfakcjonujące.],B278,AnalizaCzyste[Czy jesteś aktualnie pracownikiem administracyjnym uczelni wyższej?],"*"&amp;"Tak"&amp;"*")</f>
        <v>0</v>
      </c>
      <c r="D278">
        <f t="shared" si="57"/>
        <v>0</v>
      </c>
    </row>
    <row r="279" spans="1:7" x14ac:dyDescent="0.45">
      <c r="B279" s="20" t="s">
        <v>2356</v>
      </c>
      <c r="C279" s="29">
        <f>SUM(C271:C278)</f>
        <v>4</v>
      </c>
      <c r="D279" s="46">
        <f>SUM(D271:D277)/C280</f>
        <v>6</v>
      </c>
      <c r="E279" s="20" t="s">
        <v>2358</v>
      </c>
      <c r="F279" s="46">
        <f>SUM(F271:F278)/(C280-1)</f>
        <v>4</v>
      </c>
      <c r="G279" s="20" t="s">
        <v>2354</v>
      </c>
    </row>
    <row r="280" spans="1:7" x14ac:dyDescent="0.45">
      <c r="B280" s="20" t="s">
        <v>2357</v>
      </c>
      <c r="C280">
        <f>C279-C278</f>
        <v>4</v>
      </c>
      <c r="D280" s="33">
        <f>D279/7</f>
        <v>0.8571428571428571</v>
      </c>
      <c r="F280" s="46">
        <f>F279^(1/2)</f>
        <v>2</v>
      </c>
      <c r="G280" t="s">
        <v>2369</v>
      </c>
    </row>
    <row r="281" spans="1:7" x14ac:dyDescent="0.45">
      <c r="B281" s="20"/>
      <c r="D281" s="33"/>
      <c r="F281" s="46"/>
    </row>
    <row r="282" spans="1:7" x14ac:dyDescent="0.45">
      <c r="A282" s="29" t="s">
        <v>2384</v>
      </c>
      <c r="C282" t="s">
        <v>2353</v>
      </c>
      <c r="E282" s="20" t="s">
        <v>2367</v>
      </c>
      <c r="F282" s="20" t="s">
        <v>2368</v>
      </c>
    </row>
    <row r="283" spans="1:7" x14ac:dyDescent="0.45">
      <c r="A283">
        <v>7</v>
      </c>
      <c r="B283" t="s">
        <v>169</v>
      </c>
      <c r="C283">
        <f>COUNTIFS(AnalizaCzyste[Praca na ocenianej uczelni daje mi duże szanse rozwoju.],B283,AnalizaCzyste[Czy jesteś aktualnie pracownikiem administracyjnym uczelni wyższej?],"*"&amp;"Tak"&amp;"*")</f>
        <v>3</v>
      </c>
      <c r="D283">
        <f>PRODUCT(A283,C283)</f>
        <v>21</v>
      </c>
      <c r="E283" s="46">
        <f>(A283-$D$291)^2</f>
        <v>6.25E-2</v>
      </c>
      <c r="F283">
        <f>PRODUCT(C283,E283)</f>
        <v>0.1875</v>
      </c>
    </row>
    <row r="284" spans="1:7" x14ac:dyDescent="0.45">
      <c r="A284">
        <v>6</v>
      </c>
      <c r="B284" t="s">
        <v>150</v>
      </c>
      <c r="C284">
        <f>COUNTIFS(AnalizaCzyste[Praca na ocenianej uczelni daje mi duże szanse rozwoju.],B284,AnalizaCzyste[Czy jesteś aktualnie pracownikiem administracyjnym uczelni wyższej?],"*"&amp;"Tak"&amp;"*")</f>
        <v>1</v>
      </c>
      <c r="D284">
        <f t="shared" ref="D284:D290" si="60">PRODUCT(A284,C284)</f>
        <v>6</v>
      </c>
      <c r="E284" s="46">
        <f t="shared" ref="E284:E289" si="61">(A284-$D$291)^2</f>
        <v>0.5625</v>
      </c>
      <c r="F284">
        <f t="shared" ref="F284:F289" si="62">PRODUCT(C284,E284)</f>
        <v>0.5625</v>
      </c>
    </row>
    <row r="285" spans="1:7" x14ac:dyDescent="0.45">
      <c r="A285">
        <v>5</v>
      </c>
      <c r="B285" t="s">
        <v>162</v>
      </c>
      <c r="C285">
        <f>COUNTIFS(AnalizaCzyste[Praca na ocenianej uczelni daje mi duże szanse rozwoju.],B285,AnalizaCzyste[Czy jesteś aktualnie pracownikiem administracyjnym uczelni wyższej?],"*"&amp;"Tak"&amp;"*")</f>
        <v>0</v>
      </c>
      <c r="D285">
        <f t="shared" si="60"/>
        <v>0</v>
      </c>
      <c r="E285" s="46">
        <f t="shared" si="61"/>
        <v>3.0625</v>
      </c>
      <c r="F285">
        <f t="shared" si="62"/>
        <v>0</v>
      </c>
    </row>
    <row r="286" spans="1:7" x14ac:dyDescent="0.45">
      <c r="A286">
        <v>4</v>
      </c>
      <c r="B286" t="s">
        <v>151</v>
      </c>
      <c r="C286">
        <f>COUNTIFS(AnalizaCzyste[Praca na ocenianej uczelni daje mi duże szanse rozwoju.],B286,AnalizaCzyste[Czy jesteś aktualnie pracownikiem administracyjnym uczelni wyższej?],"*"&amp;"Tak"&amp;"*")</f>
        <v>0</v>
      </c>
      <c r="D286">
        <f t="shared" si="60"/>
        <v>0</v>
      </c>
      <c r="E286" s="46">
        <f t="shared" si="61"/>
        <v>7.5625</v>
      </c>
      <c r="F286">
        <f t="shared" si="62"/>
        <v>0</v>
      </c>
    </row>
    <row r="287" spans="1:7" x14ac:dyDescent="0.45">
      <c r="A287">
        <v>3</v>
      </c>
      <c r="B287" t="s">
        <v>128</v>
      </c>
      <c r="C287">
        <f>COUNTIFS(AnalizaCzyste[Praca na ocenianej uczelni daje mi duże szanse rozwoju.],B287,AnalizaCzyste[Czy jesteś aktualnie pracownikiem administracyjnym uczelni wyższej?],"*"&amp;"Tak"&amp;"*")</f>
        <v>0</v>
      </c>
      <c r="D287">
        <f t="shared" si="60"/>
        <v>0</v>
      </c>
      <c r="E287" s="46">
        <f t="shared" si="61"/>
        <v>14.0625</v>
      </c>
      <c r="F287">
        <f t="shared" si="62"/>
        <v>0</v>
      </c>
    </row>
    <row r="288" spans="1:7" x14ac:dyDescent="0.45">
      <c r="A288">
        <v>2</v>
      </c>
      <c r="B288" t="s">
        <v>236</v>
      </c>
      <c r="C288">
        <f>COUNTIFS(AnalizaCzyste[Praca na ocenianej uczelni daje mi duże szanse rozwoju.],B288,AnalizaCzyste[Czy jesteś aktualnie pracownikiem administracyjnym uczelni wyższej?],"*"&amp;"Tak"&amp;"*")</f>
        <v>0</v>
      </c>
      <c r="D288">
        <f t="shared" si="60"/>
        <v>0</v>
      </c>
      <c r="E288" s="46">
        <f t="shared" si="61"/>
        <v>22.5625</v>
      </c>
      <c r="F288">
        <f t="shared" si="62"/>
        <v>0</v>
      </c>
    </row>
    <row r="289" spans="1:7" x14ac:dyDescent="0.45">
      <c r="A289">
        <v>1</v>
      </c>
      <c r="B289" t="s">
        <v>129</v>
      </c>
      <c r="C289">
        <f>COUNTIFS(AnalizaCzyste[Praca na ocenianej uczelni daje mi duże szanse rozwoju.],B289,AnalizaCzyste[Czy jesteś aktualnie pracownikiem administracyjnym uczelni wyższej?],"*"&amp;"Tak"&amp;"*")</f>
        <v>0</v>
      </c>
      <c r="D289">
        <f t="shared" si="60"/>
        <v>0</v>
      </c>
      <c r="E289" s="46">
        <f t="shared" si="61"/>
        <v>33.0625</v>
      </c>
      <c r="F289">
        <f t="shared" si="62"/>
        <v>0</v>
      </c>
    </row>
    <row r="290" spans="1:7" x14ac:dyDescent="0.45">
      <c r="A290" t="s">
        <v>2333</v>
      </c>
      <c r="B290" t="s">
        <v>132</v>
      </c>
      <c r="C290">
        <f>COUNTIFS(AnalizaCzyste[Praca na ocenianej uczelni daje mi duże szanse rozwoju.],B290,AnalizaCzyste[Czy jesteś aktualnie pracownikiem administracyjnym uczelni wyższej?],"*"&amp;"Tak"&amp;"*")</f>
        <v>0</v>
      </c>
      <c r="D290">
        <f t="shared" si="60"/>
        <v>0</v>
      </c>
    </row>
    <row r="291" spans="1:7" x14ac:dyDescent="0.45">
      <c r="B291" s="20" t="s">
        <v>2356</v>
      </c>
      <c r="C291" s="29">
        <f>SUM(C283:C290)</f>
        <v>4</v>
      </c>
      <c r="D291" s="46">
        <f>SUM(D283:D289)/C292</f>
        <v>6.75</v>
      </c>
      <c r="E291" s="20" t="s">
        <v>2358</v>
      </c>
      <c r="F291" s="46">
        <f>SUM(F283:F290)/(C292-1)</f>
        <v>0.25</v>
      </c>
      <c r="G291" s="20" t="s">
        <v>2354</v>
      </c>
    </row>
    <row r="292" spans="1:7" x14ac:dyDescent="0.45">
      <c r="B292" s="20" t="s">
        <v>2357</v>
      </c>
      <c r="C292">
        <f>C291-C290</f>
        <v>4</v>
      </c>
      <c r="D292" s="33">
        <f>D291/7</f>
        <v>0.9642857142857143</v>
      </c>
      <c r="F292" s="46">
        <f>F291^(1/2)</f>
        <v>0.5</v>
      </c>
      <c r="G292" t="s">
        <v>2369</v>
      </c>
    </row>
    <row r="293" spans="1:7" x14ac:dyDescent="0.45">
      <c r="B293" s="20"/>
      <c r="D293" s="33"/>
      <c r="F293" s="46"/>
    </row>
    <row r="294" spans="1:7" x14ac:dyDescent="0.45">
      <c r="A294" s="29" t="s">
        <v>2384</v>
      </c>
      <c r="C294" t="s">
        <v>2353</v>
      </c>
      <c r="E294" s="20" t="s">
        <v>2367</v>
      </c>
      <c r="F294" s="20" t="s">
        <v>2368</v>
      </c>
    </row>
    <row r="295" spans="1:7" x14ac:dyDescent="0.45">
      <c r="A295">
        <v>7</v>
      </c>
      <c r="B295" t="s">
        <v>169</v>
      </c>
      <c r="C295">
        <f>COUNTIFS(AnalizaCzyste[Wartość wykształcenia zdobywanego przez studentów ocenianej uczelni jest wysoka.],B295,AnalizaCzyste[Czy jesteś aktualnie pracownikiem administracyjnym uczelni wyższej?],"*"&amp;"Tak"&amp;"*")</f>
        <v>2</v>
      </c>
      <c r="D295">
        <f>PRODUCT(A295,C295)</f>
        <v>14</v>
      </c>
      <c r="E295" s="46">
        <f>(A295-$D$303)^2</f>
        <v>0.25</v>
      </c>
      <c r="F295">
        <f>PRODUCT(C295,E295)</f>
        <v>0.5</v>
      </c>
    </row>
    <row r="296" spans="1:7" x14ac:dyDescent="0.45">
      <c r="A296">
        <v>6</v>
      </c>
      <c r="B296" t="s">
        <v>150</v>
      </c>
      <c r="C296">
        <f>COUNTIFS(AnalizaCzyste[Wartość wykształcenia zdobywanego przez studentów ocenianej uczelni jest wysoka.],B296,AnalizaCzyste[Czy jesteś aktualnie pracownikiem administracyjnym uczelni wyższej?],"*"&amp;"Tak"&amp;"*")</f>
        <v>2</v>
      </c>
      <c r="D296">
        <f t="shared" ref="D296:D302" si="63">PRODUCT(A296,C296)</f>
        <v>12</v>
      </c>
      <c r="E296" s="46">
        <f t="shared" ref="E296:E301" si="64">(A296-$D$303)^2</f>
        <v>0.25</v>
      </c>
      <c r="F296">
        <f t="shared" ref="F296:F301" si="65">PRODUCT(C296,E296)</f>
        <v>0.5</v>
      </c>
    </row>
    <row r="297" spans="1:7" x14ac:dyDescent="0.45">
      <c r="A297">
        <v>5</v>
      </c>
      <c r="B297" t="s">
        <v>162</v>
      </c>
      <c r="C297">
        <f>COUNTIFS(AnalizaCzyste[Wartość wykształcenia zdobywanego przez studentów ocenianej uczelni jest wysoka.],B297,AnalizaCzyste[Czy jesteś aktualnie pracownikiem administracyjnym uczelni wyższej?],"*"&amp;"Tak"&amp;"*")</f>
        <v>0</v>
      </c>
      <c r="D297">
        <f t="shared" si="63"/>
        <v>0</v>
      </c>
      <c r="E297" s="46">
        <f t="shared" si="64"/>
        <v>2.25</v>
      </c>
      <c r="F297">
        <f t="shared" si="65"/>
        <v>0</v>
      </c>
    </row>
    <row r="298" spans="1:7" x14ac:dyDescent="0.45">
      <c r="A298">
        <v>4</v>
      </c>
      <c r="B298" t="s">
        <v>151</v>
      </c>
      <c r="C298">
        <f>COUNTIFS(AnalizaCzyste[Wartość wykształcenia zdobywanego przez studentów ocenianej uczelni jest wysoka.],B298,AnalizaCzyste[Czy jesteś aktualnie pracownikiem administracyjnym uczelni wyższej?],"*"&amp;"Tak"&amp;"*")</f>
        <v>0</v>
      </c>
      <c r="D298">
        <f t="shared" si="63"/>
        <v>0</v>
      </c>
      <c r="E298" s="46">
        <f t="shared" si="64"/>
        <v>6.25</v>
      </c>
      <c r="F298">
        <f t="shared" si="65"/>
        <v>0</v>
      </c>
    </row>
    <row r="299" spans="1:7" x14ac:dyDescent="0.45">
      <c r="A299">
        <v>3</v>
      </c>
      <c r="B299" t="s">
        <v>128</v>
      </c>
      <c r="C299">
        <f>COUNTIFS(AnalizaCzyste[Wartość wykształcenia zdobywanego przez studentów ocenianej uczelni jest wysoka.],B299,AnalizaCzyste[Czy jesteś aktualnie pracownikiem administracyjnym uczelni wyższej?],"*"&amp;"Tak"&amp;"*")</f>
        <v>0</v>
      </c>
      <c r="D299">
        <f t="shared" si="63"/>
        <v>0</v>
      </c>
      <c r="E299" s="46">
        <f t="shared" si="64"/>
        <v>12.25</v>
      </c>
      <c r="F299">
        <f t="shared" si="65"/>
        <v>0</v>
      </c>
    </row>
    <row r="300" spans="1:7" x14ac:dyDescent="0.45">
      <c r="A300">
        <v>2</v>
      </c>
      <c r="B300" t="s">
        <v>236</v>
      </c>
      <c r="C300">
        <f>COUNTIFS(AnalizaCzyste[Wartość wykształcenia zdobywanego przez studentów ocenianej uczelni jest wysoka.],B300,AnalizaCzyste[Czy jesteś aktualnie pracownikiem administracyjnym uczelni wyższej?],"*"&amp;"Tak"&amp;"*")</f>
        <v>0</v>
      </c>
      <c r="D300">
        <f t="shared" si="63"/>
        <v>0</v>
      </c>
      <c r="E300" s="46">
        <f t="shared" si="64"/>
        <v>20.25</v>
      </c>
      <c r="F300">
        <f t="shared" si="65"/>
        <v>0</v>
      </c>
    </row>
    <row r="301" spans="1:7" x14ac:dyDescent="0.45">
      <c r="A301">
        <v>1</v>
      </c>
      <c r="B301" t="s">
        <v>129</v>
      </c>
      <c r="C301">
        <f>COUNTIFS(AnalizaCzyste[Wartość wykształcenia zdobywanego przez studentów ocenianej uczelni jest wysoka.],B301,AnalizaCzyste[Czy jesteś aktualnie pracownikiem administracyjnym uczelni wyższej?],"*"&amp;"Tak"&amp;"*")</f>
        <v>0</v>
      </c>
      <c r="D301">
        <f t="shared" si="63"/>
        <v>0</v>
      </c>
      <c r="E301" s="46">
        <f t="shared" si="64"/>
        <v>30.25</v>
      </c>
      <c r="F301">
        <f t="shared" si="65"/>
        <v>0</v>
      </c>
    </row>
    <row r="302" spans="1:7" x14ac:dyDescent="0.45">
      <c r="A302" t="s">
        <v>2333</v>
      </c>
      <c r="B302" t="s">
        <v>132</v>
      </c>
      <c r="C302">
        <f>COUNTIFS(AnalizaCzyste[Wartość wykształcenia zdobywanego przez studentów ocenianej uczelni jest wysoka.],B302,AnalizaCzyste[Czy jesteś aktualnie pracownikiem administracyjnym uczelni wyższej?],"*"&amp;"Tak"&amp;"*")</f>
        <v>0</v>
      </c>
      <c r="D302">
        <f t="shared" si="63"/>
        <v>0</v>
      </c>
    </row>
    <row r="303" spans="1:7" x14ac:dyDescent="0.45">
      <c r="B303" s="20" t="s">
        <v>2356</v>
      </c>
      <c r="C303" s="29">
        <f>SUM(C295:C302)</f>
        <v>4</v>
      </c>
      <c r="D303" s="46">
        <f>SUM(D295:D301)/C304</f>
        <v>6.5</v>
      </c>
      <c r="E303" s="20" t="s">
        <v>2358</v>
      </c>
      <c r="F303" s="46">
        <f>SUM(F295:F302)/(C304-1)</f>
        <v>0.33333333333333331</v>
      </c>
      <c r="G303" s="20" t="s">
        <v>2354</v>
      </c>
    </row>
    <row r="304" spans="1:7" x14ac:dyDescent="0.45">
      <c r="B304" s="20" t="s">
        <v>2357</v>
      </c>
      <c r="C304">
        <f>C303-C302</f>
        <v>4</v>
      </c>
      <c r="D304" s="33">
        <f>D303/7</f>
        <v>0.9285714285714286</v>
      </c>
      <c r="F304" s="46">
        <f>F303^(1/2)</f>
        <v>0.57735026918962573</v>
      </c>
      <c r="G304" t="s">
        <v>2369</v>
      </c>
    </row>
    <row r="305" spans="1:7" x14ac:dyDescent="0.45">
      <c r="B305" s="20"/>
      <c r="D305" s="33"/>
      <c r="F305" s="46"/>
    </row>
    <row r="306" spans="1:7" x14ac:dyDescent="0.45">
      <c r="A306" s="29" t="s">
        <v>2384</v>
      </c>
      <c r="C306" t="s">
        <v>2353</v>
      </c>
      <c r="E306" s="20" t="s">
        <v>2367</v>
      </c>
      <c r="F306" s="20" t="s">
        <v>2368</v>
      </c>
    </row>
    <row r="307" spans="1:7" x14ac:dyDescent="0.45">
      <c r="A307">
        <v>7</v>
      </c>
      <c r="B307" t="s">
        <v>169</v>
      </c>
      <c r="C307">
        <f>COUNTIFS(AnalizaCzyste[Zdobyte na ocenianej uczelni wykształcenie ma pozytywny wpływ na zwiększenie zarobków absolwentów.],B307,AnalizaCzyste[Czy jesteś aktualnie pracownikiem administracyjnym uczelni wyższej?],"*"&amp;"Tak"&amp;"*")</f>
        <v>2</v>
      </c>
      <c r="D307">
        <f>PRODUCT(A307,C307)</f>
        <v>14</v>
      </c>
      <c r="E307" s="46">
        <f>(A307-$D$315)^2</f>
        <v>0.25</v>
      </c>
      <c r="F307">
        <f>PRODUCT(C307,E307)</f>
        <v>0.5</v>
      </c>
    </row>
    <row r="308" spans="1:7" x14ac:dyDescent="0.45">
      <c r="A308">
        <v>6</v>
      </c>
      <c r="B308" t="s">
        <v>150</v>
      </c>
      <c r="C308">
        <f>COUNTIFS(AnalizaCzyste[Zdobyte na ocenianej uczelni wykształcenie ma pozytywny wpływ na zwiększenie zarobków absolwentów.],B308,AnalizaCzyste[Czy jesteś aktualnie pracownikiem administracyjnym uczelni wyższej?],"*"&amp;"Tak"&amp;"*")</f>
        <v>2</v>
      </c>
      <c r="D308">
        <f t="shared" ref="D308:D314" si="66">PRODUCT(A308,C308)</f>
        <v>12</v>
      </c>
      <c r="E308" s="46">
        <f t="shared" ref="E308:E313" si="67">(A308-$D$315)^2</f>
        <v>0.25</v>
      </c>
      <c r="F308">
        <f t="shared" ref="F308:F313" si="68">PRODUCT(C308,E308)</f>
        <v>0.5</v>
      </c>
    </row>
    <row r="309" spans="1:7" x14ac:dyDescent="0.45">
      <c r="A309">
        <v>5</v>
      </c>
      <c r="B309" t="s">
        <v>162</v>
      </c>
      <c r="C309">
        <f>COUNTIFS(AnalizaCzyste[Zdobyte na ocenianej uczelni wykształcenie ma pozytywny wpływ na zwiększenie zarobków absolwentów.],B309,AnalizaCzyste[Czy jesteś aktualnie pracownikiem administracyjnym uczelni wyższej?],"*"&amp;"Tak"&amp;"*")</f>
        <v>0</v>
      </c>
      <c r="D309">
        <f t="shared" si="66"/>
        <v>0</v>
      </c>
      <c r="E309" s="46">
        <f t="shared" si="67"/>
        <v>2.25</v>
      </c>
      <c r="F309">
        <f t="shared" si="68"/>
        <v>0</v>
      </c>
    </row>
    <row r="310" spans="1:7" x14ac:dyDescent="0.45">
      <c r="A310">
        <v>4</v>
      </c>
      <c r="B310" t="s">
        <v>151</v>
      </c>
      <c r="C310">
        <f>COUNTIFS(AnalizaCzyste[Zdobyte na ocenianej uczelni wykształcenie ma pozytywny wpływ na zwiększenie zarobków absolwentów.],B310,AnalizaCzyste[Czy jesteś aktualnie pracownikiem administracyjnym uczelni wyższej?],"*"&amp;"Tak"&amp;"*")</f>
        <v>0</v>
      </c>
      <c r="D310">
        <f t="shared" si="66"/>
        <v>0</v>
      </c>
      <c r="E310" s="46">
        <f t="shared" si="67"/>
        <v>6.25</v>
      </c>
      <c r="F310">
        <f t="shared" si="68"/>
        <v>0</v>
      </c>
    </row>
    <row r="311" spans="1:7" x14ac:dyDescent="0.45">
      <c r="A311">
        <v>3</v>
      </c>
      <c r="B311" t="s">
        <v>128</v>
      </c>
      <c r="C311">
        <f>COUNTIFS(AnalizaCzyste[Zdobyte na ocenianej uczelni wykształcenie ma pozytywny wpływ na zwiększenie zarobków absolwentów.],B311,AnalizaCzyste[Czy jesteś aktualnie pracownikiem administracyjnym uczelni wyższej?],"*"&amp;"Tak"&amp;"*")</f>
        <v>0</v>
      </c>
      <c r="D311">
        <f t="shared" si="66"/>
        <v>0</v>
      </c>
      <c r="E311" s="46">
        <f t="shared" si="67"/>
        <v>12.25</v>
      </c>
      <c r="F311">
        <f t="shared" si="68"/>
        <v>0</v>
      </c>
    </row>
    <row r="312" spans="1:7" x14ac:dyDescent="0.45">
      <c r="A312">
        <v>2</v>
      </c>
      <c r="B312" t="s">
        <v>236</v>
      </c>
      <c r="C312">
        <f>COUNTIFS(AnalizaCzyste[Zdobyte na ocenianej uczelni wykształcenie ma pozytywny wpływ na zwiększenie zarobków absolwentów.],B312,AnalizaCzyste[Czy jesteś aktualnie pracownikiem administracyjnym uczelni wyższej?],"*"&amp;"Tak"&amp;"*")</f>
        <v>0</v>
      </c>
      <c r="D312">
        <f t="shared" si="66"/>
        <v>0</v>
      </c>
      <c r="E312" s="46">
        <f t="shared" si="67"/>
        <v>20.25</v>
      </c>
      <c r="F312">
        <f t="shared" si="68"/>
        <v>0</v>
      </c>
    </row>
    <row r="313" spans="1:7" x14ac:dyDescent="0.45">
      <c r="A313">
        <v>1</v>
      </c>
      <c r="B313" t="s">
        <v>129</v>
      </c>
      <c r="C313">
        <f>COUNTIFS(AnalizaCzyste[Zdobyte na ocenianej uczelni wykształcenie ma pozytywny wpływ na zwiększenie zarobków absolwentów.],B313,AnalizaCzyste[Czy jesteś aktualnie pracownikiem administracyjnym uczelni wyższej?],"*"&amp;"Tak"&amp;"*")</f>
        <v>0</v>
      </c>
      <c r="D313">
        <f t="shared" si="66"/>
        <v>0</v>
      </c>
      <c r="E313" s="46">
        <f t="shared" si="67"/>
        <v>30.25</v>
      </c>
      <c r="F313">
        <f t="shared" si="68"/>
        <v>0</v>
      </c>
    </row>
    <row r="314" spans="1:7" x14ac:dyDescent="0.45">
      <c r="A314" t="s">
        <v>2333</v>
      </c>
      <c r="B314" t="s">
        <v>132</v>
      </c>
      <c r="C314">
        <f>COUNTIFS(AnalizaCzyste[Zdobyte na ocenianej uczelni wykształcenie ma pozytywny wpływ na zwiększenie zarobków absolwentów.],B314,AnalizaCzyste[Czy jesteś aktualnie pracownikiem administracyjnym uczelni wyższej?],"*"&amp;"Tak"&amp;"*")</f>
        <v>0</v>
      </c>
      <c r="D314">
        <f t="shared" si="66"/>
        <v>0</v>
      </c>
    </row>
    <row r="315" spans="1:7" x14ac:dyDescent="0.45">
      <c r="B315" s="20" t="s">
        <v>2356</v>
      </c>
      <c r="C315" s="29">
        <f>SUM(C307:C314)</f>
        <v>4</v>
      </c>
      <c r="D315" s="46">
        <f>SUM(D307:D313)/C316</f>
        <v>6.5</v>
      </c>
      <c r="E315" s="20" t="s">
        <v>2358</v>
      </c>
      <c r="F315" s="46">
        <f>SUM(F307:F314)/(C316-1)</f>
        <v>0.33333333333333331</v>
      </c>
      <c r="G315" s="20" t="s">
        <v>2354</v>
      </c>
    </row>
    <row r="316" spans="1:7" x14ac:dyDescent="0.45">
      <c r="B316" s="20" t="s">
        <v>2357</v>
      </c>
      <c r="C316">
        <f>C315-C314</f>
        <v>4</v>
      </c>
      <c r="D316" s="33">
        <f>D315/7</f>
        <v>0.9285714285714286</v>
      </c>
      <c r="F316" s="46">
        <f>F315^(1/2)</f>
        <v>0.57735026918962573</v>
      </c>
      <c r="G316" t="s">
        <v>2369</v>
      </c>
    </row>
    <row r="318" spans="1:7" x14ac:dyDescent="0.45">
      <c r="A318" s="29" t="s">
        <v>2361</v>
      </c>
      <c r="C318" t="s">
        <v>2353</v>
      </c>
      <c r="E318" s="20" t="s">
        <v>2367</v>
      </c>
      <c r="F318" s="20" t="s">
        <v>2368</v>
      </c>
    </row>
    <row r="319" spans="1:7" x14ac:dyDescent="0.45">
      <c r="A319">
        <v>7</v>
      </c>
      <c r="B319" t="s">
        <v>169</v>
      </c>
      <c r="C319">
        <f>COUNTIFS(AnalizaCzyste[Moja satysfakcja z pracy na ocenianej uczelni jest wysoka.42],B319,AnalizaCzyste[Czy jesteś aktualnie pracownikiem naukowym lub dydaktycznym uczelni wyższej?],"*"&amp;"Tak"&amp;"*")</f>
        <v>7</v>
      </c>
      <c r="D319">
        <f>PRODUCT(A319,C319)</f>
        <v>49</v>
      </c>
      <c r="E319" s="46">
        <f>(A319-$D$327)^2</f>
        <v>1</v>
      </c>
      <c r="F319">
        <f>PRODUCT(C319,E319)</f>
        <v>7</v>
      </c>
    </row>
    <row r="320" spans="1:7" x14ac:dyDescent="0.45">
      <c r="A320">
        <v>6</v>
      </c>
      <c r="B320" t="s">
        <v>150</v>
      </c>
      <c r="C320">
        <f>COUNTIFS(AnalizaCzyste[Moja satysfakcja z pracy na ocenianej uczelni jest wysoka.42],B320,AnalizaCzyste[Czy jesteś aktualnie pracownikiem naukowym lub dydaktycznym uczelni wyższej?],"*"&amp;"Tak"&amp;"*")</f>
        <v>6</v>
      </c>
      <c r="D320">
        <f t="shared" ref="D320:D326" si="69">PRODUCT(A320,C320)</f>
        <v>36</v>
      </c>
      <c r="E320" s="46">
        <f t="shared" ref="E320:E325" si="70">(A320-$D$327)^2</f>
        <v>0</v>
      </c>
      <c r="F320">
        <f t="shared" ref="F320:F325" si="71">PRODUCT(C320,E320)</f>
        <v>0</v>
      </c>
    </row>
    <row r="321" spans="1:7" x14ac:dyDescent="0.45">
      <c r="A321">
        <v>5</v>
      </c>
      <c r="B321" t="s">
        <v>162</v>
      </c>
      <c r="C321">
        <f>COUNTIFS(AnalizaCzyste[Moja satysfakcja z pracy na ocenianej uczelni jest wysoka.42],B321,AnalizaCzyste[Czy jesteś aktualnie pracownikiem naukowym lub dydaktycznym uczelni wyższej?],"*"&amp;"Tak"&amp;"*")</f>
        <v>2</v>
      </c>
      <c r="D321">
        <f t="shared" si="69"/>
        <v>10</v>
      </c>
      <c r="E321" s="46">
        <f t="shared" si="70"/>
        <v>1</v>
      </c>
      <c r="F321">
        <f t="shared" si="71"/>
        <v>2</v>
      </c>
    </row>
    <row r="322" spans="1:7" x14ac:dyDescent="0.45">
      <c r="A322">
        <v>4</v>
      </c>
      <c r="B322" t="s">
        <v>151</v>
      </c>
      <c r="C322">
        <f>COUNTIFS(AnalizaCzyste[Moja satysfakcja z pracy na ocenianej uczelni jest wysoka.42],B322,AnalizaCzyste[Czy jesteś aktualnie pracownikiem naukowym lub dydaktycznym uczelni wyższej?],"*"&amp;"Tak"&amp;"*")</f>
        <v>0</v>
      </c>
      <c r="D322">
        <f t="shared" si="69"/>
        <v>0</v>
      </c>
      <c r="E322" s="46">
        <f t="shared" si="70"/>
        <v>4</v>
      </c>
      <c r="F322">
        <f t="shared" si="71"/>
        <v>0</v>
      </c>
    </row>
    <row r="323" spans="1:7" x14ac:dyDescent="0.45">
      <c r="A323">
        <v>3</v>
      </c>
      <c r="B323" t="s">
        <v>128</v>
      </c>
      <c r="C323">
        <f>COUNTIFS(AnalizaCzyste[Moja satysfakcja z pracy na ocenianej uczelni jest wysoka.42],B323,AnalizaCzyste[Czy jesteś aktualnie pracownikiem naukowym lub dydaktycznym uczelni wyższej?],"*"&amp;"Tak"&amp;"*")</f>
        <v>0</v>
      </c>
      <c r="D323">
        <f t="shared" si="69"/>
        <v>0</v>
      </c>
      <c r="E323" s="46">
        <f t="shared" si="70"/>
        <v>9</v>
      </c>
      <c r="F323">
        <f t="shared" si="71"/>
        <v>0</v>
      </c>
    </row>
    <row r="324" spans="1:7" x14ac:dyDescent="0.45">
      <c r="A324">
        <v>2</v>
      </c>
      <c r="B324" t="s">
        <v>236</v>
      </c>
      <c r="C324">
        <f>COUNTIFS(AnalizaCzyste[Moja satysfakcja z pracy na ocenianej uczelni jest wysoka.42],B324,AnalizaCzyste[Czy jesteś aktualnie pracownikiem naukowym lub dydaktycznym uczelni wyższej?],"*"&amp;"Tak"&amp;"*")</f>
        <v>0</v>
      </c>
      <c r="D324">
        <f t="shared" si="69"/>
        <v>0</v>
      </c>
      <c r="E324" s="46">
        <f t="shared" si="70"/>
        <v>16</v>
      </c>
      <c r="F324">
        <f t="shared" si="71"/>
        <v>0</v>
      </c>
    </row>
    <row r="325" spans="1:7" x14ac:dyDescent="0.45">
      <c r="A325">
        <v>1</v>
      </c>
      <c r="B325" t="s">
        <v>129</v>
      </c>
      <c r="C325">
        <f>COUNTIFS(AnalizaCzyste[Moja satysfakcja z pracy na ocenianej uczelni jest wysoka.42],B325,AnalizaCzyste[Czy jesteś aktualnie pracownikiem naukowym lub dydaktycznym uczelni wyższej?],"*"&amp;"Tak"&amp;"*")</f>
        <v>1</v>
      </c>
      <c r="D325">
        <f t="shared" si="69"/>
        <v>1</v>
      </c>
      <c r="E325" s="46">
        <f t="shared" si="70"/>
        <v>25</v>
      </c>
      <c r="F325">
        <f t="shared" si="71"/>
        <v>25</v>
      </c>
    </row>
    <row r="326" spans="1:7" x14ac:dyDescent="0.45">
      <c r="A326" t="s">
        <v>2333</v>
      </c>
      <c r="B326" t="s">
        <v>132</v>
      </c>
      <c r="C326">
        <f>COUNTIFS(AnalizaCzyste[Moja satysfakcja z pracy na ocenianej uczelni jest wysoka.42],B326,AnalizaCzyste[Czy jesteś aktualnie pracownikiem naukowym lub dydaktycznym uczelni wyższej?],"*"&amp;"Tak"&amp;"*")</f>
        <v>0</v>
      </c>
      <c r="D326">
        <f t="shared" si="69"/>
        <v>0</v>
      </c>
    </row>
    <row r="327" spans="1:7" x14ac:dyDescent="0.45">
      <c r="B327" s="20" t="s">
        <v>2356</v>
      </c>
      <c r="C327" s="29">
        <f>SUM(C319:C326)</f>
        <v>16</v>
      </c>
      <c r="D327" s="46">
        <f>SUM(D319:D325)/C328</f>
        <v>6</v>
      </c>
      <c r="E327" s="20" t="s">
        <v>2358</v>
      </c>
      <c r="F327" s="46">
        <f>SUM(F319:F326)/(C328-1)</f>
        <v>2.2666666666666666</v>
      </c>
      <c r="G327" s="20" t="s">
        <v>2354</v>
      </c>
    </row>
    <row r="328" spans="1:7" x14ac:dyDescent="0.45">
      <c r="B328" s="20" t="s">
        <v>2357</v>
      </c>
      <c r="C328">
        <f>C327-C326</f>
        <v>16</v>
      </c>
      <c r="D328" s="33">
        <f>D327/7</f>
        <v>0.8571428571428571</v>
      </c>
      <c r="F328" s="46">
        <f>F327^(1/2)</f>
        <v>1.505545305418162</v>
      </c>
      <c r="G328" t="s">
        <v>2369</v>
      </c>
    </row>
    <row r="330" spans="1:7" x14ac:dyDescent="0.45">
      <c r="A330" s="29" t="s">
        <v>2385</v>
      </c>
      <c r="C330" t="s">
        <v>2353</v>
      </c>
      <c r="E330" s="20" t="s">
        <v>2367</v>
      </c>
      <c r="F330" s="20" t="s">
        <v>2368</v>
      </c>
    </row>
    <row r="331" spans="1:7" x14ac:dyDescent="0.45">
      <c r="A331">
        <v>7</v>
      </c>
      <c r="B331" t="s">
        <v>169</v>
      </c>
      <c r="C331">
        <f>COUNTIFS(AnalizaCzyste[Atmosfera w zespole współpracowników jest dobra.43],B331,AnalizaCzyste[Czy jesteś aktualnie pracownikiem naukowym lub dydaktycznym uczelni wyższej?],"*"&amp;"Tak"&amp;"*")</f>
        <v>5</v>
      </c>
      <c r="D331">
        <f>PRODUCT(A331,C331)</f>
        <v>35</v>
      </c>
      <c r="E331" s="46">
        <f>(A331-$D$339)^2</f>
        <v>0.87890625</v>
      </c>
      <c r="F331">
        <f>PRODUCT(C331,E331)</f>
        <v>4.39453125</v>
      </c>
    </row>
    <row r="332" spans="1:7" x14ac:dyDescent="0.45">
      <c r="A332">
        <v>6</v>
      </c>
      <c r="B332" t="s">
        <v>150</v>
      </c>
      <c r="C332">
        <f>COUNTIFS(AnalizaCzyste[Atmosfera w zespole współpracowników jest dobra.43],B332,AnalizaCzyste[Czy jesteś aktualnie pracownikiem naukowym lub dydaktycznym uczelni wyższej?],"*"&amp;"Tak"&amp;"*")</f>
        <v>7</v>
      </c>
      <c r="D332">
        <f t="shared" ref="D332:D338" si="72">PRODUCT(A332,C332)</f>
        <v>42</v>
      </c>
      <c r="E332" s="46">
        <f t="shared" ref="E332:E337" si="73">(A332-$D$339)^2</f>
        <v>3.90625E-3</v>
      </c>
      <c r="F332">
        <f t="shared" ref="F332:F337" si="74">PRODUCT(C332,E332)</f>
        <v>2.734375E-2</v>
      </c>
    </row>
    <row r="333" spans="1:7" x14ac:dyDescent="0.45">
      <c r="A333">
        <v>5</v>
      </c>
      <c r="B333" t="s">
        <v>162</v>
      </c>
      <c r="C333">
        <f>COUNTIFS(AnalizaCzyste[Atmosfera w zespole współpracowników jest dobra.43],B333,AnalizaCzyste[Czy jesteś aktualnie pracownikiem naukowym lub dydaktycznym uczelni wyższej?],"*"&amp;"Tak"&amp;"*")</f>
        <v>4</v>
      </c>
      <c r="D333">
        <f t="shared" si="72"/>
        <v>20</v>
      </c>
      <c r="E333" s="46">
        <f t="shared" si="73"/>
        <v>1.12890625</v>
      </c>
      <c r="F333">
        <f t="shared" si="74"/>
        <v>4.515625</v>
      </c>
    </row>
    <row r="334" spans="1:7" x14ac:dyDescent="0.45">
      <c r="A334">
        <v>4</v>
      </c>
      <c r="B334" t="s">
        <v>151</v>
      </c>
      <c r="C334">
        <f>COUNTIFS(AnalizaCzyste[Atmosfera w zespole współpracowników jest dobra.43],B334,AnalizaCzyste[Czy jesteś aktualnie pracownikiem naukowym lub dydaktycznym uczelni wyższej?],"*"&amp;"Tak"&amp;"*")</f>
        <v>0</v>
      </c>
      <c r="D334">
        <f t="shared" si="72"/>
        <v>0</v>
      </c>
      <c r="E334" s="46">
        <f t="shared" si="73"/>
        <v>4.25390625</v>
      </c>
      <c r="F334">
        <f t="shared" si="74"/>
        <v>0</v>
      </c>
    </row>
    <row r="335" spans="1:7" x14ac:dyDescent="0.45">
      <c r="A335">
        <v>3</v>
      </c>
      <c r="B335" t="s">
        <v>128</v>
      </c>
      <c r="C335">
        <f>COUNTIFS(AnalizaCzyste[Atmosfera w zespole współpracowników jest dobra.43],B335,AnalizaCzyste[Czy jesteś aktualnie pracownikiem naukowym lub dydaktycznym uczelni wyższej?],"*"&amp;"Tak"&amp;"*")</f>
        <v>0</v>
      </c>
      <c r="D335">
        <f t="shared" si="72"/>
        <v>0</v>
      </c>
      <c r="E335" s="46">
        <f t="shared" si="73"/>
        <v>9.37890625</v>
      </c>
      <c r="F335">
        <f t="shared" si="74"/>
        <v>0</v>
      </c>
    </row>
    <row r="336" spans="1:7" x14ac:dyDescent="0.45">
      <c r="A336">
        <v>2</v>
      </c>
      <c r="B336" t="s">
        <v>236</v>
      </c>
      <c r="C336">
        <f>COUNTIFS(AnalizaCzyste[Atmosfera w zespole współpracowników jest dobra.43],B336,AnalizaCzyste[Czy jesteś aktualnie pracownikiem naukowym lub dydaktycznym uczelni wyższej?],"*"&amp;"Tak"&amp;"*")</f>
        <v>0</v>
      </c>
      <c r="D336">
        <f t="shared" si="72"/>
        <v>0</v>
      </c>
      <c r="E336" s="46">
        <f t="shared" si="73"/>
        <v>16.50390625</v>
      </c>
      <c r="F336">
        <f t="shared" si="74"/>
        <v>0</v>
      </c>
    </row>
    <row r="337" spans="1:7" x14ac:dyDescent="0.45">
      <c r="A337">
        <v>1</v>
      </c>
      <c r="B337" t="s">
        <v>129</v>
      </c>
      <c r="C337">
        <f>COUNTIFS(AnalizaCzyste[Atmosfera w zespole współpracowników jest dobra.43],B337,AnalizaCzyste[Czy jesteś aktualnie pracownikiem naukowym lub dydaktycznym uczelni wyższej?],"*"&amp;"Tak"&amp;"*")</f>
        <v>0</v>
      </c>
      <c r="D337">
        <f t="shared" si="72"/>
        <v>0</v>
      </c>
      <c r="E337" s="46">
        <f t="shared" si="73"/>
        <v>25.62890625</v>
      </c>
      <c r="F337">
        <f t="shared" si="74"/>
        <v>0</v>
      </c>
    </row>
    <row r="338" spans="1:7" x14ac:dyDescent="0.45">
      <c r="A338" t="s">
        <v>2333</v>
      </c>
      <c r="B338" t="s">
        <v>132</v>
      </c>
      <c r="C338">
        <f>COUNTIFS(AnalizaCzyste[Atmosfera w zespole współpracowników jest dobra.43],B338,AnalizaCzyste[Czy jesteś aktualnie pracownikiem naukowym lub dydaktycznym uczelni wyższej?],"*"&amp;"Tak"&amp;"*")</f>
        <v>0</v>
      </c>
      <c r="D338">
        <f t="shared" si="72"/>
        <v>0</v>
      </c>
    </row>
    <row r="339" spans="1:7" x14ac:dyDescent="0.45">
      <c r="B339" s="20" t="s">
        <v>2356</v>
      </c>
      <c r="C339" s="29">
        <f>SUM(C331:C338)</f>
        <v>16</v>
      </c>
      <c r="D339" s="46">
        <f>SUM(D331:D337)/C340</f>
        <v>6.0625</v>
      </c>
      <c r="E339" s="20" t="s">
        <v>2358</v>
      </c>
      <c r="F339" s="46">
        <f>SUM(F331:F338)/(C340-1)</f>
        <v>0.59583333333333333</v>
      </c>
      <c r="G339" s="20" t="s">
        <v>2354</v>
      </c>
    </row>
    <row r="340" spans="1:7" x14ac:dyDescent="0.45">
      <c r="B340" s="20" t="s">
        <v>2357</v>
      </c>
      <c r="C340">
        <f>C339-C338</f>
        <v>16</v>
      </c>
      <c r="D340" s="33">
        <f>D339/7</f>
        <v>0.8660714285714286</v>
      </c>
      <c r="F340" s="46">
        <f>F339^(1/2)</f>
        <v>0.77190241179396069</v>
      </c>
      <c r="G340" t="s">
        <v>2369</v>
      </c>
    </row>
    <row r="342" spans="1:7" x14ac:dyDescent="0.45">
      <c r="A342" s="29" t="s">
        <v>2386</v>
      </c>
      <c r="C342" t="s">
        <v>2353</v>
      </c>
      <c r="E342" s="20" t="s">
        <v>2367</v>
      </c>
      <c r="F342" s="20" t="s">
        <v>2368</v>
      </c>
    </row>
    <row r="343" spans="1:7" x14ac:dyDescent="0.45">
      <c r="A343">
        <v>7</v>
      </c>
      <c r="B343" t="s">
        <v>169</v>
      </c>
      <c r="C343">
        <f>COUNTIFS(AnalizaCzyste[Moje zarobki są satysfakcjonujące.44],B343,AnalizaCzyste[Czy jesteś aktualnie pracownikiem naukowym lub dydaktycznym uczelni wyższej?],"*"&amp;"Tak"&amp;"*")</f>
        <v>5</v>
      </c>
      <c r="D343">
        <f>PRODUCT(A343,C343)</f>
        <v>35</v>
      </c>
      <c r="E343" s="46">
        <f>(A343-$D$351)^2</f>
        <v>2.44140625</v>
      </c>
      <c r="F343">
        <f>PRODUCT(C343,E343)</f>
        <v>12.20703125</v>
      </c>
    </row>
    <row r="344" spans="1:7" x14ac:dyDescent="0.45">
      <c r="A344">
        <v>6</v>
      </c>
      <c r="B344" t="s">
        <v>150</v>
      </c>
      <c r="C344">
        <f>COUNTIFS(AnalizaCzyste[Moje zarobki są satysfakcjonujące.44],B344,AnalizaCzyste[Czy jesteś aktualnie pracownikiem naukowym lub dydaktycznym uczelni wyższej?],"*"&amp;"Tak"&amp;"*")</f>
        <v>5</v>
      </c>
      <c r="D344">
        <f t="shared" ref="D344:D350" si="75">PRODUCT(A344,C344)</f>
        <v>30</v>
      </c>
      <c r="E344" s="46">
        <f t="shared" ref="E344:E349" si="76">(A344-$D$351)^2</f>
        <v>0.31640625</v>
      </c>
      <c r="F344">
        <f t="shared" ref="F344:F349" si="77">PRODUCT(C344,E344)</f>
        <v>1.58203125</v>
      </c>
    </row>
    <row r="345" spans="1:7" x14ac:dyDescent="0.45">
      <c r="A345">
        <v>5</v>
      </c>
      <c r="B345" t="s">
        <v>162</v>
      </c>
      <c r="C345">
        <f>COUNTIFS(AnalizaCzyste[Moje zarobki są satysfakcjonujące.44],B345,AnalizaCzyste[Czy jesteś aktualnie pracownikiem naukowym lub dydaktycznym uczelni wyższej?],"*"&amp;"Tak"&amp;"*")</f>
        <v>2</v>
      </c>
      <c r="D345">
        <f t="shared" si="75"/>
        <v>10</v>
      </c>
      <c r="E345" s="46">
        <f t="shared" si="76"/>
        <v>0.19140625</v>
      </c>
      <c r="F345">
        <f t="shared" si="77"/>
        <v>0.3828125</v>
      </c>
    </row>
    <row r="346" spans="1:7" x14ac:dyDescent="0.45">
      <c r="A346">
        <v>4</v>
      </c>
      <c r="B346" t="s">
        <v>151</v>
      </c>
      <c r="C346">
        <f>COUNTIFS(AnalizaCzyste[Moje zarobki są satysfakcjonujące.44],B346,AnalizaCzyste[Czy jesteś aktualnie pracownikiem naukowym lub dydaktycznym uczelni wyższej?],"*"&amp;"Tak"&amp;"*")</f>
        <v>2</v>
      </c>
      <c r="D346">
        <f t="shared" si="75"/>
        <v>8</v>
      </c>
      <c r="E346" s="46">
        <f t="shared" si="76"/>
        <v>2.06640625</v>
      </c>
      <c r="F346">
        <f t="shared" si="77"/>
        <v>4.1328125</v>
      </c>
    </row>
    <row r="347" spans="1:7" x14ac:dyDescent="0.45">
      <c r="A347">
        <v>3</v>
      </c>
      <c r="B347" t="s">
        <v>128</v>
      </c>
      <c r="C347">
        <f>COUNTIFS(AnalizaCzyste[Moje zarobki są satysfakcjonujące.44],B347,AnalizaCzyste[Czy jesteś aktualnie pracownikiem naukowym lub dydaktycznym uczelni wyższej?],"*"&amp;"Tak"&amp;"*")</f>
        <v>1</v>
      </c>
      <c r="D347">
        <f t="shared" si="75"/>
        <v>3</v>
      </c>
      <c r="E347" s="46">
        <f t="shared" si="76"/>
        <v>5.94140625</v>
      </c>
      <c r="F347">
        <f t="shared" si="77"/>
        <v>5.94140625</v>
      </c>
    </row>
    <row r="348" spans="1:7" x14ac:dyDescent="0.45">
      <c r="A348">
        <v>2</v>
      </c>
      <c r="B348" t="s">
        <v>236</v>
      </c>
      <c r="C348">
        <f>COUNTIFS(AnalizaCzyste[Moje zarobki są satysfakcjonujące.44],B348,AnalizaCzyste[Czy jesteś aktualnie pracownikiem naukowym lub dydaktycznym uczelni wyższej?],"*"&amp;"Tak"&amp;"*")</f>
        <v>0</v>
      </c>
      <c r="D348">
        <f t="shared" si="75"/>
        <v>0</v>
      </c>
      <c r="E348" s="46">
        <f t="shared" si="76"/>
        <v>11.81640625</v>
      </c>
      <c r="F348">
        <f t="shared" si="77"/>
        <v>0</v>
      </c>
    </row>
    <row r="349" spans="1:7" x14ac:dyDescent="0.45">
      <c r="A349">
        <v>1</v>
      </c>
      <c r="B349" t="s">
        <v>129</v>
      </c>
      <c r="C349">
        <f>COUNTIFS(AnalizaCzyste[Moje zarobki są satysfakcjonujące.44],B349,AnalizaCzyste[Czy jesteś aktualnie pracownikiem naukowym lub dydaktycznym uczelni wyższej?],"*"&amp;"Tak"&amp;"*")</f>
        <v>1</v>
      </c>
      <c r="D349">
        <f t="shared" si="75"/>
        <v>1</v>
      </c>
      <c r="E349" s="46">
        <f t="shared" si="76"/>
        <v>19.69140625</v>
      </c>
      <c r="F349">
        <f t="shared" si="77"/>
        <v>19.69140625</v>
      </c>
    </row>
    <row r="350" spans="1:7" x14ac:dyDescent="0.45">
      <c r="A350" t="s">
        <v>2333</v>
      </c>
      <c r="B350" t="s">
        <v>132</v>
      </c>
      <c r="C350">
        <f>COUNTIFS(AnalizaCzyste[Moje zarobki są satysfakcjonujące.44],B350,AnalizaCzyste[Czy jesteś aktualnie pracownikiem naukowym lub dydaktycznym uczelni wyższej?],"*"&amp;"Tak"&amp;"*")</f>
        <v>0</v>
      </c>
      <c r="D350">
        <f t="shared" si="75"/>
        <v>0</v>
      </c>
    </row>
    <row r="351" spans="1:7" x14ac:dyDescent="0.45">
      <c r="B351" s="20" t="s">
        <v>2356</v>
      </c>
      <c r="C351" s="29">
        <f>SUM(C343:C350)</f>
        <v>16</v>
      </c>
      <c r="D351" s="46">
        <f>SUM(D343:D349)/C352</f>
        <v>5.4375</v>
      </c>
      <c r="E351" s="20" t="s">
        <v>2358</v>
      </c>
      <c r="F351" s="46">
        <f>SUM(F343:F350)/(C352-1)</f>
        <v>2.9291666666666667</v>
      </c>
      <c r="G351" s="20" t="s">
        <v>2354</v>
      </c>
    </row>
    <row r="352" spans="1:7" x14ac:dyDescent="0.45">
      <c r="B352" s="20" t="s">
        <v>2357</v>
      </c>
      <c r="C352">
        <f>C351-C350</f>
        <v>16</v>
      </c>
      <c r="D352" s="33">
        <f>D351/7</f>
        <v>0.7767857142857143</v>
      </c>
      <c r="F352" s="46">
        <f>F351^(1/2)</f>
        <v>1.7114808402861736</v>
      </c>
      <c r="G352" t="s">
        <v>2369</v>
      </c>
    </row>
    <row r="353" spans="1:7" x14ac:dyDescent="0.45">
      <c r="B353" s="20"/>
      <c r="D353" s="33"/>
      <c r="F353" s="46"/>
    </row>
    <row r="354" spans="1:7" x14ac:dyDescent="0.45">
      <c r="A354" s="29" t="s">
        <v>2387</v>
      </c>
      <c r="C354" t="s">
        <v>2353</v>
      </c>
      <c r="E354" s="20" t="s">
        <v>2367</v>
      </c>
      <c r="F354" s="20" t="s">
        <v>2368</v>
      </c>
    </row>
    <row r="355" spans="1:7" x14ac:dyDescent="0.45">
      <c r="A355">
        <v>7</v>
      </c>
      <c r="B355" t="s">
        <v>169</v>
      </c>
      <c r="C355">
        <f>COUNTIFS(AnalizaCzyste[Praca na ocenianej uczelni daje mi duże szanse rozwoju.45],B355,AnalizaCzyste[Czy jesteś aktualnie pracownikiem naukowym lub dydaktycznym uczelni wyższej?],"*"&amp;"Tak"&amp;"*")</f>
        <v>5</v>
      </c>
      <c r="D355">
        <f>PRODUCT(A355,C355)</f>
        <v>35</v>
      </c>
      <c r="E355" s="46">
        <f>(A355-$D$363)^2</f>
        <v>1.265625</v>
      </c>
      <c r="F355">
        <f>PRODUCT(C355,E355)</f>
        <v>6.328125</v>
      </c>
    </row>
    <row r="356" spans="1:7" x14ac:dyDescent="0.45">
      <c r="A356">
        <v>6</v>
      </c>
      <c r="B356" t="s">
        <v>150</v>
      </c>
      <c r="C356">
        <f>COUNTIFS(AnalizaCzyste[Praca na ocenianej uczelni daje mi duże szanse rozwoju.45],B356,AnalizaCzyste[Czy jesteś aktualnie pracownikiem naukowym lub dydaktycznym uczelni wyższej?],"*"&amp;"Tak"&amp;"*")</f>
        <v>8</v>
      </c>
      <c r="D356">
        <f t="shared" ref="D356:D362" si="78">PRODUCT(A356,C356)</f>
        <v>48</v>
      </c>
      <c r="E356" s="46">
        <f t="shared" ref="E356:E361" si="79">(A356-$D$363)^2</f>
        <v>1.5625E-2</v>
      </c>
      <c r="F356">
        <f t="shared" ref="F356:F361" si="80">PRODUCT(C356,E356)</f>
        <v>0.125</v>
      </c>
    </row>
    <row r="357" spans="1:7" x14ac:dyDescent="0.45">
      <c r="A357">
        <v>5</v>
      </c>
      <c r="B357" t="s">
        <v>162</v>
      </c>
      <c r="C357">
        <f>COUNTIFS(AnalizaCzyste[Praca na ocenianej uczelni daje mi duże szanse rozwoju.45],B357,AnalizaCzyste[Czy jesteś aktualnie pracownikiem naukowym lub dydaktycznym uczelni wyższej?],"*"&amp;"Tak"&amp;"*")</f>
        <v>1</v>
      </c>
      <c r="D357">
        <f t="shared" si="78"/>
        <v>5</v>
      </c>
      <c r="E357" s="46">
        <f t="shared" si="79"/>
        <v>0.765625</v>
      </c>
      <c r="F357">
        <f t="shared" si="80"/>
        <v>0.765625</v>
      </c>
    </row>
    <row r="358" spans="1:7" x14ac:dyDescent="0.45">
      <c r="A358">
        <v>4</v>
      </c>
      <c r="B358" t="s">
        <v>151</v>
      </c>
      <c r="C358">
        <f>COUNTIFS(AnalizaCzyste[Praca na ocenianej uczelni daje mi duże szanse rozwoju.45],B358,AnalizaCzyste[Czy jesteś aktualnie pracownikiem naukowym lub dydaktycznym uczelni wyższej?],"*"&amp;"Tak"&amp;"*")</f>
        <v>1</v>
      </c>
      <c r="D358">
        <f t="shared" si="78"/>
        <v>4</v>
      </c>
      <c r="E358" s="46">
        <f t="shared" si="79"/>
        <v>3.515625</v>
      </c>
      <c r="F358">
        <f t="shared" si="80"/>
        <v>3.515625</v>
      </c>
    </row>
    <row r="359" spans="1:7" x14ac:dyDescent="0.45">
      <c r="A359">
        <v>3</v>
      </c>
      <c r="B359" t="s">
        <v>128</v>
      </c>
      <c r="C359">
        <f>COUNTIFS(AnalizaCzyste[Praca na ocenianej uczelni daje mi duże szanse rozwoju.45],B359,AnalizaCzyste[Czy jesteś aktualnie pracownikiem naukowym lub dydaktycznym uczelni wyższej?],"*"&amp;"Tak"&amp;"*")</f>
        <v>0</v>
      </c>
      <c r="D359">
        <f t="shared" si="78"/>
        <v>0</v>
      </c>
      <c r="E359" s="46">
        <f t="shared" si="79"/>
        <v>8.265625</v>
      </c>
      <c r="F359">
        <f t="shared" si="80"/>
        <v>0</v>
      </c>
    </row>
    <row r="360" spans="1:7" x14ac:dyDescent="0.45">
      <c r="A360">
        <v>2</v>
      </c>
      <c r="B360" t="s">
        <v>236</v>
      </c>
      <c r="C360">
        <f>COUNTIFS(AnalizaCzyste[Praca na ocenianej uczelni daje mi duże szanse rozwoju.45],B360,AnalizaCzyste[Czy jesteś aktualnie pracownikiem naukowym lub dydaktycznym uczelni wyższej?],"*"&amp;"Tak"&amp;"*")</f>
        <v>1</v>
      </c>
      <c r="D360">
        <f t="shared" si="78"/>
        <v>2</v>
      </c>
      <c r="E360" s="46">
        <f t="shared" si="79"/>
        <v>15.015625</v>
      </c>
      <c r="F360">
        <f t="shared" si="80"/>
        <v>15.015625</v>
      </c>
    </row>
    <row r="361" spans="1:7" x14ac:dyDescent="0.45">
      <c r="A361">
        <v>1</v>
      </c>
      <c r="B361" t="s">
        <v>129</v>
      </c>
      <c r="C361">
        <f>COUNTIFS(AnalizaCzyste[Praca na ocenianej uczelni daje mi duże szanse rozwoju.45],B361,AnalizaCzyste[Czy jesteś aktualnie pracownikiem naukowym lub dydaktycznym uczelni wyższej?],"*"&amp;"Tak"&amp;"*")</f>
        <v>0</v>
      </c>
      <c r="D361">
        <f t="shared" si="78"/>
        <v>0</v>
      </c>
      <c r="E361" s="46">
        <f t="shared" si="79"/>
        <v>23.765625</v>
      </c>
      <c r="F361">
        <f t="shared" si="80"/>
        <v>0</v>
      </c>
    </row>
    <row r="362" spans="1:7" x14ac:dyDescent="0.45">
      <c r="A362" t="s">
        <v>2333</v>
      </c>
      <c r="B362" t="s">
        <v>132</v>
      </c>
      <c r="C362">
        <f>COUNTIFS(AnalizaCzyste[Praca na ocenianej uczelni daje mi duże szanse rozwoju.45],B362,AnalizaCzyste[Czy jesteś aktualnie pracownikiem naukowym lub dydaktycznym uczelni wyższej?],"*"&amp;"Tak"&amp;"*")</f>
        <v>0</v>
      </c>
      <c r="D362">
        <f t="shared" si="78"/>
        <v>0</v>
      </c>
    </row>
    <row r="363" spans="1:7" x14ac:dyDescent="0.45">
      <c r="B363" s="20" t="s">
        <v>2356</v>
      </c>
      <c r="C363" s="29">
        <f>SUM(C355:C362)</f>
        <v>16</v>
      </c>
      <c r="D363" s="46">
        <f>SUM(D355:D361)/C364</f>
        <v>5.875</v>
      </c>
      <c r="E363" s="20" t="s">
        <v>2358</v>
      </c>
      <c r="F363" s="46">
        <f>SUM(F355:F362)/(C364-1)</f>
        <v>1.7166666666666666</v>
      </c>
      <c r="G363" s="20" t="s">
        <v>2354</v>
      </c>
    </row>
    <row r="364" spans="1:7" x14ac:dyDescent="0.45">
      <c r="B364" s="20" t="s">
        <v>2357</v>
      </c>
      <c r="C364">
        <f>C363-C362</f>
        <v>16</v>
      </c>
      <c r="D364" s="33">
        <f>D363/7</f>
        <v>0.8392857142857143</v>
      </c>
      <c r="F364" s="46">
        <f>F363^(1/2)</f>
        <v>1.3102162671355697</v>
      </c>
      <c r="G364" t="s">
        <v>2369</v>
      </c>
    </row>
    <row r="365" spans="1:7" x14ac:dyDescent="0.45">
      <c r="B365" s="20"/>
      <c r="D365" s="33"/>
      <c r="F365" s="46"/>
    </row>
    <row r="366" spans="1:7" x14ac:dyDescent="0.45">
      <c r="A366" s="29" t="s">
        <v>2388</v>
      </c>
      <c r="C366" t="s">
        <v>2353</v>
      </c>
      <c r="E366" s="20" t="s">
        <v>2367</v>
      </c>
      <c r="F366" s="20" t="s">
        <v>2368</v>
      </c>
    </row>
    <row r="367" spans="1:7" x14ac:dyDescent="0.45">
      <c r="A367">
        <v>7</v>
      </c>
      <c r="B367" t="s">
        <v>169</v>
      </c>
      <c r="C367">
        <f>COUNTIFS(AnalizaCzyste[Wartość wykształcenia zdobywanego przez studentów ocenianej uczelni jest wysoka.46],B367,AnalizaCzyste[Czy jesteś aktualnie pracownikiem naukowym lub dydaktycznym uczelni wyższej?],"*"&amp;"Tak"&amp;"*")</f>
        <v>5</v>
      </c>
      <c r="D367">
        <f>PRODUCT(A367,C367)</f>
        <v>35</v>
      </c>
      <c r="E367" s="46">
        <f>(A367-$D$375)^2</f>
        <v>1.72265625</v>
      </c>
      <c r="F367">
        <f>PRODUCT(C367,E367)</f>
        <v>8.61328125</v>
      </c>
    </row>
    <row r="368" spans="1:7" x14ac:dyDescent="0.45">
      <c r="A368">
        <v>6</v>
      </c>
      <c r="B368" t="s">
        <v>150</v>
      </c>
      <c r="C368">
        <f>COUNTIFS(AnalizaCzyste[Wartość wykształcenia zdobywanego przez studentów ocenianej uczelni jest wysoka.46],B368,AnalizaCzyste[Czy jesteś aktualnie pracownikiem naukowym lub dydaktycznym uczelni wyższej?],"*"&amp;"Tak"&amp;"*")</f>
        <v>6</v>
      </c>
      <c r="D368">
        <f t="shared" ref="D368:D374" si="81">PRODUCT(A368,C368)</f>
        <v>36</v>
      </c>
      <c r="E368" s="46">
        <f t="shared" ref="E368:E373" si="82">(A368-$D$375)^2</f>
        <v>9.765625E-2</v>
      </c>
      <c r="F368">
        <f t="shared" ref="F368:F373" si="83">PRODUCT(C368,E368)</f>
        <v>0.5859375</v>
      </c>
    </row>
    <row r="369" spans="1:7" x14ac:dyDescent="0.45">
      <c r="A369">
        <v>5</v>
      </c>
      <c r="B369" t="s">
        <v>162</v>
      </c>
      <c r="C369">
        <f>COUNTIFS(AnalizaCzyste[Wartość wykształcenia zdobywanego przez studentów ocenianej uczelni jest wysoka.46],B369,AnalizaCzyste[Czy jesteś aktualnie pracownikiem naukowym lub dydaktycznym uczelni wyższej?],"*"&amp;"Tak"&amp;"*")</f>
        <v>1</v>
      </c>
      <c r="D369">
        <f t="shared" si="81"/>
        <v>5</v>
      </c>
      <c r="E369" s="46">
        <f t="shared" si="82"/>
        <v>0.47265625</v>
      </c>
      <c r="F369">
        <f t="shared" si="83"/>
        <v>0.47265625</v>
      </c>
    </row>
    <row r="370" spans="1:7" x14ac:dyDescent="0.45">
      <c r="A370">
        <v>4</v>
      </c>
      <c r="B370" t="s">
        <v>151</v>
      </c>
      <c r="C370">
        <f>COUNTIFS(AnalizaCzyste[Wartość wykształcenia zdobywanego przez studentów ocenianej uczelni jest wysoka.46],B370,AnalizaCzyste[Czy jesteś aktualnie pracownikiem naukowym lub dydaktycznym uczelni wyższej?],"*"&amp;"Tak"&amp;"*")</f>
        <v>3</v>
      </c>
      <c r="D370">
        <f t="shared" si="81"/>
        <v>12</v>
      </c>
      <c r="E370" s="46">
        <f t="shared" si="82"/>
        <v>2.84765625</v>
      </c>
      <c r="F370">
        <f t="shared" si="83"/>
        <v>8.54296875</v>
      </c>
    </row>
    <row r="371" spans="1:7" x14ac:dyDescent="0.45">
      <c r="A371">
        <v>3</v>
      </c>
      <c r="B371" t="s">
        <v>128</v>
      </c>
      <c r="C371">
        <f>COUNTIFS(AnalizaCzyste[Wartość wykształcenia zdobywanego przez studentów ocenianej uczelni jest wysoka.46],B371,AnalizaCzyste[Czy jesteś aktualnie pracownikiem naukowym lub dydaktycznym uczelni wyższej?],"*"&amp;"Tak"&amp;"*")</f>
        <v>1</v>
      </c>
      <c r="D371">
        <f t="shared" si="81"/>
        <v>3</v>
      </c>
      <c r="E371" s="46">
        <f t="shared" si="82"/>
        <v>7.22265625</v>
      </c>
      <c r="F371">
        <f t="shared" si="83"/>
        <v>7.22265625</v>
      </c>
    </row>
    <row r="372" spans="1:7" x14ac:dyDescent="0.45">
      <c r="A372">
        <v>2</v>
      </c>
      <c r="B372" t="s">
        <v>236</v>
      </c>
      <c r="C372">
        <f>COUNTIFS(AnalizaCzyste[Wartość wykształcenia zdobywanego przez studentów ocenianej uczelni jest wysoka.46],B372,AnalizaCzyste[Czy jesteś aktualnie pracownikiem naukowym lub dydaktycznym uczelni wyższej?],"*"&amp;"Tak"&amp;"*")</f>
        <v>0</v>
      </c>
      <c r="D372">
        <f t="shared" si="81"/>
        <v>0</v>
      </c>
      <c r="E372" s="46">
        <f t="shared" si="82"/>
        <v>13.59765625</v>
      </c>
      <c r="F372">
        <f t="shared" si="83"/>
        <v>0</v>
      </c>
    </row>
    <row r="373" spans="1:7" x14ac:dyDescent="0.45">
      <c r="A373">
        <v>1</v>
      </c>
      <c r="B373" t="s">
        <v>129</v>
      </c>
      <c r="C373">
        <f>COUNTIFS(AnalizaCzyste[Wartość wykształcenia zdobywanego przez studentów ocenianej uczelni jest wysoka.46],B373,AnalizaCzyste[Czy jesteś aktualnie pracownikiem naukowym lub dydaktycznym uczelni wyższej?],"*"&amp;"Tak"&amp;"*")</f>
        <v>0</v>
      </c>
      <c r="D373">
        <f t="shared" si="81"/>
        <v>0</v>
      </c>
      <c r="E373" s="46">
        <f t="shared" si="82"/>
        <v>21.97265625</v>
      </c>
      <c r="F373">
        <f t="shared" si="83"/>
        <v>0</v>
      </c>
    </row>
    <row r="374" spans="1:7" x14ac:dyDescent="0.45">
      <c r="A374" t="s">
        <v>2333</v>
      </c>
      <c r="B374" t="s">
        <v>132</v>
      </c>
      <c r="C374">
        <f>COUNTIFS(AnalizaCzyste[Wartość wykształcenia zdobywanego przez studentów ocenianej uczelni jest wysoka.46],B374,AnalizaCzyste[Czy jesteś aktualnie pracownikiem naukowym lub dydaktycznym uczelni wyższej?],"*"&amp;"Tak"&amp;"*")</f>
        <v>0</v>
      </c>
      <c r="D374">
        <f t="shared" si="81"/>
        <v>0</v>
      </c>
    </row>
    <row r="375" spans="1:7" x14ac:dyDescent="0.45">
      <c r="B375" s="20" t="s">
        <v>2356</v>
      </c>
      <c r="C375" s="29">
        <f>SUM(C367:C374)</f>
        <v>16</v>
      </c>
      <c r="D375" s="46">
        <f>SUM(D367:D373)/C376</f>
        <v>5.6875</v>
      </c>
      <c r="E375" s="20" t="s">
        <v>2358</v>
      </c>
      <c r="F375" s="46">
        <f>SUM(F367:F374)/(C376-1)</f>
        <v>1.6958333333333333</v>
      </c>
      <c r="G375" s="20" t="s">
        <v>2354</v>
      </c>
    </row>
    <row r="376" spans="1:7" x14ac:dyDescent="0.45">
      <c r="B376" s="20" t="s">
        <v>2357</v>
      </c>
      <c r="C376">
        <f>C375-C374</f>
        <v>16</v>
      </c>
      <c r="D376" s="33">
        <f>D375/7</f>
        <v>0.8125</v>
      </c>
      <c r="F376" s="46">
        <f>F375^(1/2)</f>
        <v>1.3022416570411703</v>
      </c>
      <c r="G376" t="s">
        <v>2369</v>
      </c>
    </row>
    <row r="377" spans="1:7" x14ac:dyDescent="0.45">
      <c r="B377" s="20"/>
      <c r="D377" s="33"/>
      <c r="F377" s="46"/>
    </row>
    <row r="378" spans="1:7" x14ac:dyDescent="0.45">
      <c r="A378" s="29" t="s">
        <v>2389</v>
      </c>
      <c r="C378" t="s">
        <v>2353</v>
      </c>
      <c r="E378" s="20" t="s">
        <v>2367</v>
      </c>
      <c r="F378" s="20" t="s">
        <v>2368</v>
      </c>
    </row>
    <row r="379" spans="1:7" x14ac:dyDescent="0.45">
      <c r="A379">
        <v>7</v>
      </c>
      <c r="B379" t="s">
        <v>169</v>
      </c>
      <c r="C379">
        <f>COUNTIFS(AnalizaCzyste[Zdobyte na ocenianej uczelni wykształcenie ma pozytywny wpływ na zwiększenie zarobków absolwentów.47],B379,AnalizaCzyste[Czy jesteś aktualnie pracownikiem naukowym lub dydaktycznym uczelni wyższej?],"*"&amp;"Tak"&amp;"*")</f>
        <v>4</v>
      </c>
      <c r="D379">
        <f>PRODUCT(A379,C379)</f>
        <v>28</v>
      </c>
      <c r="E379" s="46">
        <f>(A379-$D$387)^2</f>
        <v>2.44140625</v>
      </c>
      <c r="F379">
        <f>PRODUCT(C379,E379)</f>
        <v>9.765625</v>
      </c>
    </row>
    <row r="380" spans="1:7" x14ac:dyDescent="0.45">
      <c r="A380">
        <v>6</v>
      </c>
      <c r="B380" t="s">
        <v>150</v>
      </c>
      <c r="C380">
        <f>COUNTIFS(AnalizaCzyste[Zdobyte na ocenianej uczelni wykształcenie ma pozytywny wpływ na zwiększenie zarobków absolwentów.47],B380,AnalizaCzyste[Czy jesteś aktualnie pracownikiem naukowym lub dydaktycznym uczelni wyższej?],"*"&amp;"Tak"&amp;"*")</f>
        <v>5</v>
      </c>
      <c r="D380">
        <f t="shared" ref="D380:D386" si="84">PRODUCT(A380,C380)</f>
        <v>30</v>
      </c>
      <c r="E380" s="46">
        <f t="shared" ref="E380:E385" si="85">(A380-$D$387)^2</f>
        <v>0.31640625</v>
      </c>
      <c r="F380">
        <f t="shared" ref="F380:F385" si="86">PRODUCT(C380,E380)</f>
        <v>1.58203125</v>
      </c>
    </row>
    <row r="381" spans="1:7" x14ac:dyDescent="0.45">
      <c r="A381">
        <v>5</v>
      </c>
      <c r="B381" t="s">
        <v>162</v>
      </c>
      <c r="C381">
        <f>COUNTIFS(AnalizaCzyste[Zdobyte na ocenianej uczelni wykształcenie ma pozytywny wpływ na zwiększenie zarobków absolwentów.47],B381,AnalizaCzyste[Czy jesteś aktualnie pracownikiem naukowym lub dydaktycznym uczelni wyższej?],"*"&amp;"Tak"&amp;"*")</f>
        <v>2</v>
      </c>
      <c r="D381">
        <f t="shared" si="84"/>
        <v>10</v>
      </c>
      <c r="E381" s="46">
        <f t="shared" si="85"/>
        <v>0.19140625</v>
      </c>
      <c r="F381">
        <f t="shared" si="86"/>
        <v>0.3828125</v>
      </c>
    </row>
    <row r="382" spans="1:7" x14ac:dyDescent="0.45">
      <c r="A382">
        <v>4</v>
      </c>
      <c r="B382" t="s">
        <v>151</v>
      </c>
      <c r="C382">
        <f>COUNTIFS(AnalizaCzyste[Zdobyte na ocenianej uczelni wykształcenie ma pozytywny wpływ na zwiększenie zarobków absolwentów.47],B382,AnalizaCzyste[Czy jesteś aktualnie pracownikiem naukowym lub dydaktycznym uczelni wyższej?],"*"&amp;"Tak"&amp;"*")</f>
        <v>4</v>
      </c>
      <c r="D382">
        <f t="shared" si="84"/>
        <v>16</v>
      </c>
      <c r="E382" s="46">
        <f t="shared" si="85"/>
        <v>2.06640625</v>
      </c>
      <c r="F382">
        <f t="shared" si="86"/>
        <v>8.265625</v>
      </c>
    </row>
    <row r="383" spans="1:7" x14ac:dyDescent="0.45">
      <c r="A383">
        <v>3</v>
      </c>
      <c r="B383" t="s">
        <v>128</v>
      </c>
      <c r="C383">
        <f>COUNTIFS(AnalizaCzyste[Zdobyte na ocenianej uczelni wykształcenie ma pozytywny wpływ na zwiększenie zarobków absolwentów.47],B383,AnalizaCzyste[Czy jesteś aktualnie pracownikiem naukowym lub dydaktycznym uczelni wyższej?],"*"&amp;"Tak"&amp;"*")</f>
        <v>1</v>
      </c>
      <c r="D383">
        <f t="shared" si="84"/>
        <v>3</v>
      </c>
      <c r="E383" s="46">
        <f t="shared" si="85"/>
        <v>5.94140625</v>
      </c>
      <c r="F383">
        <f t="shared" si="86"/>
        <v>5.94140625</v>
      </c>
    </row>
    <row r="384" spans="1:7" x14ac:dyDescent="0.45">
      <c r="A384">
        <v>2</v>
      </c>
      <c r="B384" t="s">
        <v>236</v>
      </c>
      <c r="C384">
        <f>COUNTIFS(AnalizaCzyste[Zdobyte na ocenianej uczelni wykształcenie ma pozytywny wpływ na zwiększenie zarobków absolwentów.47],B384,AnalizaCzyste[Czy jesteś aktualnie pracownikiem naukowym lub dydaktycznym uczelni wyższej?],"*"&amp;"Tak"&amp;"*")</f>
        <v>0</v>
      </c>
      <c r="D384">
        <f t="shared" si="84"/>
        <v>0</v>
      </c>
      <c r="E384" s="46">
        <f t="shared" si="85"/>
        <v>11.81640625</v>
      </c>
      <c r="F384">
        <f t="shared" si="86"/>
        <v>0</v>
      </c>
    </row>
    <row r="385" spans="1:7" x14ac:dyDescent="0.45">
      <c r="A385">
        <v>1</v>
      </c>
      <c r="B385" t="s">
        <v>129</v>
      </c>
      <c r="C385">
        <f>COUNTIFS(AnalizaCzyste[Zdobyte na ocenianej uczelni wykształcenie ma pozytywny wpływ na zwiększenie zarobków absolwentów.47],B385,AnalizaCzyste[Czy jesteś aktualnie pracownikiem naukowym lub dydaktycznym uczelni wyższej?],"*"&amp;"Tak"&amp;"*")</f>
        <v>0</v>
      </c>
      <c r="D385">
        <f t="shared" si="84"/>
        <v>0</v>
      </c>
      <c r="E385" s="46">
        <f t="shared" si="85"/>
        <v>19.69140625</v>
      </c>
      <c r="F385">
        <f t="shared" si="86"/>
        <v>0</v>
      </c>
    </row>
    <row r="386" spans="1:7" x14ac:dyDescent="0.45">
      <c r="A386" t="s">
        <v>2333</v>
      </c>
      <c r="B386" t="s">
        <v>132</v>
      </c>
      <c r="C386">
        <f>COUNTIFS(AnalizaCzyste[Zdobyte na ocenianej uczelni wykształcenie ma pozytywny wpływ na zwiększenie zarobków absolwentów.47],B386,AnalizaCzyste[Czy jesteś aktualnie pracownikiem naukowym lub dydaktycznym uczelni wyższej?],"*"&amp;"Tak"&amp;"*")</f>
        <v>0</v>
      </c>
      <c r="D386">
        <f t="shared" si="84"/>
        <v>0</v>
      </c>
    </row>
    <row r="387" spans="1:7" x14ac:dyDescent="0.45">
      <c r="B387" s="20" t="s">
        <v>2356</v>
      </c>
      <c r="C387" s="29">
        <f>SUM(C379:C386)</f>
        <v>16</v>
      </c>
      <c r="D387" s="46">
        <f>SUM(D379:D385)/C388</f>
        <v>5.4375</v>
      </c>
      <c r="E387" s="20" t="s">
        <v>2358</v>
      </c>
      <c r="F387" s="46">
        <f>SUM(F379:F386)/(C388-1)</f>
        <v>1.7291666666666667</v>
      </c>
      <c r="G387" s="20" t="s">
        <v>2354</v>
      </c>
    </row>
    <row r="388" spans="1:7" x14ac:dyDescent="0.45">
      <c r="B388" s="20" t="s">
        <v>2357</v>
      </c>
      <c r="C388">
        <f>C387-C386</f>
        <v>16</v>
      </c>
      <c r="D388" s="33">
        <f>D387/7</f>
        <v>0.7767857142857143</v>
      </c>
      <c r="F388" s="46">
        <f>F387^(1/2)</f>
        <v>1.3149778198382918</v>
      </c>
      <c r="G388" t="s">
        <v>2369</v>
      </c>
    </row>
    <row r="389" spans="1:7" x14ac:dyDescent="0.45">
      <c r="B389" s="20"/>
      <c r="D389" s="33"/>
      <c r="F389" s="46"/>
    </row>
    <row r="390" spans="1:7" x14ac:dyDescent="0.45">
      <c r="A390" s="29" t="s">
        <v>2390</v>
      </c>
      <c r="C390" t="s">
        <v>2353</v>
      </c>
      <c r="E390" s="20" t="s">
        <v>2367</v>
      </c>
      <c r="F390" s="20" t="s">
        <v>2368</v>
      </c>
    </row>
    <row r="391" spans="1:7" x14ac:dyDescent="0.45">
      <c r="A391">
        <v>7</v>
      </c>
      <c r="B391" t="s">
        <v>169</v>
      </c>
      <c r="C391">
        <f>COUNTIFS(AnalizaCzyste[Ogólny poziom mojej satysfakcji z jakości usług edukacyjnych ocenianej uczelni jest wysoki.],B391,AnalizaCzyste[Czy jesteś przedstawicielem władz uczelni z grupy rektorów, prorektorów, dziekanów, prodziekanów, członków senatu lub członków rady uczelni?],"*"&amp;"Tak"&amp;"*")</f>
        <v>1</v>
      </c>
      <c r="D391">
        <f>PRODUCT(A391,C391)</f>
        <v>7</v>
      </c>
      <c r="E391" s="46">
        <f>(A391-$D$399)^2</f>
        <v>1.4400000000000004</v>
      </c>
      <c r="F391">
        <f>PRODUCT(C391,E391)</f>
        <v>1.4400000000000004</v>
      </c>
    </row>
    <row r="392" spans="1:7" x14ac:dyDescent="0.45">
      <c r="A392">
        <v>6</v>
      </c>
      <c r="B392" t="s">
        <v>150</v>
      </c>
      <c r="C392">
        <f>COUNTIFS(AnalizaCzyste[Ogólny poziom mojej satysfakcji z jakości usług edukacyjnych ocenianej uczelni jest wysoki.],B392,AnalizaCzyste[Czy jesteś przedstawicielem władz uczelni z grupy rektorów, prorektorów, dziekanów, prodziekanów, członków senatu lub członków rady uczelni?],"*"&amp;"Tak"&amp;"*")</f>
        <v>2</v>
      </c>
      <c r="D392">
        <f t="shared" ref="D392:D398" si="87">PRODUCT(A392,C392)</f>
        <v>12</v>
      </c>
      <c r="E392" s="46">
        <f t="shared" ref="E392:E397" si="88">(A392-$D$399)^2</f>
        <v>4.000000000000007E-2</v>
      </c>
      <c r="F392">
        <f t="shared" ref="F392:F397" si="89">PRODUCT(C392,E392)</f>
        <v>8.000000000000014E-2</v>
      </c>
    </row>
    <row r="393" spans="1:7" x14ac:dyDescent="0.45">
      <c r="A393">
        <v>5</v>
      </c>
      <c r="B393" t="s">
        <v>162</v>
      </c>
      <c r="C393">
        <f>COUNTIFS(AnalizaCzyste[Ogólny poziom mojej satysfakcji z jakości usług edukacyjnych ocenianej uczelni jest wysoki.],B393,AnalizaCzyste[Czy jesteś przedstawicielem władz uczelni z grupy rektorów, prorektorów, dziekanów, prodziekanów, członków senatu lub członków rady uczelni?],"*"&amp;"Tak"&amp;"*")</f>
        <v>2</v>
      </c>
      <c r="D393">
        <f t="shared" si="87"/>
        <v>10</v>
      </c>
      <c r="E393" s="46">
        <f t="shared" si="88"/>
        <v>0.63999999999999968</v>
      </c>
      <c r="F393">
        <f t="shared" si="89"/>
        <v>1.2799999999999994</v>
      </c>
    </row>
    <row r="394" spans="1:7" x14ac:dyDescent="0.45">
      <c r="A394">
        <v>4</v>
      </c>
      <c r="B394" t="s">
        <v>151</v>
      </c>
      <c r="C394">
        <f>COUNTIFS(AnalizaCzyste[Ogólny poziom mojej satysfakcji z jakości usług edukacyjnych ocenianej uczelni jest wysoki.],B394,AnalizaCzyste[Czy jesteś przedstawicielem władz uczelni z grupy rektorów, prorektorów, dziekanów, prodziekanów, członków senatu lub członków rady uczelni?],"*"&amp;"Tak"&amp;"*")</f>
        <v>0</v>
      </c>
      <c r="D394">
        <f t="shared" si="87"/>
        <v>0</v>
      </c>
      <c r="E394" s="46">
        <f t="shared" si="88"/>
        <v>3.2399999999999993</v>
      </c>
      <c r="F394">
        <f t="shared" si="89"/>
        <v>0</v>
      </c>
    </row>
    <row r="395" spans="1:7" x14ac:dyDescent="0.45">
      <c r="A395">
        <v>3</v>
      </c>
      <c r="B395" t="s">
        <v>128</v>
      </c>
      <c r="C395">
        <f>COUNTIFS(AnalizaCzyste[Ogólny poziom mojej satysfakcji z jakości usług edukacyjnych ocenianej uczelni jest wysoki.],B395,AnalizaCzyste[Czy jesteś przedstawicielem władz uczelni z grupy rektorów, prorektorów, dziekanów, prodziekanów, członków senatu lub członków rady uczelni?],"*"&amp;"Tak"&amp;"*")</f>
        <v>0</v>
      </c>
      <c r="D395">
        <f t="shared" si="87"/>
        <v>0</v>
      </c>
      <c r="E395" s="46">
        <f t="shared" si="88"/>
        <v>7.839999999999999</v>
      </c>
      <c r="F395">
        <f t="shared" si="89"/>
        <v>0</v>
      </c>
    </row>
    <row r="396" spans="1:7" x14ac:dyDescent="0.45">
      <c r="A396">
        <v>2</v>
      </c>
      <c r="B396" t="s">
        <v>236</v>
      </c>
      <c r="C396">
        <f>COUNTIFS(AnalizaCzyste[Ogólny poziom mojej satysfakcji z jakości usług edukacyjnych ocenianej uczelni jest wysoki.],B396,AnalizaCzyste[Czy jesteś przedstawicielem władz uczelni z grupy rektorów, prorektorów, dziekanów, prodziekanów, członków senatu lub członków rady uczelni?],"*"&amp;"Tak"&amp;"*")</f>
        <v>0</v>
      </c>
      <c r="D396">
        <f t="shared" si="87"/>
        <v>0</v>
      </c>
      <c r="E396" s="46">
        <f t="shared" si="88"/>
        <v>14.44</v>
      </c>
      <c r="F396">
        <f t="shared" si="89"/>
        <v>0</v>
      </c>
    </row>
    <row r="397" spans="1:7" x14ac:dyDescent="0.45">
      <c r="A397">
        <v>1</v>
      </c>
      <c r="B397" t="s">
        <v>129</v>
      </c>
      <c r="C397">
        <f>COUNTIFS(AnalizaCzyste[Ogólny poziom mojej satysfakcji z jakości usług edukacyjnych ocenianej uczelni jest wysoki.],B397,AnalizaCzyste[Czy jesteś przedstawicielem władz uczelni z grupy rektorów, prorektorów, dziekanów, prodziekanów, członków senatu lub członków rady uczelni?],"*"&amp;"Tak"&amp;"*")</f>
        <v>0</v>
      </c>
      <c r="D397">
        <f t="shared" si="87"/>
        <v>0</v>
      </c>
      <c r="E397" s="46">
        <f t="shared" si="88"/>
        <v>23.04</v>
      </c>
      <c r="F397">
        <f t="shared" si="89"/>
        <v>0</v>
      </c>
    </row>
    <row r="398" spans="1:7" x14ac:dyDescent="0.45">
      <c r="A398" t="s">
        <v>2333</v>
      </c>
      <c r="B398" t="s">
        <v>132</v>
      </c>
      <c r="C398">
        <f>COUNTIFS(AnalizaCzyste[Ogólny poziom mojej satysfakcji z jakości usług edukacyjnych ocenianej uczelni jest wysoki.],B398,AnalizaCzyste[Czy jesteś przedstawicielem władz uczelni z grupy rektorów, prorektorów, dziekanów, prodziekanów, członków senatu lub członków rady uczelni?],"*"&amp;"Tak"&amp;"*")</f>
        <v>0</v>
      </c>
      <c r="D398">
        <f t="shared" si="87"/>
        <v>0</v>
      </c>
    </row>
    <row r="399" spans="1:7" x14ac:dyDescent="0.45">
      <c r="B399" s="20" t="s">
        <v>2356</v>
      </c>
      <c r="C399" s="29">
        <f>SUM(C391:C398)</f>
        <v>5</v>
      </c>
      <c r="D399" s="46">
        <f>SUM(D391:D397)/C400</f>
        <v>5.8</v>
      </c>
      <c r="E399" s="20" t="s">
        <v>2358</v>
      </c>
      <c r="F399" s="46">
        <f>SUM(F391:F398)/(C400-1)</f>
        <v>0.7</v>
      </c>
      <c r="G399" s="20" t="s">
        <v>2354</v>
      </c>
    </row>
    <row r="400" spans="1:7" x14ac:dyDescent="0.45">
      <c r="B400" s="20" t="s">
        <v>2357</v>
      </c>
      <c r="C400">
        <f>C399-C398</f>
        <v>5</v>
      </c>
      <c r="D400" s="33">
        <f>D399/7</f>
        <v>0.82857142857142851</v>
      </c>
      <c r="F400" s="46">
        <f>F399^(1/2)</f>
        <v>0.83666002653407556</v>
      </c>
      <c r="G400" t="s">
        <v>2369</v>
      </c>
    </row>
    <row r="401" spans="1:7" x14ac:dyDescent="0.45">
      <c r="B401" s="20"/>
      <c r="D401" s="33"/>
      <c r="F401" s="46"/>
    </row>
    <row r="402" spans="1:7" x14ac:dyDescent="0.45">
      <c r="A402" s="29" t="s">
        <v>2362</v>
      </c>
      <c r="C402" t="s">
        <v>2353</v>
      </c>
      <c r="E402" s="20" t="s">
        <v>2367</v>
      </c>
      <c r="F402" s="20" t="s">
        <v>2368</v>
      </c>
    </row>
    <row r="403" spans="1:7" x14ac:dyDescent="0.45">
      <c r="A403">
        <v>7</v>
      </c>
      <c r="B403" t="s">
        <v>169</v>
      </c>
      <c r="C403">
        <f>COUNTIFS(AnalizaCzyste[Efekty działań ocenianej uczelni na rzesz jakości edukacji są dobre],B403,AnalizaCzyste[Czy jesteś przedstawicielem władz uczelni z grupy rektorów, prorektorów, dziekanów, prodziekanów, członków senatu lub członków rady uczelni?],"*"&amp;"Tak"&amp;"*")</f>
        <v>1</v>
      </c>
      <c r="D403">
        <f>PRODUCT(A403,C403)</f>
        <v>7</v>
      </c>
      <c r="E403" s="46">
        <f>(A403-$D$411)^2</f>
        <v>1.4400000000000004</v>
      </c>
      <c r="F403">
        <f>PRODUCT(C403,E403)</f>
        <v>1.4400000000000004</v>
      </c>
    </row>
    <row r="404" spans="1:7" x14ac:dyDescent="0.45">
      <c r="A404">
        <v>6</v>
      </c>
      <c r="B404" t="s">
        <v>150</v>
      </c>
      <c r="C404">
        <f>COUNTIFS(AnalizaCzyste[Efekty działań ocenianej uczelni na rzesz jakości edukacji są dobre],B404,AnalizaCzyste[Czy jesteś przedstawicielem władz uczelni z grupy rektorów, prorektorów, dziekanów, prodziekanów, członków senatu lub członków rady uczelni?],"*"&amp;"Tak"&amp;"*")</f>
        <v>2</v>
      </c>
      <c r="D404">
        <f t="shared" ref="D404:D410" si="90">PRODUCT(A404,C404)</f>
        <v>12</v>
      </c>
      <c r="E404" s="46">
        <f t="shared" ref="E404:E409" si="91">(A404-$D$411)^2</f>
        <v>4.000000000000007E-2</v>
      </c>
      <c r="F404">
        <f t="shared" ref="F404:F409" si="92">PRODUCT(C404,E404)</f>
        <v>8.000000000000014E-2</v>
      </c>
    </row>
    <row r="405" spans="1:7" x14ac:dyDescent="0.45">
      <c r="A405">
        <v>5</v>
      </c>
      <c r="B405" t="s">
        <v>162</v>
      </c>
      <c r="C405">
        <f>COUNTIFS(AnalizaCzyste[Efekty działań ocenianej uczelni na rzesz jakości edukacji są dobre],B405,AnalizaCzyste[Czy jesteś przedstawicielem władz uczelni z grupy rektorów, prorektorów, dziekanów, prodziekanów, członków senatu lub członków rady uczelni?],"*"&amp;"Tak"&amp;"*")</f>
        <v>2</v>
      </c>
      <c r="D405">
        <f t="shared" si="90"/>
        <v>10</v>
      </c>
      <c r="E405" s="46">
        <f t="shared" si="91"/>
        <v>0.63999999999999968</v>
      </c>
      <c r="F405">
        <f t="shared" si="92"/>
        <v>1.2799999999999994</v>
      </c>
    </row>
    <row r="406" spans="1:7" x14ac:dyDescent="0.45">
      <c r="A406">
        <v>4</v>
      </c>
      <c r="B406" t="s">
        <v>151</v>
      </c>
      <c r="C406">
        <f>COUNTIFS(AnalizaCzyste[Efekty działań ocenianej uczelni na rzesz jakości edukacji są dobre],B406,AnalizaCzyste[Czy jesteś przedstawicielem władz uczelni z grupy rektorów, prorektorów, dziekanów, prodziekanów, członków senatu lub członków rady uczelni?],"*"&amp;"Tak"&amp;"*")</f>
        <v>0</v>
      </c>
      <c r="D406">
        <f t="shared" si="90"/>
        <v>0</v>
      </c>
      <c r="E406" s="46">
        <f t="shared" si="91"/>
        <v>3.2399999999999993</v>
      </c>
      <c r="F406">
        <f t="shared" si="92"/>
        <v>0</v>
      </c>
    </row>
    <row r="407" spans="1:7" x14ac:dyDescent="0.45">
      <c r="A407">
        <v>3</v>
      </c>
      <c r="B407" t="s">
        <v>128</v>
      </c>
      <c r="C407">
        <f>COUNTIFS(AnalizaCzyste[Efekty działań ocenianej uczelni na rzesz jakości edukacji są dobre],B407,AnalizaCzyste[Czy jesteś przedstawicielem władz uczelni z grupy rektorów, prorektorów, dziekanów, prodziekanów, członków senatu lub członków rady uczelni?],"*"&amp;"Tak"&amp;"*")</f>
        <v>0</v>
      </c>
      <c r="D407">
        <f t="shared" si="90"/>
        <v>0</v>
      </c>
      <c r="E407" s="46">
        <f t="shared" si="91"/>
        <v>7.839999999999999</v>
      </c>
      <c r="F407">
        <f t="shared" si="92"/>
        <v>0</v>
      </c>
    </row>
    <row r="408" spans="1:7" x14ac:dyDescent="0.45">
      <c r="A408">
        <v>2</v>
      </c>
      <c r="B408" t="s">
        <v>236</v>
      </c>
      <c r="C408">
        <f>COUNTIFS(AnalizaCzyste[Efekty działań ocenianej uczelni na rzesz jakości edukacji są dobre],B408,AnalizaCzyste[Czy jesteś przedstawicielem władz uczelni z grupy rektorów, prorektorów, dziekanów, prodziekanów, członków senatu lub członków rady uczelni?],"*"&amp;"Tak"&amp;"*")</f>
        <v>0</v>
      </c>
      <c r="D408">
        <f t="shared" si="90"/>
        <v>0</v>
      </c>
      <c r="E408" s="46">
        <f t="shared" si="91"/>
        <v>14.44</v>
      </c>
      <c r="F408">
        <f t="shared" si="92"/>
        <v>0</v>
      </c>
    </row>
    <row r="409" spans="1:7" x14ac:dyDescent="0.45">
      <c r="A409">
        <v>1</v>
      </c>
      <c r="B409" t="s">
        <v>129</v>
      </c>
      <c r="C409">
        <f>COUNTIFS(AnalizaCzyste[Efekty działań ocenianej uczelni na rzesz jakości edukacji są dobre],B409,AnalizaCzyste[Czy jesteś przedstawicielem władz uczelni z grupy rektorów, prorektorów, dziekanów, prodziekanów, członków senatu lub członków rady uczelni?],"*"&amp;"Tak"&amp;"*")</f>
        <v>0</v>
      </c>
      <c r="D409">
        <f t="shared" si="90"/>
        <v>0</v>
      </c>
      <c r="E409" s="46">
        <f t="shared" si="91"/>
        <v>23.04</v>
      </c>
      <c r="F409">
        <f t="shared" si="92"/>
        <v>0</v>
      </c>
    </row>
    <row r="410" spans="1:7" x14ac:dyDescent="0.45">
      <c r="A410" t="s">
        <v>2333</v>
      </c>
      <c r="B410" t="s">
        <v>132</v>
      </c>
      <c r="C410">
        <f>COUNTIFS(AnalizaCzyste[Efekty działań ocenianej uczelni na rzesz jakości edukacji są dobre],B410,AnalizaCzyste[Czy jesteś przedstawicielem władz uczelni z grupy rektorów, prorektorów, dziekanów, prodziekanów, członków senatu lub członków rady uczelni?],"*"&amp;"Tak"&amp;"*")</f>
        <v>0</v>
      </c>
      <c r="D410">
        <f t="shared" si="90"/>
        <v>0</v>
      </c>
    </row>
    <row r="411" spans="1:7" x14ac:dyDescent="0.45">
      <c r="B411" s="20" t="s">
        <v>2356</v>
      </c>
      <c r="C411" s="29">
        <f>SUM(C403:C410)</f>
        <v>5</v>
      </c>
      <c r="D411" s="46">
        <f>SUM(D403:D409)/C412</f>
        <v>5.8</v>
      </c>
      <c r="E411" s="20" t="s">
        <v>2358</v>
      </c>
      <c r="F411" s="46">
        <f>SUM(F403:F410)/(C412-1)</f>
        <v>0.7</v>
      </c>
      <c r="G411" s="20" t="s">
        <v>2354</v>
      </c>
    </row>
    <row r="412" spans="1:7" x14ac:dyDescent="0.45">
      <c r="B412" s="20" t="s">
        <v>2357</v>
      </c>
      <c r="C412">
        <f>C411-C410</f>
        <v>5</v>
      </c>
      <c r="D412" s="33">
        <f>D411/7</f>
        <v>0.82857142857142851</v>
      </c>
      <c r="F412" s="46">
        <f>F411^(1/2)</f>
        <v>0.83666002653407556</v>
      </c>
      <c r="G412" t="s">
        <v>2369</v>
      </c>
    </row>
    <row r="413" spans="1:7" x14ac:dyDescent="0.45">
      <c r="B413" s="20"/>
      <c r="D413" s="33"/>
      <c r="F413" s="46"/>
    </row>
    <row r="414" spans="1:7" x14ac:dyDescent="0.45">
      <c r="A414" s="29" t="s">
        <v>2391</v>
      </c>
      <c r="C414" t="s">
        <v>2353</v>
      </c>
      <c r="E414" s="20" t="s">
        <v>2367</v>
      </c>
      <c r="F414" s="20" t="s">
        <v>2368</v>
      </c>
    </row>
    <row r="415" spans="1:7" x14ac:dyDescent="0.45">
      <c r="A415">
        <v>7</v>
      </c>
      <c r="B415" t="s">
        <v>169</v>
      </c>
      <c r="C415">
        <f>COUNTIFS(AnalizaCzyste[Wartość wykształcenia zdobywanego przez studentów na ocenianej uczelni jest wysoka.],B415,AnalizaCzyste[Czy jesteś przedstawicielem władz uczelni z grupy rektorów, prorektorów, dziekanów, prodziekanów, członków senatu lub członków rady uczelni?],"*"&amp;"Tak"&amp;"*")</f>
        <v>1</v>
      </c>
      <c r="D415">
        <f>PRODUCT(A415,C415)</f>
        <v>7</v>
      </c>
      <c r="E415" s="46">
        <f>(A415-$D$423)^2</f>
        <v>1</v>
      </c>
      <c r="F415">
        <f>PRODUCT(C415,E415)</f>
        <v>1</v>
      </c>
    </row>
    <row r="416" spans="1:7" x14ac:dyDescent="0.45">
      <c r="A416">
        <v>6</v>
      </c>
      <c r="B416" t="s">
        <v>150</v>
      </c>
      <c r="C416">
        <f>COUNTIFS(AnalizaCzyste[Wartość wykształcenia zdobywanego przez studentów na ocenianej uczelni jest wysoka.],B416,AnalizaCzyste[Czy jesteś przedstawicielem władz uczelni z grupy rektorów, prorektorów, dziekanów, prodziekanów, członków senatu lub członków rady uczelni?],"*"&amp;"Tak"&amp;"*")</f>
        <v>3</v>
      </c>
      <c r="D416">
        <f t="shared" ref="D416:D422" si="93">PRODUCT(A416,C416)</f>
        <v>18</v>
      </c>
      <c r="E416" s="46">
        <f t="shared" ref="E416:E421" si="94">(A416-$D$423)^2</f>
        <v>0</v>
      </c>
      <c r="F416">
        <f t="shared" ref="F416:F421" si="95">PRODUCT(C416,E416)</f>
        <v>0</v>
      </c>
    </row>
    <row r="417" spans="1:7" x14ac:dyDescent="0.45">
      <c r="A417">
        <v>5</v>
      </c>
      <c r="B417" t="s">
        <v>162</v>
      </c>
      <c r="C417">
        <f>COUNTIFS(AnalizaCzyste[Wartość wykształcenia zdobywanego przez studentów na ocenianej uczelni jest wysoka.],B417,AnalizaCzyste[Czy jesteś przedstawicielem władz uczelni z grupy rektorów, prorektorów, dziekanów, prodziekanów, członków senatu lub członków rady uczelni?],"*"&amp;"Tak"&amp;"*")</f>
        <v>1</v>
      </c>
      <c r="D417">
        <f t="shared" si="93"/>
        <v>5</v>
      </c>
      <c r="E417" s="46">
        <f t="shared" si="94"/>
        <v>1</v>
      </c>
      <c r="F417">
        <f t="shared" si="95"/>
        <v>1</v>
      </c>
    </row>
    <row r="418" spans="1:7" x14ac:dyDescent="0.45">
      <c r="A418">
        <v>4</v>
      </c>
      <c r="B418" t="s">
        <v>151</v>
      </c>
      <c r="C418">
        <f>COUNTIFS(AnalizaCzyste[Wartość wykształcenia zdobywanego przez studentów na ocenianej uczelni jest wysoka.],B418,AnalizaCzyste[Czy jesteś przedstawicielem władz uczelni z grupy rektorów, prorektorów, dziekanów, prodziekanów, członków senatu lub członków rady uczelni?],"*"&amp;"Tak"&amp;"*")</f>
        <v>0</v>
      </c>
      <c r="D418">
        <f t="shared" si="93"/>
        <v>0</v>
      </c>
      <c r="E418" s="46">
        <f t="shared" si="94"/>
        <v>4</v>
      </c>
      <c r="F418">
        <f t="shared" si="95"/>
        <v>0</v>
      </c>
    </row>
    <row r="419" spans="1:7" x14ac:dyDescent="0.45">
      <c r="A419">
        <v>3</v>
      </c>
      <c r="B419" t="s">
        <v>128</v>
      </c>
      <c r="C419">
        <f>COUNTIFS(AnalizaCzyste[Wartość wykształcenia zdobywanego przez studentów na ocenianej uczelni jest wysoka.],B419,AnalizaCzyste[Czy jesteś przedstawicielem władz uczelni z grupy rektorów, prorektorów, dziekanów, prodziekanów, członków senatu lub członków rady uczelni?],"*"&amp;"Tak"&amp;"*")</f>
        <v>0</v>
      </c>
      <c r="D419">
        <f t="shared" si="93"/>
        <v>0</v>
      </c>
      <c r="E419" s="46">
        <f t="shared" si="94"/>
        <v>9</v>
      </c>
      <c r="F419">
        <f t="shared" si="95"/>
        <v>0</v>
      </c>
    </row>
    <row r="420" spans="1:7" x14ac:dyDescent="0.45">
      <c r="A420">
        <v>2</v>
      </c>
      <c r="B420" t="s">
        <v>236</v>
      </c>
      <c r="C420">
        <f>COUNTIFS(AnalizaCzyste[Wartość wykształcenia zdobywanego przez studentów na ocenianej uczelni jest wysoka.],B420,AnalizaCzyste[Czy jesteś przedstawicielem władz uczelni z grupy rektorów, prorektorów, dziekanów, prodziekanów, członków senatu lub członków rady uczelni?],"*"&amp;"Tak"&amp;"*")</f>
        <v>0</v>
      </c>
      <c r="D420">
        <f t="shared" si="93"/>
        <v>0</v>
      </c>
      <c r="E420" s="46">
        <f t="shared" si="94"/>
        <v>16</v>
      </c>
      <c r="F420">
        <f t="shared" si="95"/>
        <v>0</v>
      </c>
    </row>
    <row r="421" spans="1:7" x14ac:dyDescent="0.45">
      <c r="A421">
        <v>1</v>
      </c>
      <c r="B421" t="s">
        <v>129</v>
      </c>
      <c r="C421">
        <f>COUNTIFS(AnalizaCzyste[Wartość wykształcenia zdobywanego przez studentów na ocenianej uczelni jest wysoka.],B421,AnalizaCzyste[Czy jesteś przedstawicielem władz uczelni z grupy rektorów, prorektorów, dziekanów, prodziekanów, członków senatu lub członków rady uczelni?],"*"&amp;"Tak"&amp;"*")</f>
        <v>0</v>
      </c>
      <c r="D421">
        <f t="shared" si="93"/>
        <v>0</v>
      </c>
      <c r="E421" s="46">
        <f t="shared" si="94"/>
        <v>25</v>
      </c>
      <c r="F421">
        <f t="shared" si="95"/>
        <v>0</v>
      </c>
    </row>
    <row r="422" spans="1:7" x14ac:dyDescent="0.45">
      <c r="A422" t="s">
        <v>2333</v>
      </c>
      <c r="B422" t="s">
        <v>132</v>
      </c>
      <c r="C422">
        <f>COUNTIFS(AnalizaCzyste[Wartość wykształcenia zdobywanego przez studentów na ocenianej uczelni jest wysoka.],B422,AnalizaCzyste[Czy jesteś przedstawicielem władz uczelni z grupy rektorów, prorektorów, dziekanów, prodziekanów, członków senatu lub członków rady uczelni?],"*"&amp;"Tak"&amp;"*")</f>
        <v>0</v>
      </c>
      <c r="D422">
        <f t="shared" si="93"/>
        <v>0</v>
      </c>
    </row>
    <row r="423" spans="1:7" x14ac:dyDescent="0.45">
      <c r="B423" s="20" t="s">
        <v>2356</v>
      </c>
      <c r="C423" s="29">
        <f>SUM(C415:C422)</f>
        <v>5</v>
      </c>
      <c r="D423" s="46">
        <f>SUM(D415:D421)/C424</f>
        <v>6</v>
      </c>
      <c r="E423" s="20" t="s">
        <v>2358</v>
      </c>
      <c r="F423" s="46">
        <f>SUM(F415:F422)/(C424-1)</f>
        <v>0.5</v>
      </c>
      <c r="G423" s="20" t="s">
        <v>2354</v>
      </c>
    </row>
    <row r="424" spans="1:7" x14ac:dyDescent="0.45">
      <c r="B424" s="20" t="s">
        <v>2357</v>
      </c>
      <c r="C424">
        <f>C423-C422</f>
        <v>5</v>
      </c>
      <c r="D424" s="33">
        <f>D423/7</f>
        <v>0.8571428571428571</v>
      </c>
      <c r="F424" s="46">
        <f>F423^(1/2)</f>
        <v>0.70710678118654757</v>
      </c>
      <c r="G424" t="s">
        <v>2369</v>
      </c>
    </row>
    <row r="425" spans="1:7" x14ac:dyDescent="0.45">
      <c r="B425" s="20"/>
      <c r="D425" s="33"/>
      <c r="F425" s="46"/>
    </row>
    <row r="426" spans="1:7" x14ac:dyDescent="0.45">
      <c r="A426" s="29" t="s">
        <v>2392</v>
      </c>
      <c r="C426" t="s">
        <v>2353</v>
      </c>
      <c r="E426" s="20" t="s">
        <v>2367</v>
      </c>
      <c r="F426" s="20" t="s">
        <v>2368</v>
      </c>
    </row>
    <row r="427" spans="1:7" x14ac:dyDescent="0.45">
      <c r="A427">
        <v>7</v>
      </c>
      <c r="B427" t="s">
        <v>169</v>
      </c>
      <c r="C427">
        <f>COUNTIFS(AnalizaCzyste[Zdobyte przez studentów ocenianej uczelni wykształcenie miało/ma pozytywny wpływ na ich zarobki.],B427,AnalizaCzyste[Czy jesteś przedstawicielem władz uczelni z grupy rektorów, prorektorów, dziekanów, prodziekanów, członków senatu lub członków rady uczelni?],"*"&amp;"Tak"&amp;"*")</f>
        <v>1</v>
      </c>
      <c r="D427">
        <f>PRODUCT(A427,C427)</f>
        <v>7</v>
      </c>
      <c r="E427" s="46">
        <f>(A427-$D$435)^2</f>
        <v>1.9600000000000011</v>
      </c>
      <c r="F427">
        <f>PRODUCT(C427,E427)</f>
        <v>1.9600000000000011</v>
      </c>
    </row>
    <row r="428" spans="1:7" x14ac:dyDescent="0.45">
      <c r="A428">
        <v>6</v>
      </c>
      <c r="B428" t="s">
        <v>150</v>
      </c>
      <c r="C428">
        <f>COUNTIFS(AnalizaCzyste[Zdobyte przez studentów ocenianej uczelni wykształcenie miało/ma pozytywny wpływ na ich zarobki.],B428,AnalizaCzyste[Czy jesteś przedstawicielem władz uczelni z grupy rektorów, prorektorów, dziekanów, prodziekanów, członków senatu lub członków rady uczelni?],"*"&amp;"Tak"&amp;"*")</f>
        <v>2</v>
      </c>
      <c r="D428">
        <f t="shared" ref="D428:D434" si="96">PRODUCT(A428,C428)</f>
        <v>12</v>
      </c>
      <c r="E428" s="46">
        <f t="shared" ref="E428:E433" si="97">(A428-$D$435)^2</f>
        <v>0.16000000000000028</v>
      </c>
      <c r="F428">
        <f t="shared" ref="F428:F433" si="98">PRODUCT(C428,E428)</f>
        <v>0.32000000000000056</v>
      </c>
    </row>
    <row r="429" spans="1:7" x14ac:dyDescent="0.45">
      <c r="A429">
        <v>5</v>
      </c>
      <c r="B429" t="s">
        <v>162</v>
      </c>
      <c r="C429">
        <f>COUNTIFS(AnalizaCzyste[Zdobyte przez studentów ocenianej uczelni wykształcenie miało/ma pozytywny wpływ na ich zarobki.],B429,AnalizaCzyste[Czy jesteś przedstawicielem władz uczelni z grupy rektorów, prorektorów, dziekanów, prodziekanów, członków senatu lub członków rady uczelni?],"*"&amp;"Tak"&amp;"*")</f>
        <v>1</v>
      </c>
      <c r="D429">
        <f t="shared" si="96"/>
        <v>5</v>
      </c>
      <c r="E429" s="46">
        <f t="shared" si="97"/>
        <v>0.3599999999999996</v>
      </c>
      <c r="F429">
        <f t="shared" si="98"/>
        <v>0.3599999999999996</v>
      </c>
    </row>
    <row r="430" spans="1:7" x14ac:dyDescent="0.45">
      <c r="A430">
        <v>4</v>
      </c>
      <c r="B430" t="s">
        <v>151</v>
      </c>
      <c r="C430">
        <f>COUNTIFS(AnalizaCzyste[Zdobyte przez studentów ocenianej uczelni wykształcenie miało/ma pozytywny wpływ na ich zarobki.],B430,AnalizaCzyste[Czy jesteś przedstawicielem władz uczelni z grupy rektorów, prorektorów, dziekanów, prodziekanów, członków senatu lub członków rady uczelni?],"*"&amp;"Tak"&amp;"*")</f>
        <v>1</v>
      </c>
      <c r="D430">
        <f t="shared" si="96"/>
        <v>4</v>
      </c>
      <c r="E430" s="46">
        <f t="shared" si="97"/>
        <v>2.5599999999999987</v>
      </c>
      <c r="F430">
        <f t="shared" si="98"/>
        <v>2.5599999999999987</v>
      </c>
    </row>
    <row r="431" spans="1:7" x14ac:dyDescent="0.45">
      <c r="A431">
        <v>3</v>
      </c>
      <c r="B431" t="s">
        <v>128</v>
      </c>
      <c r="C431">
        <f>COUNTIFS(AnalizaCzyste[Zdobyte przez studentów ocenianej uczelni wykształcenie miało/ma pozytywny wpływ na ich zarobki.],B431,AnalizaCzyste[Czy jesteś przedstawicielem władz uczelni z grupy rektorów, prorektorów, dziekanów, prodziekanów, członków senatu lub członków rady uczelni?],"*"&amp;"Tak"&amp;"*")</f>
        <v>0</v>
      </c>
      <c r="D431">
        <f t="shared" si="96"/>
        <v>0</v>
      </c>
      <c r="E431" s="46">
        <f t="shared" si="97"/>
        <v>6.759999999999998</v>
      </c>
      <c r="F431">
        <f t="shared" si="98"/>
        <v>0</v>
      </c>
    </row>
    <row r="432" spans="1:7" x14ac:dyDescent="0.45">
      <c r="A432">
        <v>2</v>
      </c>
      <c r="B432" t="s">
        <v>236</v>
      </c>
      <c r="C432">
        <f>COUNTIFS(AnalizaCzyste[Zdobyte przez studentów ocenianej uczelni wykształcenie miało/ma pozytywny wpływ na ich zarobki.],B432,AnalizaCzyste[Czy jesteś przedstawicielem władz uczelni z grupy rektorów, prorektorów, dziekanów, prodziekanów, członków senatu lub członków rady uczelni?],"*"&amp;"Tak"&amp;"*")</f>
        <v>0</v>
      </c>
      <c r="D432">
        <f t="shared" si="96"/>
        <v>0</v>
      </c>
      <c r="E432" s="46">
        <f t="shared" si="97"/>
        <v>12.959999999999997</v>
      </c>
      <c r="F432">
        <f t="shared" si="98"/>
        <v>0</v>
      </c>
    </row>
    <row r="433" spans="1:7" x14ac:dyDescent="0.45">
      <c r="A433">
        <v>1</v>
      </c>
      <c r="B433" t="s">
        <v>129</v>
      </c>
      <c r="C433">
        <f>COUNTIFS(AnalizaCzyste[Zdobyte przez studentów ocenianej uczelni wykształcenie miało/ma pozytywny wpływ na ich zarobki.],B433,AnalizaCzyste[Czy jesteś przedstawicielem władz uczelni z grupy rektorów, prorektorów, dziekanów, prodziekanów, członków senatu lub członków rady uczelni?],"*"&amp;"Tak"&amp;"*")</f>
        <v>0</v>
      </c>
      <c r="D433">
        <f t="shared" si="96"/>
        <v>0</v>
      </c>
      <c r="E433" s="46">
        <f t="shared" si="97"/>
        <v>21.159999999999997</v>
      </c>
      <c r="F433">
        <f t="shared" si="98"/>
        <v>0</v>
      </c>
    </row>
    <row r="434" spans="1:7" x14ac:dyDescent="0.45">
      <c r="A434" t="s">
        <v>2333</v>
      </c>
      <c r="B434" t="s">
        <v>132</v>
      </c>
      <c r="C434">
        <f>COUNTIFS(AnalizaCzyste[Zdobyte przez studentów ocenianej uczelni wykształcenie miało/ma pozytywny wpływ na ich zarobki.],B434,AnalizaCzyste[Czy jesteś przedstawicielem władz uczelni z grupy rektorów, prorektorów, dziekanów, prodziekanów, członków senatu lub członków rady uczelni?],"*"&amp;"Tak"&amp;"*")</f>
        <v>0</v>
      </c>
      <c r="D434">
        <f t="shared" si="96"/>
        <v>0</v>
      </c>
    </row>
    <row r="435" spans="1:7" x14ac:dyDescent="0.45">
      <c r="B435" s="20" t="s">
        <v>2356</v>
      </c>
      <c r="C435" s="29">
        <f>SUM(C427:C434)</f>
        <v>5</v>
      </c>
      <c r="D435" s="46">
        <f>SUM(D427:D433)/C436</f>
        <v>5.6</v>
      </c>
      <c r="E435" s="20" t="s">
        <v>2358</v>
      </c>
      <c r="F435" s="46">
        <f>SUM(F427:F434)/(C436-1)</f>
        <v>1.2999999999999998</v>
      </c>
      <c r="G435" s="20" t="s">
        <v>2354</v>
      </c>
    </row>
    <row r="436" spans="1:7" x14ac:dyDescent="0.45">
      <c r="B436" s="20" t="s">
        <v>2357</v>
      </c>
      <c r="C436">
        <f>C435-C434</f>
        <v>5</v>
      </c>
      <c r="D436" s="33">
        <f>D435/7</f>
        <v>0.79999999999999993</v>
      </c>
      <c r="F436" s="46">
        <f>F435^(1/2)</f>
        <v>1.1401754250991378</v>
      </c>
      <c r="G436" t="s">
        <v>2369</v>
      </c>
    </row>
    <row r="437" spans="1:7" x14ac:dyDescent="0.45">
      <c r="B437" s="20"/>
      <c r="D437" s="33"/>
      <c r="F437" s="46"/>
    </row>
    <row r="438" spans="1:7" x14ac:dyDescent="0.45">
      <c r="A438" s="29" t="s">
        <v>2393</v>
      </c>
      <c r="C438" t="s">
        <v>2353</v>
      </c>
      <c r="E438" s="20" t="s">
        <v>2367</v>
      </c>
      <c r="F438" s="20" t="s">
        <v>2368</v>
      </c>
    </row>
    <row r="439" spans="1:7" x14ac:dyDescent="0.45">
      <c r="A439">
        <v>7</v>
      </c>
      <c r="B439" t="s">
        <v>169</v>
      </c>
      <c r="C439">
        <f>COUNTIFS(AnalizaCzyste[Efekty działań ocenianej uczelni na rzecz jakości edukacji mają dobry wpływ na rozwój regionu.],B439,AnalizaCzyste[Czy jesteś przedstawicielem władz uczelni z grupy rektorów, prorektorów, dziekanów, prodziekanów, członków senatu lub członków rady uczelni?],"*"&amp;"Tak"&amp;"*")</f>
        <v>1</v>
      </c>
      <c r="D439">
        <f>PRODUCT(A439,C439)</f>
        <v>7</v>
      </c>
      <c r="E439" s="46">
        <f>(A439-$D$447)^2</f>
        <v>1.5625</v>
      </c>
      <c r="F439">
        <f>PRODUCT(C439,E439)</f>
        <v>1.5625</v>
      </c>
    </row>
    <row r="440" spans="1:7" x14ac:dyDescent="0.45">
      <c r="A440">
        <v>6</v>
      </c>
      <c r="B440" t="s">
        <v>150</v>
      </c>
      <c r="C440">
        <f>COUNTIFS(AnalizaCzyste[Efekty działań ocenianej uczelni na rzecz jakości edukacji mają dobry wpływ na rozwój regionu.],B440,AnalizaCzyste[Czy jesteś przedstawicielem władz uczelni z grupy rektorów, prorektorów, dziekanów, prodziekanów, członków senatu lub członków rady uczelni?],"*"&amp;"Tak"&amp;"*")</f>
        <v>2</v>
      </c>
      <c r="D440">
        <f t="shared" ref="D440:D446" si="99">PRODUCT(A440,C440)</f>
        <v>12</v>
      </c>
      <c r="E440" s="46">
        <f t="shared" ref="E440:E445" si="100">(A440-$D$447)^2</f>
        <v>6.25E-2</v>
      </c>
      <c r="F440">
        <f t="shared" ref="F440:F445" si="101">PRODUCT(C440,E440)</f>
        <v>0.125</v>
      </c>
    </row>
    <row r="441" spans="1:7" x14ac:dyDescent="0.45">
      <c r="A441">
        <v>5</v>
      </c>
      <c r="B441" t="s">
        <v>162</v>
      </c>
      <c r="C441">
        <f>COUNTIFS(AnalizaCzyste[Efekty działań ocenianej uczelni na rzecz jakości edukacji mają dobry wpływ na rozwój regionu.],B441,AnalizaCzyste[Czy jesteś przedstawicielem władz uczelni z grupy rektorów, prorektorów, dziekanów, prodziekanów, członków senatu lub członków rady uczelni?],"*"&amp;"Tak"&amp;"*")</f>
        <v>0</v>
      </c>
      <c r="D441">
        <f t="shared" si="99"/>
        <v>0</v>
      </c>
      <c r="E441" s="46">
        <f t="shared" si="100"/>
        <v>0.5625</v>
      </c>
      <c r="F441">
        <f t="shared" si="101"/>
        <v>0</v>
      </c>
    </row>
    <row r="442" spans="1:7" x14ac:dyDescent="0.45">
      <c r="A442">
        <v>4</v>
      </c>
      <c r="B442" t="s">
        <v>151</v>
      </c>
      <c r="C442">
        <f>COUNTIFS(AnalizaCzyste[Efekty działań ocenianej uczelni na rzecz jakości edukacji mają dobry wpływ na rozwój regionu.],B442,AnalizaCzyste[Czy jesteś przedstawicielem władz uczelni z grupy rektorów, prorektorów, dziekanów, prodziekanów, członków senatu lub członków rady uczelni?],"*"&amp;"Tak"&amp;"*")</f>
        <v>1</v>
      </c>
      <c r="D442">
        <f t="shared" si="99"/>
        <v>4</v>
      </c>
      <c r="E442" s="46">
        <f t="shared" si="100"/>
        <v>3.0625</v>
      </c>
      <c r="F442">
        <f t="shared" si="101"/>
        <v>3.0625</v>
      </c>
    </row>
    <row r="443" spans="1:7" x14ac:dyDescent="0.45">
      <c r="A443">
        <v>3</v>
      </c>
      <c r="B443" t="s">
        <v>128</v>
      </c>
      <c r="C443">
        <f>COUNTIFS(AnalizaCzyste[Efekty działań ocenianej uczelni na rzecz jakości edukacji mają dobry wpływ na rozwój regionu.],B443,AnalizaCzyste[Czy jesteś przedstawicielem władz uczelni z grupy rektorów, prorektorów, dziekanów, prodziekanów, członków senatu lub członków rady uczelni?],"*"&amp;"Tak"&amp;"*")</f>
        <v>0</v>
      </c>
      <c r="D443">
        <f t="shared" si="99"/>
        <v>0</v>
      </c>
      <c r="E443" s="46">
        <f t="shared" si="100"/>
        <v>7.5625</v>
      </c>
      <c r="F443">
        <f t="shared" si="101"/>
        <v>0</v>
      </c>
    </row>
    <row r="444" spans="1:7" x14ac:dyDescent="0.45">
      <c r="A444">
        <v>2</v>
      </c>
      <c r="B444" t="s">
        <v>236</v>
      </c>
      <c r="C444">
        <f>COUNTIFS(AnalizaCzyste[Efekty działań ocenianej uczelni na rzecz jakości edukacji mają dobry wpływ na rozwój regionu.],B444,AnalizaCzyste[Czy jesteś przedstawicielem władz uczelni z grupy rektorów, prorektorów, dziekanów, prodziekanów, członków senatu lub członków rady uczelni?],"*"&amp;"Tak"&amp;"*")</f>
        <v>0</v>
      </c>
      <c r="D444">
        <f t="shared" si="99"/>
        <v>0</v>
      </c>
      <c r="E444" s="46">
        <f t="shared" si="100"/>
        <v>14.0625</v>
      </c>
      <c r="F444">
        <f t="shared" si="101"/>
        <v>0</v>
      </c>
    </row>
    <row r="445" spans="1:7" x14ac:dyDescent="0.45">
      <c r="A445">
        <v>1</v>
      </c>
      <c r="B445" t="s">
        <v>129</v>
      </c>
      <c r="C445">
        <f>COUNTIFS(AnalizaCzyste[Efekty działań ocenianej uczelni na rzecz jakości edukacji mają dobry wpływ na rozwój regionu.],B445,AnalizaCzyste[Czy jesteś przedstawicielem władz uczelni z grupy rektorów, prorektorów, dziekanów, prodziekanów, członków senatu lub członków rady uczelni?],"*"&amp;"Tak"&amp;"*")</f>
        <v>0</v>
      </c>
      <c r="D445">
        <f t="shared" si="99"/>
        <v>0</v>
      </c>
      <c r="E445" s="46">
        <f t="shared" si="100"/>
        <v>22.5625</v>
      </c>
      <c r="F445">
        <f t="shared" si="101"/>
        <v>0</v>
      </c>
    </row>
    <row r="446" spans="1:7" x14ac:dyDescent="0.45">
      <c r="A446" t="s">
        <v>2333</v>
      </c>
      <c r="B446" t="s">
        <v>132</v>
      </c>
      <c r="C446">
        <f>COUNTIFS(AnalizaCzyste[Efekty działań ocenianej uczelni na rzecz jakości edukacji mają dobry wpływ na rozwój regionu.],B446,AnalizaCzyste[Czy jesteś przedstawicielem władz uczelni z grupy rektorów, prorektorów, dziekanów, prodziekanów, członków senatu lub członków rady uczelni?],"*"&amp;"Tak"&amp;"*")</f>
        <v>1</v>
      </c>
      <c r="D446">
        <f t="shared" si="99"/>
        <v>1</v>
      </c>
    </row>
    <row r="447" spans="1:7" x14ac:dyDescent="0.45">
      <c r="B447" s="20" t="s">
        <v>2356</v>
      </c>
      <c r="C447" s="29">
        <f>SUM(C439:C446)</f>
        <v>5</v>
      </c>
      <c r="D447" s="46">
        <f>SUM(D439:D445)/C448</f>
        <v>5.75</v>
      </c>
      <c r="E447" s="20" t="s">
        <v>2358</v>
      </c>
      <c r="F447" s="46">
        <f>SUM(F439:F446)/(C448-1)</f>
        <v>1.5833333333333333</v>
      </c>
      <c r="G447" s="20" t="s">
        <v>2354</v>
      </c>
    </row>
    <row r="448" spans="1:7" x14ac:dyDescent="0.45">
      <c r="B448" s="20" t="s">
        <v>2357</v>
      </c>
      <c r="C448">
        <f>C447-C446</f>
        <v>4</v>
      </c>
      <c r="D448" s="33">
        <f>D447/7</f>
        <v>0.8214285714285714</v>
      </c>
      <c r="F448" s="46">
        <f>F447^(1/2)</f>
        <v>1.2583057392117916</v>
      </c>
      <c r="G448" t="s">
        <v>2369</v>
      </c>
    </row>
    <row r="449" spans="1:7" x14ac:dyDescent="0.45">
      <c r="B449" s="20"/>
      <c r="D449" s="33"/>
      <c r="F449" s="46"/>
    </row>
    <row r="450" spans="1:7" x14ac:dyDescent="0.45">
      <c r="A450" s="29" t="s">
        <v>2394</v>
      </c>
      <c r="C450" t="s">
        <v>2353</v>
      </c>
      <c r="E450" s="20" t="s">
        <v>2367</v>
      </c>
      <c r="F450" s="20" t="s">
        <v>2368</v>
      </c>
    </row>
    <row r="451" spans="1:7" x14ac:dyDescent="0.45">
      <c r="A451">
        <v>7</v>
      </c>
      <c r="B451" t="s">
        <v>169</v>
      </c>
      <c r="C451">
        <f>COUNTIFS(AnalizaCzyste[Efekty działań ocenianej uczelni na rzecz jakości edukacji mają dobry wpływ na rozwój Polski.],B451,AnalizaCzyste[Czy jesteś przedstawicielem władz uczelni z grupy rektorów, prorektorów, dziekanów, prodziekanów, członków senatu lub członków rady uczelni?],"*"&amp;"Tak"&amp;"*")</f>
        <v>1</v>
      </c>
      <c r="D451">
        <f>PRODUCT(A451,C451)</f>
        <v>7</v>
      </c>
      <c r="E451" s="46">
        <f>(A451-$D$459)^2</f>
        <v>1.5625</v>
      </c>
      <c r="F451">
        <f>PRODUCT(C451,E451)</f>
        <v>1.5625</v>
      </c>
    </row>
    <row r="452" spans="1:7" x14ac:dyDescent="0.45">
      <c r="A452">
        <v>6</v>
      </c>
      <c r="B452" t="s">
        <v>150</v>
      </c>
      <c r="C452">
        <f>COUNTIFS(AnalizaCzyste[Efekty działań ocenianej uczelni na rzecz jakości edukacji mają dobry wpływ na rozwój Polski.],B452,AnalizaCzyste[Czy jesteś przedstawicielem władz uczelni z grupy rektorów, prorektorów, dziekanów, prodziekanów, członków senatu lub członków rady uczelni?],"*"&amp;"Tak"&amp;"*")</f>
        <v>1</v>
      </c>
      <c r="D452">
        <f t="shared" ref="D452:D458" si="102">PRODUCT(A452,C452)</f>
        <v>6</v>
      </c>
      <c r="E452" s="46">
        <f t="shared" ref="E452:E457" si="103">(A452-$D$459)^2</f>
        <v>6.25E-2</v>
      </c>
      <c r="F452">
        <f t="shared" ref="F452:F457" si="104">PRODUCT(C452,E452)</f>
        <v>6.25E-2</v>
      </c>
    </row>
    <row r="453" spans="1:7" x14ac:dyDescent="0.45">
      <c r="A453">
        <v>5</v>
      </c>
      <c r="B453" t="s">
        <v>162</v>
      </c>
      <c r="C453">
        <f>COUNTIFS(AnalizaCzyste[Efekty działań ocenianej uczelni na rzecz jakości edukacji mają dobry wpływ na rozwój Polski.],B453,AnalizaCzyste[Czy jesteś przedstawicielem władz uczelni z grupy rektorów, prorektorów, dziekanów, prodziekanów, członków senatu lub członków rady uczelni?],"*"&amp;"Tak"&amp;"*")</f>
        <v>2</v>
      </c>
      <c r="D453">
        <f t="shared" si="102"/>
        <v>10</v>
      </c>
      <c r="E453" s="46">
        <f t="shared" si="103"/>
        <v>0.5625</v>
      </c>
      <c r="F453">
        <f t="shared" si="104"/>
        <v>1.125</v>
      </c>
    </row>
    <row r="454" spans="1:7" x14ac:dyDescent="0.45">
      <c r="A454">
        <v>4</v>
      </c>
      <c r="B454" t="s">
        <v>151</v>
      </c>
      <c r="C454">
        <f>COUNTIFS(AnalizaCzyste[Efekty działań ocenianej uczelni na rzecz jakości edukacji mają dobry wpływ na rozwój Polski.],B454,AnalizaCzyste[Czy jesteś przedstawicielem władz uczelni z grupy rektorów, prorektorów, dziekanów, prodziekanów, członków senatu lub członków rady uczelni?],"*"&amp;"Tak"&amp;"*")</f>
        <v>0</v>
      </c>
      <c r="D454">
        <f t="shared" si="102"/>
        <v>0</v>
      </c>
      <c r="E454" s="46">
        <f t="shared" si="103"/>
        <v>3.0625</v>
      </c>
      <c r="F454">
        <f t="shared" si="104"/>
        <v>0</v>
      </c>
    </row>
    <row r="455" spans="1:7" x14ac:dyDescent="0.45">
      <c r="A455">
        <v>3</v>
      </c>
      <c r="B455" t="s">
        <v>128</v>
      </c>
      <c r="C455">
        <f>COUNTIFS(AnalizaCzyste[Efekty działań ocenianej uczelni na rzecz jakości edukacji mają dobry wpływ na rozwój Polski.],B455,AnalizaCzyste[Czy jesteś przedstawicielem władz uczelni z grupy rektorów, prorektorów, dziekanów, prodziekanów, członków senatu lub członków rady uczelni?],"*"&amp;"Tak"&amp;"*")</f>
        <v>0</v>
      </c>
      <c r="D455">
        <f t="shared" si="102"/>
        <v>0</v>
      </c>
      <c r="E455" s="46">
        <f t="shared" si="103"/>
        <v>7.5625</v>
      </c>
      <c r="F455">
        <f t="shared" si="104"/>
        <v>0</v>
      </c>
    </row>
    <row r="456" spans="1:7" x14ac:dyDescent="0.45">
      <c r="A456">
        <v>2</v>
      </c>
      <c r="B456" t="s">
        <v>236</v>
      </c>
      <c r="C456">
        <f>COUNTIFS(AnalizaCzyste[Efekty działań ocenianej uczelni na rzecz jakości edukacji mają dobry wpływ na rozwój Polski.],B456,AnalizaCzyste[Czy jesteś przedstawicielem władz uczelni z grupy rektorów, prorektorów, dziekanów, prodziekanów, członków senatu lub członków rady uczelni?],"*"&amp;"Tak"&amp;"*")</f>
        <v>0</v>
      </c>
      <c r="D456">
        <f t="shared" si="102"/>
        <v>0</v>
      </c>
      <c r="E456" s="46">
        <f t="shared" si="103"/>
        <v>14.0625</v>
      </c>
      <c r="F456">
        <f t="shared" si="104"/>
        <v>0</v>
      </c>
    </row>
    <row r="457" spans="1:7" x14ac:dyDescent="0.45">
      <c r="A457">
        <v>1</v>
      </c>
      <c r="B457" t="s">
        <v>129</v>
      </c>
      <c r="C457">
        <f>COUNTIFS(AnalizaCzyste[Efekty działań ocenianej uczelni na rzecz jakości edukacji mają dobry wpływ na rozwój Polski.],B457,AnalizaCzyste[Czy jesteś przedstawicielem władz uczelni z grupy rektorów, prorektorów, dziekanów, prodziekanów, członków senatu lub członków rady uczelni?],"*"&amp;"Tak"&amp;"*")</f>
        <v>0</v>
      </c>
      <c r="D457">
        <f t="shared" si="102"/>
        <v>0</v>
      </c>
      <c r="E457" s="46">
        <f t="shared" si="103"/>
        <v>22.5625</v>
      </c>
      <c r="F457">
        <f t="shared" si="104"/>
        <v>0</v>
      </c>
    </row>
    <row r="458" spans="1:7" x14ac:dyDescent="0.45">
      <c r="A458" t="s">
        <v>2333</v>
      </c>
      <c r="B458" t="s">
        <v>132</v>
      </c>
      <c r="C458">
        <f>COUNTIFS(AnalizaCzyste[Efekty działań ocenianej uczelni na rzecz jakości edukacji mają dobry wpływ na rozwój Polski.],B458,AnalizaCzyste[Czy jesteś przedstawicielem władz uczelni z grupy rektorów, prorektorów, dziekanów, prodziekanów, członków senatu lub członków rady uczelni?],"*"&amp;"Tak"&amp;"*")</f>
        <v>1</v>
      </c>
      <c r="D458">
        <f t="shared" si="102"/>
        <v>1</v>
      </c>
    </row>
    <row r="459" spans="1:7" x14ac:dyDescent="0.45">
      <c r="B459" s="20" t="s">
        <v>2356</v>
      </c>
      <c r="C459" s="29">
        <f>SUM(C451:C458)</f>
        <v>5</v>
      </c>
      <c r="D459" s="46">
        <f>SUM(D451:D457)/C460</f>
        <v>5.75</v>
      </c>
      <c r="E459" s="20" t="s">
        <v>2358</v>
      </c>
      <c r="F459" s="46">
        <f>SUM(F451:F458)/(C460-1)</f>
        <v>0.91666666666666663</v>
      </c>
      <c r="G459" s="20" t="s">
        <v>2354</v>
      </c>
    </row>
    <row r="460" spans="1:7" x14ac:dyDescent="0.45">
      <c r="B460" s="20" t="s">
        <v>2357</v>
      </c>
      <c r="C460">
        <f>C459-C458</f>
        <v>4</v>
      </c>
      <c r="D460" s="33">
        <f>D459/7</f>
        <v>0.8214285714285714</v>
      </c>
      <c r="F460" s="46">
        <f>F459^(1/2)</f>
        <v>0.9574271077563381</v>
      </c>
      <c r="G460" t="s">
        <v>2369</v>
      </c>
    </row>
    <row r="461" spans="1:7" x14ac:dyDescent="0.45">
      <c r="B461" s="20"/>
      <c r="D461" s="33"/>
      <c r="F461" s="46"/>
    </row>
    <row r="462" spans="1:7" x14ac:dyDescent="0.45">
      <c r="A462" s="29" t="s">
        <v>2395</v>
      </c>
      <c r="C462" t="s">
        <v>2353</v>
      </c>
      <c r="E462" s="20" t="s">
        <v>2367</v>
      </c>
      <c r="F462" s="20" t="s">
        <v>2368</v>
      </c>
    </row>
    <row r="463" spans="1:7" x14ac:dyDescent="0.45">
      <c r="A463">
        <v>7</v>
      </c>
      <c r="B463" t="s">
        <v>169</v>
      </c>
      <c r="C463">
        <f>COUNTIFS(AnalizaCzyste[Współpraca ocenianej uczelni z biznesem ma pozytywne efekty dla rozwoju regionu / kraju.],B463,AnalizaCzyste[Czy jesteś przedstawicielem władz uczelni z grupy rektorów, prorektorów, dziekanów, prodziekanów, członków senatu lub członków rady uczelni?],"*"&amp;"Tak"&amp;"*")</f>
        <v>2</v>
      </c>
      <c r="D463">
        <f>PRODUCT(A463,C463)</f>
        <v>14</v>
      </c>
      <c r="E463" s="46">
        <f>(A463-$D$471)^2</f>
        <v>1</v>
      </c>
      <c r="F463">
        <f>PRODUCT(C463,E463)</f>
        <v>2</v>
      </c>
    </row>
    <row r="464" spans="1:7" x14ac:dyDescent="0.45">
      <c r="A464">
        <v>6</v>
      </c>
      <c r="B464" t="s">
        <v>150</v>
      </c>
      <c r="C464">
        <f>COUNTIFS(AnalizaCzyste[Współpraca ocenianej uczelni z biznesem ma pozytywne efekty dla rozwoju regionu / kraju.],B464,AnalizaCzyste[Czy jesteś przedstawicielem władz uczelni z grupy rektorów, prorektorów, dziekanów, prodziekanów, członków senatu lub członków rady uczelni?],"*"&amp;"Tak"&amp;"*")</f>
        <v>0</v>
      </c>
      <c r="D464">
        <f t="shared" ref="D464:D470" si="105">PRODUCT(A464,C464)</f>
        <v>0</v>
      </c>
      <c r="E464" s="46">
        <f t="shared" ref="E464:E469" si="106">(A464-$D$471)^2</f>
        <v>0</v>
      </c>
      <c r="F464">
        <f t="shared" ref="F464:F469" si="107">PRODUCT(C464,E464)</f>
        <v>0</v>
      </c>
    </row>
    <row r="465" spans="1:7" x14ac:dyDescent="0.45">
      <c r="A465">
        <v>5</v>
      </c>
      <c r="B465" t="s">
        <v>162</v>
      </c>
      <c r="C465">
        <f>COUNTIFS(AnalizaCzyste[Współpraca ocenianej uczelni z biznesem ma pozytywne efekty dla rozwoju regionu / kraju.],B465,AnalizaCzyste[Czy jesteś przedstawicielem władz uczelni z grupy rektorów, prorektorów, dziekanów, prodziekanów, członków senatu lub członków rady uczelni?],"*"&amp;"Tak"&amp;"*")</f>
        <v>2</v>
      </c>
      <c r="D465">
        <f t="shared" si="105"/>
        <v>10</v>
      </c>
      <c r="E465" s="46">
        <f t="shared" si="106"/>
        <v>1</v>
      </c>
      <c r="F465">
        <f t="shared" si="107"/>
        <v>2</v>
      </c>
    </row>
    <row r="466" spans="1:7" x14ac:dyDescent="0.45">
      <c r="A466">
        <v>4</v>
      </c>
      <c r="B466" t="s">
        <v>151</v>
      </c>
      <c r="C466">
        <f>COUNTIFS(AnalizaCzyste[Współpraca ocenianej uczelni z biznesem ma pozytywne efekty dla rozwoju regionu / kraju.],B466,AnalizaCzyste[Czy jesteś przedstawicielem władz uczelni z grupy rektorów, prorektorów, dziekanów, prodziekanów, członków senatu lub członków rady uczelni?],"*"&amp;"Tak"&amp;"*")</f>
        <v>0</v>
      </c>
      <c r="D466">
        <f t="shared" si="105"/>
        <v>0</v>
      </c>
      <c r="E466" s="46">
        <f t="shared" si="106"/>
        <v>4</v>
      </c>
      <c r="F466">
        <f t="shared" si="107"/>
        <v>0</v>
      </c>
    </row>
    <row r="467" spans="1:7" x14ac:dyDescent="0.45">
      <c r="A467">
        <v>3</v>
      </c>
      <c r="B467" t="s">
        <v>128</v>
      </c>
      <c r="C467">
        <f>COUNTIFS(AnalizaCzyste[Współpraca ocenianej uczelni z biznesem ma pozytywne efekty dla rozwoju regionu / kraju.],B467,AnalizaCzyste[Czy jesteś przedstawicielem władz uczelni z grupy rektorów, prorektorów, dziekanów, prodziekanów, członków senatu lub członków rady uczelni?],"*"&amp;"Tak"&amp;"*")</f>
        <v>0</v>
      </c>
      <c r="D467">
        <f t="shared" si="105"/>
        <v>0</v>
      </c>
      <c r="E467" s="46">
        <f t="shared" si="106"/>
        <v>9</v>
      </c>
      <c r="F467">
        <f t="shared" si="107"/>
        <v>0</v>
      </c>
    </row>
    <row r="468" spans="1:7" x14ac:dyDescent="0.45">
      <c r="A468">
        <v>2</v>
      </c>
      <c r="B468" t="s">
        <v>236</v>
      </c>
      <c r="C468">
        <f>COUNTIFS(AnalizaCzyste[Współpraca ocenianej uczelni z biznesem ma pozytywne efekty dla rozwoju regionu / kraju.],B468,AnalizaCzyste[Czy jesteś przedstawicielem władz uczelni z grupy rektorów, prorektorów, dziekanów, prodziekanów, członków senatu lub członków rady uczelni?],"*"&amp;"Tak"&amp;"*")</f>
        <v>0</v>
      </c>
      <c r="D468">
        <f t="shared" si="105"/>
        <v>0</v>
      </c>
      <c r="E468" s="46">
        <f t="shared" si="106"/>
        <v>16</v>
      </c>
      <c r="F468">
        <f t="shared" si="107"/>
        <v>0</v>
      </c>
    </row>
    <row r="469" spans="1:7" x14ac:dyDescent="0.45">
      <c r="A469">
        <v>1</v>
      </c>
      <c r="B469" t="s">
        <v>129</v>
      </c>
      <c r="C469">
        <f>COUNTIFS(AnalizaCzyste[Współpraca ocenianej uczelni z biznesem ma pozytywne efekty dla rozwoju regionu / kraju.],B469,AnalizaCzyste[Czy jesteś przedstawicielem władz uczelni z grupy rektorów, prorektorów, dziekanów, prodziekanów, członków senatu lub członków rady uczelni?],"*"&amp;"Tak"&amp;"*")</f>
        <v>0</v>
      </c>
      <c r="D469">
        <f t="shared" si="105"/>
        <v>0</v>
      </c>
      <c r="E469" s="46">
        <f t="shared" si="106"/>
        <v>25</v>
      </c>
      <c r="F469">
        <f t="shared" si="107"/>
        <v>0</v>
      </c>
    </row>
    <row r="470" spans="1:7" x14ac:dyDescent="0.45">
      <c r="A470" t="s">
        <v>2333</v>
      </c>
      <c r="B470" t="s">
        <v>132</v>
      </c>
      <c r="C470">
        <f>COUNTIFS(AnalizaCzyste[Współpraca ocenianej uczelni z biznesem ma pozytywne efekty dla rozwoju regionu / kraju.],B470,AnalizaCzyste[Czy jesteś przedstawicielem władz uczelni z grupy rektorów, prorektorów, dziekanów, prodziekanów, członków senatu lub członków rady uczelni?],"*"&amp;"Tak"&amp;"*")</f>
        <v>1</v>
      </c>
      <c r="D470">
        <f t="shared" si="105"/>
        <v>1</v>
      </c>
    </row>
    <row r="471" spans="1:7" x14ac:dyDescent="0.45">
      <c r="B471" s="20" t="s">
        <v>2356</v>
      </c>
      <c r="C471" s="29">
        <f>SUM(C463:C470)</f>
        <v>5</v>
      </c>
      <c r="D471" s="46">
        <f>SUM(D463:D469)/C472</f>
        <v>6</v>
      </c>
      <c r="E471" s="20" t="s">
        <v>2358</v>
      </c>
      <c r="F471" s="46">
        <f>SUM(F463:F470)/(C472-1)</f>
        <v>1.3333333333333333</v>
      </c>
      <c r="G471" s="20" t="s">
        <v>2354</v>
      </c>
    </row>
    <row r="472" spans="1:7" x14ac:dyDescent="0.45">
      <c r="B472" s="20" t="s">
        <v>2357</v>
      </c>
      <c r="C472">
        <f>C471-C470</f>
        <v>4</v>
      </c>
      <c r="D472" s="33">
        <f>D471/7</f>
        <v>0.8571428571428571</v>
      </c>
      <c r="F472" s="46">
        <f>F471^(1/2)</f>
        <v>1.1547005383792515</v>
      </c>
      <c r="G472" t="s">
        <v>2369</v>
      </c>
    </row>
    <row r="473" spans="1:7" x14ac:dyDescent="0.45">
      <c r="B473" s="20"/>
      <c r="D473" s="33"/>
      <c r="F473" s="46"/>
    </row>
    <row r="474" spans="1:7" x14ac:dyDescent="0.45">
      <c r="A474" s="29" t="s">
        <v>2363</v>
      </c>
      <c r="C474" t="s">
        <v>2353</v>
      </c>
      <c r="E474" s="20" t="s">
        <v>2367</v>
      </c>
      <c r="F474" s="20" t="s">
        <v>2368</v>
      </c>
    </row>
    <row r="475" spans="1:7" x14ac:dyDescent="0.45">
      <c r="A475">
        <v>7</v>
      </c>
      <c r="B475" t="s">
        <v>169</v>
      </c>
      <c r="C475">
        <f>COUNTIFS(AnalizaCzyste[Moja satysfakcja z (efektów) usług edukacyjnych na ocenianej uczelni jest wysoka.],B475,AnalizaCzyste[Czy jesteś przedstawicielem firmy, w której są zatrudniani absolwenci uczelni wyższych (tytuł licencjata, magistra lub wyższy)?],"*"&amp;"Tak"&amp;"*")</f>
        <v>5</v>
      </c>
      <c r="D475">
        <f>PRODUCT(A475,C475)</f>
        <v>35</v>
      </c>
      <c r="E475" s="46">
        <f>(A475-$D$483)^2</f>
        <v>3.5432525951557108</v>
      </c>
      <c r="F475">
        <f>PRODUCT(C475,E475)</f>
        <v>17.716262975778555</v>
      </c>
    </row>
    <row r="476" spans="1:7" x14ac:dyDescent="0.45">
      <c r="A476">
        <v>6</v>
      </c>
      <c r="B476" t="s">
        <v>150</v>
      </c>
      <c r="C476">
        <f>COUNTIFS(AnalizaCzyste[Moja satysfakcja z (efektów) usług edukacyjnych na ocenianej uczelni jest wysoka.],B476,AnalizaCzyste[Czy jesteś przedstawicielem firmy, w której są zatrudniani absolwenci uczelni wyższych (tytuł licencjata, magistra lub wyższy)?],"*"&amp;"Tak"&amp;"*")</f>
        <v>3</v>
      </c>
      <c r="D476">
        <f t="shared" ref="D476:D482" si="108">PRODUCT(A476,C476)</f>
        <v>18</v>
      </c>
      <c r="E476" s="46">
        <f t="shared" ref="E476:E481" si="109">(A476-$D$483)^2</f>
        <v>0.77854671280276888</v>
      </c>
      <c r="F476">
        <f t="shared" ref="F476:F481" si="110">PRODUCT(C476,E476)</f>
        <v>2.3356401384083068</v>
      </c>
    </row>
    <row r="477" spans="1:7" x14ac:dyDescent="0.45">
      <c r="A477">
        <v>5</v>
      </c>
      <c r="B477" t="s">
        <v>162</v>
      </c>
      <c r="C477">
        <f>COUNTIFS(AnalizaCzyste[Moja satysfakcja z (efektów) usług edukacyjnych na ocenianej uczelni jest wysoka.],B477,AnalizaCzyste[Czy jesteś przedstawicielem firmy, w której są zatrudniani absolwenci uczelni wyższych (tytuł licencjata, magistra lub wyższy)?],"*"&amp;"Tak"&amp;"*")</f>
        <v>4</v>
      </c>
      <c r="D477">
        <f t="shared" si="108"/>
        <v>20</v>
      </c>
      <c r="E477" s="46">
        <f t="shared" si="109"/>
        <v>1.3840830449826891E-2</v>
      </c>
      <c r="F477">
        <f t="shared" si="110"/>
        <v>5.5363321799307565E-2</v>
      </c>
    </row>
    <row r="478" spans="1:7" x14ac:dyDescent="0.45">
      <c r="A478">
        <v>4</v>
      </c>
      <c r="B478" t="s">
        <v>151</v>
      </c>
      <c r="C478">
        <f>COUNTIFS(AnalizaCzyste[Moja satysfakcja z (efektów) usług edukacyjnych na ocenianej uczelni jest wysoka.],B478,AnalizaCzyste[Czy jesteś przedstawicielem firmy, w której są zatrudniani absolwenci uczelni wyższych (tytuł licencjata, magistra lub wyższy)?],"*"&amp;"Tak"&amp;"*")</f>
        <v>2</v>
      </c>
      <c r="D478">
        <f t="shared" si="108"/>
        <v>8</v>
      </c>
      <c r="E478" s="46">
        <f t="shared" si="109"/>
        <v>1.249134948096885</v>
      </c>
      <c r="F478">
        <f t="shared" si="110"/>
        <v>2.4982698961937699</v>
      </c>
    </row>
    <row r="479" spans="1:7" x14ac:dyDescent="0.45">
      <c r="A479">
        <v>3</v>
      </c>
      <c r="B479" t="s">
        <v>128</v>
      </c>
      <c r="C479">
        <f>COUNTIFS(AnalizaCzyste[Moja satysfakcja z (efektów) usług edukacyjnych na ocenianej uczelni jest wysoka.],B479,AnalizaCzyste[Czy jesteś przedstawicielem firmy, w której są zatrudniani absolwenci uczelni wyższych (tytuł licencjata, magistra lub wyższy)?],"*"&amp;"Tak"&amp;"*")</f>
        <v>0</v>
      </c>
      <c r="D479">
        <f t="shared" si="108"/>
        <v>0</v>
      </c>
      <c r="E479" s="46">
        <f t="shared" si="109"/>
        <v>4.4844290657439432</v>
      </c>
      <c r="F479">
        <f t="shared" si="110"/>
        <v>0</v>
      </c>
    </row>
    <row r="480" spans="1:7" x14ac:dyDescent="0.45">
      <c r="A480">
        <v>2</v>
      </c>
      <c r="B480" t="s">
        <v>236</v>
      </c>
      <c r="C480">
        <f>COUNTIFS(AnalizaCzyste[Moja satysfakcja z (efektów) usług edukacyjnych na ocenianej uczelni jest wysoka.],B480,AnalizaCzyste[Czy jesteś przedstawicielem firmy, w której są zatrudniani absolwenci uczelni wyższych (tytuł licencjata, magistra lub wyższy)?],"*"&amp;"Tak"&amp;"*")</f>
        <v>3</v>
      </c>
      <c r="D480">
        <f t="shared" si="108"/>
        <v>6</v>
      </c>
      <c r="E480" s="46">
        <f t="shared" si="109"/>
        <v>9.7197231833910003</v>
      </c>
      <c r="F480">
        <f t="shared" si="110"/>
        <v>29.159169550173001</v>
      </c>
    </row>
    <row r="481" spans="1:13" x14ac:dyDescent="0.45">
      <c r="A481">
        <v>1</v>
      </c>
      <c r="B481" t="s">
        <v>129</v>
      </c>
      <c r="C481">
        <f>COUNTIFS(AnalizaCzyste[Moja satysfakcja z (efektów) usług edukacyjnych na ocenianej uczelni jest wysoka.],B481,AnalizaCzyste[Czy jesteś przedstawicielem firmy, w której są zatrudniani absolwenci uczelni wyższych (tytuł licencjata, magistra lub wyższy)?],"*"&amp;"Tak"&amp;"*")</f>
        <v>0</v>
      </c>
      <c r="D481">
        <f t="shared" si="108"/>
        <v>0</v>
      </c>
      <c r="E481" s="46">
        <f t="shared" si="109"/>
        <v>16.955017301038058</v>
      </c>
      <c r="F481">
        <f t="shared" si="110"/>
        <v>0</v>
      </c>
    </row>
    <row r="482" spans="1:13" x14ac:dyDescent="0.45">
      <c r="A482" t="s">
        <v>2333</v>
      </c>
      <c r="B482" t="s">
        <v>132</v>
      </c>
      <c r="C482">
        <f>COUNTIFS(AnalizaCzyste[Moja satysfakcja z (efektów) usług edukacyjnych na ocenianej uczelni jest wysoka.],B482,AnalizaCzyste[Czy jesteś przedstawicielem firmy, w której są zatrudniani absolwenci uczelni wyższych (tytuł licencjata, magistra lub wyższy)?],"*"&amp;"Tak"&amp;"*")</f>
        <v>1</v>
      </c>
      <c r="D482">
        <f t="shared" si="108"/>
        <v>1</v>
      </c>
    </row>
    <row r="483" spans="1:13" x14ac:dyDescent="0.45">
      <c r="B483" s="20" t="s">
        <v>2356</v>
      </c>
      <c r="C483" s="29">
        <f>SUM(C475:C482)</f>
        <v>18</v>
      </c>
      <c r="D483" s="46">
        <f>SUM(D475:D481)/C484</f>
        <v>5.117647058823529</v>
      </c>
      <c r="E483" s="20" t="s">
        <v>2358</v>
      </c>
      <c r="F483" s="46">
        <f>SUM(F475:F482)/(C484-1)</f>
        <v>3.2352941176470589</v>
      </c>
      <c r="G483" s="20" t="s">
        <v>2354</v>
      </c>
    </row>
    <row r="484" spans="1:13" x14ac:dyDescent="0.45">
      <c r="B484" s="20" t="s">
        <v>2357</v>
      </c>
      <c r="C484">
        <f>C483-C482</f>
        <v>17</v>
      </c>
      <c r="D484" s="33">
        <f>D483/7</f>
        <v>0.73109243697478987</v>
      </c>
      <c r="F484" s="46">
        <f>F483^(1/2)</f>
        <v>1.7986923354612536</v>
      </c>
      <c r="G484" t="s">
        <v>2369</v>
      </c>
    </row>
    <row r="485" spans="1:13" x14ac:dyDescent="0.45">
      <c r="B485" s="20"/>
      <c r="D485" s="33"/>
      <c r="F485" s="46"/>
    </row>
    <row r="486" spans="1:13" x14ac:dyDescent="0.45">
      <c r="A486" s="29" t="s">
        <v>2363</v>
      </c>
      <c r="C486" s="20" t="s">
        <v>2396</v>
      </c>
      <c r="D486" s="20" t="s">
        <v>2397</v>
      </c>
      <c r="E486" s="20" t="s">
        <v>2398</v>
      </c>
      <c r="F486" s="20" t="s">
        <v>2380</v>
      </c>
      <c r="G486" s="20" t="s">
        <v>2399</v>
      </c>
      <c r="H486" s="20" t="s">
        <v>2400</v>
      </c>
      <c r="I486" s="20" t="s">
        <v>2401</v>
      </c>
      <c r="J486" s="20" t="s">
        <v>2379</v>
      </c>
      <c r="K486" s="20" t="s">
        <v>2367</v>
      </c>
      <c r="L486" s="20" t="s">
        <v>2368</v>
      </c>
    </row>
    <row r="487" spans="1:13" x14ac:dyDescent="0.45">
      <c r="A487">
        <v>7</v>
      </c>
      <c r="B487" t="s">
        <v>169</v>
      </c>
      <c r="C487">
        <f>COUNTIFS(AnalizaCzyste[Moja satysfakcja z (efektów) usług edukacyjnych na ocenianej uczelni jest wysoka.],B475,AnalizaCzyste[Czy jesteś przedstawicielem firmy, w której są zatrudniani absolwenci uczelni wyższych (tytuł licencjata, magistra lub wyższy)?],"*"&amp;"Tak"&amp;"*")</f>
        <v>5</v>
      </c>
      <c r="D487">
        <f>COUNTIFS(AnalizaCzyste[Moja satysfakcja z (efektów) usług edukacyjnych na ocenianej uczelni jest wysoka.14],B475,AnalizaCzyste[Czy jesteś przedstawicielem firmy, w której są zatrudniani absolwenci uczelni wyższych (tytuł licencjata, magistra lub wyższy)?],"*"&amp;"Tak"&amp;"*")</f>
        <v>0</v>
      </c>
      <c r="E487">
        <f>COUNTIFS(AnalizaCzyste[Moja satysfakcja z (efektów) usług edukacyjnych na ocenianej uczelni jest wysoka.21],B475,AnalizaCzyste[Czy jesteś przedstawicielem firmy, w której są zatrudniani absolwenci uczelni wyższych (tytuł licencjata, magistra lub wyższy)?],"*"&amp;"Tak"&amp;"*")</f>
        <v>0</v>
      </c>
      <c r="F487">
        <f>SUM(C487:E487)</f>
        <v>5</v>
      </c>
      <c r="G487">
        <f t="shared" ref="G487:I494" si="111">PRODUCT($A487,C487)</f>
        <v>35</v>
      </c>
      <c r="H487">
        <f t="shared" si="111"/>
        <v>0</v>
      </c>
      <c r="I487">
        <f t="shared" si="111"/>
        <v>0</v>
      </c>
      <c r="J487">
        <f>SUM(G487:I487)</f>
        <v>35</v>
      </c>
      <c r="K487" s="46">
        <f>(A487-$J$495)^2</f>
        <v>4.8400000000000007</v>
      </c>
      <c r="L487">
        <f>PRODUCT(F487,K487)</f>
        <v>24.200000000000003</v>
      </c>
    </row>
    <row r="488" spans="1:13" x14ac:dyDescent="0.45">
      <c r="A488">
        <v>6</v>
      </c>
      <c r="B488" t="s">
        <v>150</v>
      </c>
      <c r="C488">
        <f>COUNTIFS(AnalizaCzyste[Moja satysfakcja z (efektów) usług edukacyjnych na ocenianej uczelni jest wysoka.],B476,AnalizaCzyste[Czy jesteś przedstawicielem firmy, w której są zatrudniani absolwenci uczelni wyższych (tytuł licencjata, magistra lub wyższy)?],"*"&amp;"Tak"&amp;"*")</f>
        <v>3</v>
      </c>
      <c r="D488">
        <f>COUNTIFS(AnalizaCzyste[Moja satysfakcja z (efektów) usług edukacyjnych na ocenianej uczelni jest wysoka.14],B476,AnalizaCzyste[Czy jesteś przedstawicielem firmy, w której są zatrudniani absolwenci uczelni wyższych (tytuł licencjata, magistra lub wyższy)?],"*"&amp;"Tak"&amp;"*")</f>
        <v>0</v>
      </c>
      <c r="E488">
        <f>COUNTIFS(AnalizaCzyste[Moja satysfakcja z (efektów) usług edukacyjnych na ocenianej uczelni jest wysoka.21],B476,AnalizaCzyste[Czy jesteś przedstawicielem firmy, w której są zatrudniani absolwenci uczelni wyższych (tytuł licencjata, magistra lub wyższy)?],"*"&amp;"Tak"&amp;"*")</f>
        <v>0</v>
      </c>
      <c r="F488">
        <f t="shared" ref="F488:F496" si="112">SUM(C488:E488)</f>
        <v>3</v>
      </c>
      <c r="G488">
        <f t="shared" si="111"/>
        <v>18</v>
      </c>
      <c r="H488">
        <f t="shared" si="111"/>
        <v>0</v>
      </c>
      <c r="I488">
        <f t="shared" si="111"/>
        <v>0</v>
      </c>
      <c r="J488">
        <f t="shared" ref="J488:J494" si="113">SUM(G488:I488)</f>
        <v>18</v>
      </c>
      <c r="K488" s="46">
        <f t="shared" ref="K488:K493" si="114">(A488-$J$495)^2</f>
        <v>1.4400000000000004</v>
      </c>
      <c r="L488">
        <f t="shared" ref="L488:L493" si="115">PRODUCT(F488,K488)</f>
        <v>4.3200000000000012</v>
      </c>
    </row>
    <row r="489" spans="1:13" x14ac:dyDescent="0.45">
      <c r="A489">
        <v>5</v>
      </c>
      <c r="B489" t="s">
        <v>162</v>
      </c>
      <c r="C489">
        <f>COUNTIFS(AnalizaCzyste[Moja satysfakcja z (efektów) usług edukacyjnych na ocenianej uczelni jest wysoka.],B477,AnalizaCzyste[Czy jesteś przedstawicielem firmy, w której są zatrudniani absolwenci uczelni wyższych (tytuł licencjata, magistra lub wyższy)?],"*"&amp;"Tak"&amp;"*")</f>
        <v>4</v>
      </c>
      <c r="D489">
        <f>COUNTIFS(AnalizaCzyste[Moja satysfakcja z (efektów) usług edukacyjnych na ocenianej uczelni jest wysoka.14],B477,AnalizaCzyste[Czy jesteś przedstawicielem firmy, w której są zatrudniani absolwenci uczelni wyższych (tytuł licencjata, magistra lub wyższy)?],"*"&amp;"Tak"&amp;"*")</f>
        <v>1</v>
      </c>
      <c r="E489">
        <f>COUNTIFS(AnalizaCzyste[Moja satysfakcja z (efektów) usług edukacyjnych na ocenianej uczelni jest wysoka.21],B477,AnalizaCzyste[Czy jesteś przedstawicielem firmy, w której są zatrudniani absolwenci uczelni wyższych (tytuł licencjata, magistra lub wyższy)?],"*"&amp;"Tak"&amp;"*")</f>
        <v>0</v>
      </c>
      <c r="F489">
        <f t="shared" si="112"/>
        <v>5</v>
      </c>
      <c r="G489">
        <f t="shared" si="111"/>
        <v>20</v>
      </c>
      <c r="H489">
        <f t="shared" si="111"/>
        <v>5</v>
      </c>
      <c r="I489">
        <f t="shared" si="111"/>
        <v>0</v>
      </c>
      <c r="J489">
        <f t="shared" si="113"/>
        <v>25</v>
      </c>
      <c r="K489" s="46">
        <f t="shared" si="114"/>
        <v>4.000000000000007E-2</v>
      </c>
      <c r="L489">
        <f t="shared" si="115"/>
        <v>0.20000000000000034</v>
      </c>
    </row>
    <row r="490" spans="1:13" x14ac:dyDescent="0.45">
      <c r="A490">
        <v>4</v>
      </c>
      <c r="B490" t="s">
        <v>151</v>
      </c>
      <c r="C490">
        <f>COUNTIFS(AnalizaCzyste[Moja satysfakcja z (efektów) usług edukacyjnych na ocenianej uczelni jest wysoka.],B478,AnalizaCzyste[Czy jesteś przedstawicielem firmy, w której są zatrudniani absolwenci uczelni wyższych (tytuł licencjata, magistra lub wyższy)?],"*"&amp;"Tak"&amp;"*")</f>
        <v>2</v>
      </c>
      <c r="D490">
        <f>COUNTIFS(AnalizaCzyste[Moja satysfakcja z (efektów) usług edukacyjnych na ocenianej uczelni jest wysoka.14],B478,AnalizaCzyste[Czy jesteś przedstawicielem firmy, w której są zatrudniani absolwenci uczelni wyższych (tytuł licencjata, magistra lub wyższy)?],"*"&amp;"Tak"&amp;"*")</f>
        <v>0</v>
      </c>
      <c r="E490">
        <f>COUNTIFS(AnalizaCzyste[Moja satysfakcja z (efektów) usług edukacyjnych na ocenianej uczelni jest wysoka.21],B478,AnalizaCzyste[Czy jesteś przedstawicielem firmy, w której są zatrudniani absolwenci uczelni wyższych (tytuł licencjata, magistra lub wyższy)?],"*"&amp;"Tak"&amp;"*")</f>
        <v>0</v>
      </c>
      <c r="F490">
        <f t="shared" si="112"/>
        <v>2</v>
      </c>
      <c r="G490">
        <f t="shared" si="111"/>
        <v>8</v>
      </c>
      <c r="H490">
        <f t="shared" si="111"/>
        <v>0</v>
      </c>
      <c r="I490">
        <f t="shared" si="111"/>
        <v>0</v>
      </c>
      <c r="J490">
        <f t="shared" si="113"/>
        <v>8</v>
      </c>
      <c r="K490" s="46">
        <f t="shared" si="114"/>
        <v>0.63999999999999968</v>
      </c>
      <c r="L490">
        <f t="shared" si="115"/>
        <v>1.2799999999999994</v>
      </c>
    </row>
    <row r="491" spans="1:13" x14ac:dyDescent="0.45">
      <c r="A491">
        <v>3</v>
      </c>
      <c r="B491" t="s">
        <v>128</v>
      </c>
      <c r="C491">
        <f>COUNTIFS(AnalizaCzyste[Moja satysfakcja z (efektów) usług edukacyjnych na ocenianej uczelni jest wysoka.],B479,AnalizaCzyste[Czy jesteś przedstawicielem firmy, w której są zatrudniani absolwenci uczelni wyższych (tytuł licencjata, magistra lub wyższy)?],"*"&amp;"Tak"&amp;"*")</f>
        <v>0</v>
      </c>
      <c r="D491">
        <f>COUNTIFS(AnalizaCzyste[Moja satysfakcja z (efektów) usług edukacyjnych na ocenianej uczelni jest wysoka.14],B479,AnalizaCzyste[Czy jesteś przedstawicielem firmy, w której są zatrudniani absolwenci uczelni wyższych (tytuł licencjata, magistra lub wyższy)?],"*"&amp;"Tak"&amp;"*")</f>
        <v>1</v>
      </c>
      <c r="E491">
        <f>COUNTIFS(AnalizaCzyste[Moja satysfakcja z (efektów) usług edukacyjnych na ocenianej uczelni jest wysoka.21],B479,AnalizaCzyste[Czy jesteś przedstawicielem firmy, w której są zatrudniani absolwenci uczelni wyższych (tytuł licencjata, magistra lub wyższy)?],"*"&amp;"Tak"&amp;"*")</f>
        <v>0</v>
      </c>
      <c r="F491">
        <f t="shared" si="112"/>
        <v>1</v>
      </c>
      <c r="G491">
        <f t="shared" si="111"/>
        <v>0</v>
      </c>
      <c r="H491">
        <f t="shared" si="111"/>
        <v>3</v>
      </c>
      <c r="I491">
        <f t="shared" si="111"/>
        <v>0</v>
      </c>
      <c r="J491">
        <f t="shared" si="113"/>
        <v>3</v>
      </c>
      <c r="K491" s="46">
        <f t="shared" si="114"/>
        <v>3.2399999999999993</v>
      </c>
      <c r="L491">
        <f t="shared" si="115"/>
        <v>3.2399999999999993</v>
      </c>
    </row>
    <row r="492" spans="1:13" x14ac:dyDescent="0.45">
      <c r="A492">
        <v>2</v>
      </c>
      <c r="B492" t="s">
        <v>236</v>
      </c>
      <c r="C492">
        <f>COUNTIFS(AnalizaCzyste[Moja satysfakcja z (efektów) usług edukacyjnych na ocenianej uczelni jest wysoka.],B480,AnalizaCzyste[Czy jesteś przedstawicielem firmy, w której są zatrudniani absolwenci uczelni wyższych (tytuł licencjata, magistra lub wyższy)?],"*"&amp;"Tak"&amp;"*")</f>
        <v>3</v>
      </c>
      <c r="D492">
        <f>COUNTIFS(AnalizaCzyste[Moja satysfakcja z (efektów) usług edukacyjnych na ocenianej uczelni jest wysoka.14],B480,AnalizaCzyste[Czy jesteś przedstawicielem firmy, w której są zatrudniani absolwenci uczelni wyższych (tytuł licencjata, magistra lub wyższy)?],"*"&amp;"Tak"&amp;"*")</f>
        <v>0</v>
      </c>
      <c r="E492">
        <f>COUNTIFS(AnalizaCzyste[Moja satysfakcja z (efektów) usług edukacyjnych na ocenianej uczelni jest wysoka.21],B480,AnalizaCzyste[Czy jesteś przedstawicielem firmy, w której są zatrudniani absolwenci uczelni wyższych (tytuł licencjata, magistra lub wyższy)?],"*"&amp;"Tak"&amp;"*")</f>
        <v>0</v>
      </c>
      <c r="F492">
        <f t="shared" si="112"/>
        <v>3</v>
      </c>
      <c r="G492">
        <f t="shared" si="111"/>
        <v>6</v>
      </c>
      <c r="H492">
        <f t="shared" si="111"/>
        <v>0</v>
      </c>
      <c r="I492">
        <f t="shared" si="111"/>
        <v>0</v>
      </c>
      <c r="J492">
        <f t="shared" si="113"/>
        <v>6</v>
      </c>
      <c r="K492" s="46">
        <f t="shared" si="114"/>
        <v>7.839999999999999</v>
      </c>
      <c r="L492">
        <f t="shared" si="115"/>
        <v>23.519999999999996</v>
      </c>
    </row>
    <row r="493" spans="1:13" x14ac:dyDescent="0.45">
      <c r="A493">
        <v>1</v>
      </c>
      <c r="B493" t="s">
        <v>129</v>
      </c>
      <c r="C493">
        <f>COUNTIFS(AnalizaCzyste[Moja satysfakcja z (efektów) usług edukacyjnych na ocenianej uczelni jest wysoka.],B481,AnalizaCzyste[Czy jesteś przedstawicielem firmy, w której są zatrudniani absolwenci uczelni wyższych (tytuł licencjata, magistra lub wyższy)?],"*"&amp;"Tak"&amp;"*")</f>
        <v>0</v>
      </c>
      <c r="D493">
        <f>COUNTIFS(AnalizaCzyste[Moja satysfakcja z (efektów) usług edukacyjnych na ocenianej uczelni jest wysoka.14],B481,AnalizaCzyste[Czy jesteś przedstawicielem firmy, w której są zatrudniani absolwenci uczelni wyższych (tytuł licencjata, magistra lub wyższy)?],"*"&amp;"Tak"&amp;"*")</f>
        <v>1</v>
      </c>
      <c r="E493">
        <f>COUNTIFS(AnalizaCzyste[Moja satysfakcja z (efektów) usług edukacyjnych na ocenianej uczelni jest wysoka.21],B481,AnalizaCzyste[Czy jesteś przedstawicielem firmy, w której są zatrudniani absolwenci uczelni wyższych (tytuł licencjata, magistra lub wyższy)?],"*"&amp;"Tak"&amp;"*")</f>
        <v>0</v>
      </c>
      <c r="F493">
        <f t="shared" si="112"/>
        <v>1</v>
      </c>
      <c r="G493">
        <f t="shared" si="111"/>
        <v>0</v>
      </c>
      <c r="H493">
        <f t="shared" si="111"/>
        <v>1</v>
      </c>
      <c r="I493">
        <f t="shared" si="111"/>
        <v>0</v>
      </c>
      <c r="J493">
        <f t="shared" si="113"/>
        <v>1</v>
      </c>
      <c r="K493" s="46">
        <f t="shared" si="114"/>
        <v>14.44</v>
      </c>
      <c r="L493">
        <f t="shared" si="115"/>
        <v>14.44</v>
      </c>
    </row>
    <row r="494" spans="1:13" x14ac:dyDescent="0.45">
      <c r="A494" t="s">
        <v>2333</v>
      </c>
      <c r="B494" t="s">
        <v>132</v>
      </c>
      <c r="C494">
        <f>COUNTIFS(AnalizaCzyste[Moja satysfakcja z (efektów) usług edukacyjnych na ocenianej uczelni jest wysoka.],B482,AnalizaCzyste[Czy jesteś przedstawicielem firmy, w której są zatrudniani absolwenci uczelni wyższych (tytuł licencjata, magistra lub wyższy)?],"*"&amp;"Tak"&amp;"*")</f>
        <v>1</v>
      </c>
      <c r="D494">
        <f>COUNTIFS(AnalizaCzyste[Moja satysfakcja z (efektów) usług edukacyjnych na ocenianej uczelni jest wysoka.14],B482,AnalizaCzyste[Czy jesteś przedstawicielem firmy, w której są zatrudniani absolwenci uczelni wyższych (tytuł licencjata, magistra lub wyższy)?],"*"&amp;"Tak"&amp;"*")</f>
        <v>0</v>
      </c>
      <c r="E494">
        <f>COUNTIFS(AnalizaCzyste[Moja satysfakcja z (efektów) usług edukacyjnych na ocenianej uczelni jest wysoka.21],B482,AnalizaCzyste[Czy jesteś przedstawicielem firmy, w której są zatrudniani absolwenci uczelni wyższych (tytuł licencjata, magistra lub wyższy)?],"*"&amp;"Tak"&amp;"*")</f>
        <v>0</v>
      </c>
      <c r="F494">
        <f t="shared" si="112"/>
        <v>1</v>
      </c>
      <c r="G494">
        <f t="shared" si="111"/>
        <v>1</v>
      </c>
      <c r="H494">
        <f t="shared" si="111"/>
        <v>0</v>
      </c>
      <c r="I494">
        <f t="shared" si="111"/>
        <v>0</v>
      </c>
      <c r="J494">
        <f t="shared" si="113"/>
        <v>1</v>
      </c>
    </row>
    <row r="495" spans="1:13" x14ac:dyDescent="0.45">
      <c r="B495" s="20" t="s">
        <v>2356</v>
      </c>
      <c r="C495" s="29">
        <f>SUM(C487:C494)</f>
        <v>18</v>
      </c>
      <c r="D495" s="29">
        <f>SUM(D487:D494)</f>
        <v>3</v>
      </c>
      <c r="E495" s="29">
        <f>SUM(E487:E494)</f>
        <v>0</v>
      </c>
      <c r="F495" s="29">
        <f t="shared" si="112"/>
        <v>21</v>
      </c>
      <c r="G495" s="46">
        <f>SUM(G487:G494)/$C496</f>
        <v>5.1764705882352944</v>
      </c>
      <c r="H495" s="46">
        <f>SUM(H487:H494)/$C496</f>
        <v>0.52941176470588236</v>
      </c>
      <c r="I495" s="46">
        <f>SUM(I487:I494)/$C496</f>
        <v>0</v>
      </c>
      <c r="J495" s="46">
        <f>SUM(J487:J493)/$F496</f>
        <v>4.8</v>
      </c>
      <c r="K495" s="20" t="s">
        <v>2358</v>
      </c>
      <c r="L495" s="46">
        <f>SUM(L487:L494)/(F496-1)</f>
        <v>3.7473684210526317</v>
      </c>
      <c r="M495" s="20" t="s">
        <v>2354</v>
      </c>
    </row>
    <row r="496" spans="1:13" x14ac:dyDescent="0.45">
      <c r="B496" s="20" t="s">
        <v>2357</v>
      </c>
      <c r="C496">
        <f>C495-C494</f>
        <v>17</v>
      </c>
      <c r="D496">
        <f>D495-D494</f>
        <v>3</v>
      </c>
      <c r="E496">
        <f>E495-E494</f>
        <v>0</v>
      </c>
      <c r="F496">
        <f t="shared" si="112"/>
        <v>20</v>
      </c>
      <c r="G496" s="33">
        <f>G495/7</f>
        <v>0.73949579831932777</v>
      </c>
      <c r="H496" s="33"/>
      <c r="I496" s="33"/>
      <c r="J496" s="33"/>
      <c r="L496" s="46">
        <f>L495^(1/2)</f>
        <v>1.9358120830939742</v>
      </c>
      <c r="M496" t="s">
        <v>2369</v>
      </c>
    </row>
    <row r="497" spans="1:13" x14ac:dyDescent="0.45">
      <c r="B497" s="20"/>
      <c r="D497" s="33"/>
      <c r="F497" s="46"/>
    </row>
    <row r="498" spans="1:13" x14ac:dyDescent="0.45">
      <c r="A498" s="29" t="s">
        <v>2402</v>
      </c>
      <c r="C498" s="20" t="s">
        <v>2396</v>
      </c>
      <c r="D498" s="20" t="s">
        <v>2397</v>
      </c>
      <c r="E498" s="20" t="s">
        <v>2398</v>
      </c>
      <c r="F498" s="20" t="s">
        <v>2380</v>
      </c>
      <c r="G498" s="20" t="s">
        <v>2399</v>
      </c>
      <c r="H498" s="20" t="s">
        <v>2400</v>
      </c>
      <c r="I498" s="20" t="s">
        <v>2401</v>
      </c>
      <c r="J498" s="20" t="s">
        <v>2379</v>
      </c>
      <c r="K498" s="20" t="s">
        <v>2367</v>
      </c>
      <c r="L498" s="20" t="s">
        <v>2368</v>
      </c>
    </row>
    <row r="499" spans="1:13" x14ac:dyDescent="0.45">
      <c r="A499">
        <v>7</v>
      </c>
      <c r="B499" t="s">
        <v>169</v>
      </c>
      <c r="C499">
        <f>COUNTIFS(AnalizaCzyste[Kompetencje absolwentów ocenianej uczelni są wysokie.],B487,AnalizaCzyste[Czy jesteś przedstawicielem firmy, w której są zatrudniani absolwenci uczelni wyższych (tytuł licencjata, magistra lub wyższy)?],"*"&amp;"Tak"&amp;"*")</f>
        <v>5</v>
      </c>
      <c r="D499">
        <f>COUNTIFS(AnalizaCzyste[Kompetencje absolwentów ocenianej uczelni są wysokie.15],B487,AnalizaCzyste[Czy jesteś przedstawicielem firmy, w której są zatrudniani absolwenci uczelni wyższych (tytuł licencjata, magistra lub wyższy)?],"*"&amp;"Tak"&amp;"*")</f>
        <v>0</v>
      </c>
      <c r="E499">
        <f>COUNTIFS(AnalizaCzyste[Kompetencje absolwentów ocenianej uczelni są wysokie.22],B487,AnalizaCzyste[Czy jesteś przedstawicielem firmy, w której są zatrudniani absolwenci uczelni wyższych (tytuł licencjata, magistra lub wyższy)?],"*"&amp;"Tak"&amp;"*")</f>
        <v>0</v>
      </c>
      <c r="F499">
        <f>SUM(C499:E499)</f>
        <v>5</v>
      </c>
      <c r="G499">
        <f t="shared" ref="G499:I506" si="116">PRODUCT($A499,C499)</f>
        <v>35</v>
      </c>
      <c r="H499">
        <f t="shared" si="116"/>
        <v>0</v>
      </c>
      <c r="I499">
        <f t="shared" si="116"/>
        <v>0</v>
      </c>
      <c r="J499">
        <f>SUM(G499:I499)</f>
        <v>35</v>
      </c>
      <c r="K499" s="46">
        <f>(A499-$J$507)^2</f>
        <v>5.0625</v>
      </c>
      <c r="L499">
        <f>PRODUCT(F499,K499)</f>
        <v>25.3125</v>
      </c>
    </row>
    <row r="500" spans="1:13" x14ac:dyDescent="0.45">
      <c r="A500">
        <v>6</v>
      </c>
      <c r="B500" t="s">
        <v>150</v>
      </c>
      <c r="C500">
        <f>COUNTIFS(AnalizaCzyste[Kompetencje absolwentów ocenianej uczelni są wysokie.],B488,AnalizaCzyste[Czy jesteś przedstawicielem firmy, w której są zatrudniani absolwenci uczelni wyższych (tytuł licencjata, magistra lub wyższy)?],"*"&amp;"Tak"&amp;"*")</f>
        <v>3</v>
      </c>
      <c r="D500">
        <f>COUNTIFS(AnalizaCzyste[Kompetencje absolwentów ocenianej uczelni są wysokie.15],B488,AnalizaCzyste[Czy jesteś przedstawicielem firmy, w której są zatrudniani absolwenci uczelni wyższych (tytuł licencjata, magistra lub wyższy)?],"*"&amp;"Tak"&amp;"*")</f>
        <v>0</v>
      </c>
      <c r="E500">
        <f>COUNTIFS(AnalizaCzyste[Kompetencje absolwentów ocenianej uczelni są wysokie.22],B488,AnalizaCzyste[Czy jesteś przedstawicielem firmy, w której są zatrudniani absolwenci uczelni wyższych (tytuł licencjata, magistra lub wyższy)?],"*"&amp;"Tak"&amp;"*")</f>
        <v>0</v>
      </c>
      <c r="F500">
        <f t="shared" ref="F500:F508" si="117">SUM(C500:E500)</f>
        <v>3</v>
      </c>
      <c r="G500">
        <f t="shared" si="116"/>
        <v>18</v>
      </c>
      <c r="H500">
        <f t="shared" si="116"/>
        <v>0</v>
      </c>
      <c r="I500">
        <f t="shared" si="116"/>
        <v>0</v>
      </c>
      <c r="J500">
        <f t="shared" ref="J500:J506" si="118">SUM(G500:I500)</f>
        <v>18</v>
      </c>
      <c r="K500" s="46">
        <f t="shared" ref="K500:K505" si="119">(A500-$J$507)^2</f>
        <v>1.5625</v>
      </c>
      <c r="L500">
        <f t="shared" ref="L500:L505" si="120">PRODUCT(F500,K500)</f>
        <v>4.6875</v>
      </c>
    </row>
    <row r="501" spans="1:13" x14ac:dyDescent="0.45">
      <c r="A501">
        <v>5</v>
      </c>
      <c r="B501" t="s">
        <v>162</v>
      </c>
      <c r="C501">
        <f>COUNTIFS(AnalizaCzyste[Kompetencje absolwentów ocenianej uczelni są wysokie.],B489,AnalizaCzyste[Czy jesteś przedstawicielem firmy, w której są zatrudniani absolwenci uczelni wyższych (tytuł licencjata, magistra lub wyższy)?],"*"&amp;"Tak"&amp;"*")</f>
        <v>4</v>
      </c>
      <c r="D501">
        <f>COUNTIFS(AnalizaCzyste[Kompetencje absolwentów ocenianej uczelni są wysokie.15],B489,AnalizaCzyste[Czy jesteś przedstawicielem firmy, w której są zatrudniani absolwenci uczelni wyższych (tytuł licencjata, magistra lub wyższy)?],"*"&amp;"Tak"&amp;"*")</f>
        <v>1</v>
      </c>
      <c r="E501">
        <f>COUNTIFS(AnalizaCzyste[Kompetencje absolwentów ocenianej uczelni są wysokie.22],B489,AnalizaCzyste[Czy jesteś przedstawicielem firmy, w której są zatrudniani absolwenci uczelni wyższych (tytuł licencjata, magistra lub wyższy)?],"*"&amp;"Tak"&amp;"*")</f>
        <v>0</v>
      </c>
      <c r="F501">
        <f t="shared" si="117"/>
        <v>5</v>
      </c>
      <c r="G501">
        <f t="shared" si="116"/>
        <v>20</v>
      </c>
      <c r="H501">
        <f t="shared" si="116"/>
        <v>5</v>
      </c>
      <c r="I501">
        <f t="shared" si="116"/>
        <v>0</v>
      </c>
      <c r="J501">
        <f t="shared" si="118"/>
        <v>25</v>
      </c>
      <c r="K501" s="46">
        <f t="shared" si="119"/>
        <v>6.25E-2</v>
      </c>
      <c r="L501">
        <f t="shared" si="120"/>
        <v>0.3125</v>
      </c>
    </row>
    <row r="502" spans="1:13" x14ac:dyDescent="0.45">
      <c r="A502">
        <v>4</v>
      </c>
      <c r="B502" t="s">
        <v>151</v>
      </c>
      <c r="C502">
        <f>COUNTIFS(AnalizaCzyste[Kompetencje absolwentów ocenianej uczelni są wysokie.],B490,AnalizaCzyste[Czy jesteś przedstawicielem firmy, w której są zatrudniani absolwenci uczelni wyższych (tytuł licencjata, magistra lub wyższy)?],"*"&amp;"Tak"&amp;"*")</f>
        <v>2</v>
      </c>
      <c r="D502">
        <f>COUNTIFS(AnalizaCzyste[Kompetencje absolwentów ocenianej uczelni są wysokie.15],B490,AnalizaCzyste[Czy jesteś przedstawicielem firmy, w której są zatrudniani absolwenci uczelni wyższych (tytuł licencjata, magistra lub wyższy)?],"*"&amp;"Tak"&amp;"*")</f>
        <v>0</v>
      </c>
      <c r="E502">
        <f>COUNTIFS(AnalizaCzyste[Kompetencje absolwentów ocenianej uczelni są wysokie.22],B490,AnalizaCzyste[Czy jesteś przedstawicielem firmy, w której są zatrudniani absolwenci uczelni wyższych (tytuł licencjata, magistra lub wyższy)?],"*"&amp;"Tak"&amp;"*")</f>
        <v>0</v>
      </c>
      <c r="F502">
        <f t="shared" si="117"/>
        <v>2</v>
      </c>
      <c r="G502">
        <f t="shared" si="116"/>
        <v>8</v>
      </c>
      <c r="H502">
        <f t="shared" si="116"/>
        <v>0</v>
      </c>
      <c r="I502">
        <f t="shared" si="116"/>
        <v>0</v>
      </c>
      <c r="J502">
        <f t="shared" si="118"/>
        <v>8</v>
      </c>
      <c r="K502" s="46">
        <f t="shared" si="119"/>
        <v>0.5625</v>
      </c>
      <c r="L502">
        <f t="shared" si="120"/>
        <v>1.125</v>
      </c>
    </row>
    <row r="503" spans="1:13" x14ac:dyDescent="0.45">
      <c r="A503">
        <v>3</v>
      </c>
      <c r="B503" t="s">
        <v>128</v>
      </c>
      <c r="C503">
        <f>COUNTIFS(AnalizaCzyste[Kompetencje absolwentów ocenianej uczelni są wysokie.],B491,AnalizaCzyste[Czy jesteś przedstawicielem firmy, w której są zatrudniani absolwenci uczelni wyższych (tytuł licencjata, magistra lub wyższy)?],"*"&amp;"Tak"&amp;"*")</f>
        <v>0</v>
      </c>
      <c r="D503">
        <f>COUNTIFS(AnalizaCzyste[Kompetencje absolwentów ocenianej uczelni są wysokie.15],B491,AnalizaCzyste[Czy jesteś przedstawicielem firmy, w której są zatrudniani absolwenci uczelni wyższych (tytuł licencjata, magistra lub wyższy)?],"*"&amp;"Tak"&amp;"*")</f>
        <v>0</v>
      </c>
      <c r="E503">
        <f>COUNTIFS(AnalizaCzyste[Kompetencje absolwentów ocenianej uczelni są wysokie.22],B491,AnalizaCzyste[Czy jesteś przedstawicielem firmy, w której są zatrudniani absolwenci uczelni wyższych (tytuł licencjata, magistra lub wyższy)?],"*"&amp;"Tak"&amp;"*")</f>
        <v>0</v>
      </c>
      <c r="F503">
        <f t="shared" si="117"/>
        <v>0</v>
      </c>
      <c r="G503">
        <f t="shared" si="116"/>
        <v>0</v>
      </c>
      <c r="H503">
        <f t="shared" si="116"/>
        <v>0</v>
      </c>
      <c r="I503">
        <f t="shared" si="116"/>
        <v>0</v>
      </c>
      <c r="J503">
        <f t="shared" si="118"/>
        <v>0</v>
      </c>
      <c r="K503" s="46">
        <f t="shared" si="119"/>
        <v>3.0625</v>
      </c>
      <c r="L503">
        <f t="shared" si="120"/>
        <v>0</v>
      </c>
    </row>
    <row r="504" spans="1:13" x14ac:dyDescent="0.45">
      <c r="A504">
        <v>2</v>
      </c>
      <c r="B504" t="s">
        <v>236</v>
      </c>
      <c r="C504">
        <f>COUNTIFS(AnalizaCzyste[Kompetencje absolwentów ocenianej uczelni są wysokie.],B492,AnalizaCzyste[Czy jesteś przedstawicielem firmy, w której są zatrudniani absolwenci uczelni wyższych (tytuł licencjata, magistra lub wyższy)?],"*"&amp;"Tak"&amp;"*")</f>
        <v>3</v>
      </c>
      <c r="D504">
        <f>COUNTIFS(AnalizaCzyste[Kompetencje absolwentów ocenianej uczelni są wysokie.15],B492,AnalizaCzyste[Czy jesteś przedstawicielem firmy, w której są zatrudniani absolwenci uczelni wyższych (tytuł licencjata, magistra lub wyższy)?],"*"&amp;"Tak"&amp;"*")</f>
        <v>1</v>
      </c>
      <c r="E504">
        <f>COUNTIFS(AnalizaCzyste[Kompetencje absolwentów ocenianej uczelni są wysokie.22],B492,AnalizaCzyste[Czy jesteś przedstawicielem firmy, w której są zatrudniani absolwenci uczelni wyższych (tytuł licencjata, magistra lub wyższy)?],"*"&amp;"Tak"&amp;"*")</f>
        <v>0</v>
      </c>
      <c r="F504">
        <f t="shared" si="117"/>
        <v>4</v>
      </c>
      <c r="G504">
        <f t="shared" si="116"/>
        <v>6</v>
      </c>
      <c r="H504">
        <f t="shared" si="116"/>
        <v>2</v>
      </c>
      <c r="I504">
        <f t="shared" si="116"/>
        <v>0</v>
      </c>
      <c r="J504">
        <f t="shared" si="118"/>
        <v>8</v>
      </c>
      <c r="K504" s="46">
        <f t="shared" si="119"/>
        <v>7.5625</v>
      </c>
      <c r="L504">
        <f t="shared" si="120"/>
        <v>30.25</v>
      </c>
    </row>
    <row r="505" spans="1:13" x14ac:dyDescent="0.45">
      <c r="A505">
        <v>1</v>
      </c>
      <c r="B505" t="s">
        <v>129</v>
      </c>
      <c r="C505">
        <f>COUNTIFS(AnalizaCzyste[Kompetencje absolwentów ocenianej uczelni są wysokie.],B493,AnalizaCzyste[Czy jesteś przedstawicielem firmy, w której są zatrudniani absolwenci uczelni wyższych (tytuł licencjata, magistra lub wyższy)?],"*"&amp;"Tak"&amp;"*")</f>
        <v>0</v>
      </c>
      <c r="D505">
        <f>COUNTIFS(AnalizaCzyste[Kompetencje absolwentów ocenianej uczelni są wysokie.15],B493,AnalizaCzyste[Czy jesteś przedstawicielem firmy, w której są zatrudniani absolwenci uczelni wyższych (tytuł licencjata, magistra lub wyższy)?],"*"&amp;"Tak"&amp;"*")</f>
        <v>1</v>
      </c>
      <c r="E505">
        <f>COUNTIFS(AnalizaCzyste[Kompetencje absolwentów ocenianej uczelni są wysokie.22],B493,AnalizaCzyste[Czy jesteś przedstawicielem firmy, w której są zatrudniani absolwenci uczelni wyższych (tytuł licencjata, magistra lub wyższy)?],"*"&amp;"Tak"&amp;"*")</f>
        <v>0</v>
      </c>
      <c r="F505">
        <f t="shared" si="117"/>
        <v>1</v>
      </c>
      <c r="G505">
        <f t="shared" si="116"/>
        <v>0</v>
      </c>
      <c r="H505">
        <f t="shared" si="116"/>
        <v>1</v>
      </c>
      <c r="I505">
        <f t="shared" si="116"/>
        <v>0</v>
      </c>
      <c r="J505">
        <f t="shared" si="118"/>
        <v>1</v>
      </c>
      <c r="K505" s="46">
        <f t="shared" si="119"/>
        <v>14.0625</v>
      </c>
      <c r="L505">
        <f t="shared" si="120"/>
        <v>14.0625</v>
      </c>
    </row>
    <row r="506" spans="1:13" x14ac:dyDescent="0.45">
      <c r="A506" t="s">
        <v>2333</v>
      </c>
      <c r="B506" t="s">
        <v>132</v>
      </c>
      <c r="C506">
        <f>COUNTIFS(AnalizaCzyste[Kompetencje absolwentów ocenianej uczelni są wysokie.],B494,AnalizaCzyste[Czy jesteś przedstawicielem firmy, w której są zatrudniani absolwenci uczelni wyższych (tytuł licencjata, magistra lub wyższy)?],"*"&amp;"Tak"&amp;"*")</f>
        <v>1</v>
      </c>
      <c r="D506">
        <f>COUNTIFS(AnalizaCzyste[Kompetencje absolwentów ocenianej uczelni są wysokie.15],B494,AnalizaCzyste[Czy jesteś przedstawicielem firmy, w której są zatrudniani absolwenci uczelni wyższych (tytuł licencjata, magistra lub wyższy)?],"*"&amp;"Tak"&amp;"*")</f>
        <v>0</v>
      </c>
      <c r="E506">
        <f>COUNTIFS(AnalizaCzyste[Kompetencje absolwentów ocenianej uczelni są wysokie.22],B494,AnalizaCzyste[Czy jesteś przedstawicielem firmy, w której są zatrudniani absolwenci uczelni wyższych (tytuł licencjata, magistra lub wyższy)?],"*"&amp;"Tak"&amp;"*")</f>
        <v>0</v>
      </c>
      <c r="F506">
        <f t="shared" si="117"/>
        <v>1</v>
      </c>
      <c r="G506">
        <f t="shared" si="116"/>
        <v>1</v>
      </c>
      <c r="H506">
        <f t="shared" si="116"/>
        <v>0</v>
      </c>
      <c r="I506">
        <f t="shared" si="116"/>
        <v>0</v>
      </c>
      <c r="J506">
        <f t="shared" si="118"/>
        <v>1</v>
      </c>
    </row>
    <row r="507" spans="1:13" x14ac:dyDescent="0.45">
      <c r="B507" s="20" t="s">
        <v>2356</v>
      </c>
      <c r="C507" s="29">
        <f>SUM(C499:C506)</f>
        <v>18</v>
      </c>
      <c r="D507" s="29">
        <f>SUM(D499:D506)</f>
        <v>3</v>
      </c>
      <c r="E507" s="29">
        <f>SUM(E499:E506)</f>
        <v>0</v>
      </c>
      <c r="F507" s="29">
        <f t="shared" si="117"/>
        <v>21</v>
      </c>
      <c r="G507" s="46">
        <f>SUM(G499:G506)/$C508</f>
        <v>5.1764705882352944</v>
      </c>
      <c r="H507" s="46">
        <f>SUM(H499:H506)/$C508</f>
        <v>0.47058823529411764</v>
      </c>
      <c r="I507" s="46">
        <f>SUM(I499:I506)/$C508</f>
        <v>0</v>
      </c>
      <c r="J507" s="46">
        <f>SUM(J499:J505)/$F508</f>
        <v>4.75</v>
      </c>
      <c r="K507" s="20" t="s">
        <v>2358</v>
      </c>
      <c r="L507" s="46">
        <f>SUM(L499:L506)/(F508-1)</f>
        <v>3.986842105263158</v>
      </c>
      <c r="M507" s="20" t="s">
        <v>2354</v>
      </c>
    </row>
    <row r="508" spans="1:13" x14ac:dyDescent="0.45">
      <c r="B508" s="20" t="s">
        <v>2357</v>
      </c>
      <c r="C508">
        <f>C507-C506</f>
        <v>17</v>
      </c>
      <c r="D508">
        <f>D507-D506</f>
        <v>3</v>
      </c>
      <c r="E508">
        <f>E507-E506</f>
        <v>0</v>
      </c>
      <c r="F508">
        <f t="shared" si="117"/>
        <v>20</v>
      </c>
      <c r="G508" s="33">
        <f>G507/7</f>
        <v>0.73949579831932777</v>
      </c>
      <c r="H508" s="33"/>
      <c r="I508" s="33"/>
      <c r="J508" s="33"/>
      <c r="L508" s="46">
        <f>L507^(1/2)</f>
        <v>1.9967078166980661</v>
      </c>
      <c r="M508" t="s">
        <v>2369</v>
      </c>
    </row>
    <row r="509" spans="1:13" x14ac:dyDescent="0.45">
      <c r="B509" s="20"/>
      <c r="D509" s="33"/>
      <c r="F509" s="46"/>
    </row>
    <row r="510" spans="1:13" x14ac:dyDescent="0.45">
      <c r="A510" s="29" t="s">
        <v>2403</v>
      </c>
      <c r="C510" s="20" t="s">
        <v>2396</v>
      </c>
      <c r="D510" s="20" t="s">
        <v>2397</v>
      </c>
      <c r="E510" s="20" t="s">
        <v>2398</v>
      </c>
      <c r="F510" s="20" t="s">
        <v>2380</v>
      </c>
      <c r="G510" s="20" t="s">
        <v>2399</v>
      </c>
      <c r="H510" s="20" t="s">
        <v>2400</v>
      </c>
      <c r="I510" s="20" t="s">
        <v>2401</v>
      </c>
      <c r="J510" s="20" t="s">
        <v>2379</v>
      </c>
      <c r="K510" s="20" t="s">
        <v>2367</v>
      </c>
      <c r="L510" s="20" t="s">
        <v>2368</v>
      </c>
    </row>
    <row r="511" spans="1:13" x14ac:dyDescent="0.45">
      <c r="A511">
        <v>7</v>
      </c>
      <c r="B511" t="s">
        <v>169</v>
      </c>
      <c r="C511">
        <f>COUNTIFS(AnalizaCzyste[Zarobki absolwentów ocenianej uczelni zatrudnionych w mojej firmie są wyższe od zarobków absolwentów innych polskich uczelni.],B499,AnalizaCzyste[Czy jesteś przedstawicielem firmy, w której są zatrudniani absolwenci uczelni wyższych (tytuł licencjata, magistra lub wyższy)?],"*"&amp;"Tak"&amp;"*")</f>
        <v>2</v>
      </c>
      <c r="D511">
        <f>COUNTIFS(AnalizaCzyste[Zarobki absolwentów ocenianej uczelni zatrudnionych w mojej firmie są wyższe od zarobków absolwentów innych polskich uczelni.16],B499,AnalizaCzyste[Czy jesteś przedstawicielem firmy, w której są zatrudniani absolwenci uczelni wyższych (tytuł licencjata, magistra lub wyższy)?],"*"&amp;"Tak"&amp;"*")</f>
        <v>0</v>
      </c>
      <c r="E511">
        <f>COUNTIFS(AnalizaCzyste[Zarobki absolwentów ocenianej uczelni zatrudnionych w mojej firmie są wyższe od zarobków absolwentów innych polskich uczelni.23],B499,AnalizaCzyste[Czy jesteś przedstawicielem firmy, w której są zatrudniani absolwenci uczelni wyższych (tytuł licencjata, magistra lub wyższy)?],"*"&amp;"Tak"&amp;"*")</f>
        <v>0</v>
      </c>
      <c r="F511">
        <f>SUM(C511:E511)</f>
        <v>2</v>
      </c>
      <c r="G511">
        <f t="shared" ref="G511:I518" si="121">PRODUCT($A511,C511)</f>
        <v>14</v>
      </c>
      <c r="H511">
        <f t="shared" si="121"/>
        <v>0</v>
      </c>
      <c r="I511">
        <f t="shared" si="121"/>
        <v>0</v>
      </c>
      <c r="J511">
        <f>SUM(G511:I511)</f>
        <v>14</v>
      </c>
      <c r="K511" s="46">
        <f>(A511-$J$519)^2</f>
        <v>11.2225</v>
      </c>
      <c r="L511">
        <f>PRODUCT(F511,K511)</f>
        <v>22.445</v>
      </c>
    </row>
    <row r="512" spans="1:13" x14ac:dyDescent="0.45">
      <c r="A512">
        <v>6</v>
      </c>
      <c r="B512" t="s">
        <v>150</v>
      </c>
      <c r="C512">
        <f>COUNTIFS(AnalizaCzyste[Zarobki absolwentów ocenianej uczelni zatrudnionych w mojej firmie są wyższe od zarobków absolwentów innych polskich uczelni.],B500,AnalizaCzyste[Czy jesteś przedstawicielem firmy, w której są zatrudniani absolwenci uczelni wyższych (tytuł licencjata, magistra lub wyższy)?],"*"&amp;"Tak"&amp;"*")</f>
        <v>0</v>
      </c>
      <c r="D512">
        <f>COUNTIFS(AnalizaCzyste[Zarobki absolwentów ocenianej uczelni zatrudnionych w mojej firmie są wyższe od zarobków absolwentów innych polskich uczelni.16],B500,AnalizaCzyste[Czy jesteś przedstawicielem firmy, w której są zatrudniani absolwenci uczelni wyższych (tytuł licencjata, magistra lub wyższy)?],"*"&amp;"Tak"&amp;"*")</f>
        <v>0</v>
      </c>
      <c r="E512">
        <f>COUNTIFS(AnalizaCzyste[Zarobki absolwentów ocenianej uczelni zatrudnionych w mojej firmie są wyższe od zarobków absolwentów innych polskich uczelni.23],B500,AnalizaCzyste[Czy jesteś przedstawicielem firmy, w której są zatrudniani absolwenci uczelni wyższych (tytuł licencjata, magistra lub wyższy)?],"*"&amp;"Tak"&amp;"*")</f>
        <v>0</v>
      </c>
      <c r="F512">
        <f t="shared" ref="F512:F520" si="122">SUM(C512:E512)</f>
        <v>0</v>
      </c>
      <c r="G512">
        <f t="shared" si="121"/>
        <v>0</v>
      </c>
      <c r="H512">
        <f t="shared" si="121"/>
        <v>0</v>
      </c>
      <c r="I512">
        <f t="shared" si="121"/>
        <v>0</v>
      </c>
      <c r="J512">
        <f t="shared" ref="J512:J518" si="123">SUM(G512:I512)</f>
        <v>0</v>
      </c>
      <c r="K512" s="46">
        <f t="shared" ref="K512:K517" si="124">(A512-$J$519)^2</f>
        <v>5.5225000000000009</v>
      </c>
      <c r="L512">
        <f t="shared" ref="L512:L517" si="125">PRODUCT(F512,K512)</f>
        <v>0</v>
      </c>
    </row>
    <row r="513" spans="1:13" x14ac:dyDescent="0.45">
      <c r="A513">
        <v>5</v>
      </c>
      <c r="B513" t="s">
        <v>162</v>
      </c>
      <c r="C513">
        <f>COUNTIFS(AnalizaCzyste[Zarobki absolwentów ocenianej uczelni zatrudnionych w mojej firmie są wyższe od zarobków absolwentów innych polskich uczelni.],B501,AnalizaCzyste[Czy jesteś przedstawicielem firmy, w której są zatrudniani absolwenci uczelni wyższych (tytuł licencjata, magistra lub wyższy)?],"*"&amp;"Tak"&amp;"*")</f>
        <v>1</v>
      </c>
      <c r="D513">
        <f>COUNTIFS(AnalizaCzyste[Zarobki absolwentów ocenianej uczelni zatrudnionych w mojej firmie są wyższe od zarobków absolwentów innych polskich uczelni.16],B501,AnalizaCzyste[Czy jesteś przedstawicielem firmy, w której są zatrudniani absolwenci uczelni wyższych (tytuł licencjata, magistra lub wyższy)?],"*"&amp;"Tak"&amp;"*")</f>
        <v>0</v>
      </c>
      <c r="E513">
        <f>COUNTIFS(AnalizaCzyste[Zarobki absolwentów ocenianej uczelni zatrudnionych w mojej firmie są wyższe od zarobków absolwentów innych polskich uczelni.23],B501,AnalizaCzyste[Czy jesteś przedstawicielem firmy, w której są zatrudniani absolwenci uczelni wyższych (tytuł licencjata, magistra lub wyższy)?],"*"&amp;"Tak"&amp;"*")</f>
        <v>0</v>
      </c>
      <c r="F513">
        <f t="shared" si="122"/>
        <v>1</v>
      </c>
      <c r="G513">
        <f t="shared" si="121"/>
        <v>5</v>
      </c>
      <c r="H513">
        <f t="shared" si="121"/>
        <v>0</v>
      </c>
      <c r="I513">
        <f t="shared" si="121"/>
        <v>0</v>
      </c>
      <c r="J513">
        <f t="shared" si="123"/>
        <v>5</v>
      </c>
      <c r="K513" s="46">
        <f t="shared" si="124"/>
        <v>1.8225000000000002</v>
      </c>
      <c r="L513">
        <f t="shared" si="125"/>
        <v>1.8225000000000002</v>
      </c>
    </row>
    <row r="514" spans="1:13" x14ac:dyDescent="0.45">
      <c r="A514">
        <v>4</v>
      </c>
      <c r="B514" t="s">
        <v>151</v>
      </c>
      <c r="C514">
        <f>COUNTIFS(AnalizaCzyste[Zarobki absolwentów ocenianej uczelni zatrudnionych w mojej firmie są wyższe od zarobków absolwentów innych polskich uczelni.],B502,AnalizaCzyste[Czy jesteś przedstawicielem firmy, w której są zatrudniani absolwenci uczelni wyższych (tytuł licencjata, magistra lub wyższy)?],"*"&amp;"Tak"&amp;"*")</f>
        <v>8</v>
      </c>
      <c r="D514">
        <f>COUNTIFS(AnalizaCzyste[Zarobki absolwentów ocenianej uczelni zatrudnionych w mojej firmie są wyższe od zarobków absolwentów innych polskich uczelni.16],B502,AnalizaCzyste[Czy jesteś przedstawicielem firmy, w której są zatrudniani absolwenci uczelni wyższych (tytuł licencjata, magistra lub wyższy)?],"*"&amp;"Tak"&amp;"*")</f>
        <v>1</v>
      </c>
      <c r="E514">
        <f>COUNTIFS(AnalizaCzyste[Zarobki absolwentów ocenianej uczelni zatrudnionych w mojej firmie są wyższe od zarobków absolwentów innych polskich uczelni.23],B502,AnalizaCzyste[Czy jesteś przedstawicielem firmy, w której są zatrudniani absolwenci uczelni wyższych (tytuł licencjata, magistra lub wyższy)?],"*"&amp;"Tak"&amp;"*")</f>
        <v>0</v>
      </c>
      <c r="F514">
        <f t="shared" si="122"/>
        <v>9</v>
      </c>
      <c r="G514">
        <f t="shared" si="121"/>
        <v>32</v>
      </c>
      <c r="H514">
        <f t="shared" si="121"/>
        <v>4</v>
      </c>
      <c r="I514">
        <f t="shared" si="121"/>
        <v>0</v>
      </c>
      <c r="J514">
        <f t="shared" si="123"/>
        <v>36</v>
      </c>
      <c r="K514" s="46">
        <f t="shared" si="124"/>
        <v>0.12250000000000007</v>
      </c>
      <c r="L514">
        <f t="shared" si="125"/>
        <v>1.1025000000000007</v>
      </c>
    </row>
    <row r="515" spans="1:13" x14ac:dyDescent="0.45">
      <c r="A515">
        <v>3</v>
      </c>
      <c r="B515" t="s">
        <v>128</v>
      </c>
      <c r="C515">
        <f>COUNTIFS(AnalizaCzyste[Zarobki absolwentów ocenianej uczelni zatrudnionych w mojej firmie są wyższe od zarobków absolwentów innych polskich uczelni.],B503,AnalizaCzyste[Czy jesteś przedstawicielem firmy, w której są zatrudniani absolwenci uczelni wyższych (tytuł licencjata, magistra lub wyższy)?],"*"&amp;"Tak"&amp;"*")</f>
        <v>3</v>
      </c>
      <c r="D515">
        <f>COUNTIFS(AnalizaCzyste[Zarobki absolwentów ocenianej uczelni zatrudnionych w mojej firmie są wyższe od zarobków absolwentów innych polskich uczelni.16],B503,AnalizaCzyste[Czy jesteś przedstawicielem firmy, w której są zatrudniani absolwenci uczelni wyższych (tytuł licencjata, magistra lub wyższy)?],"*"&amp;"Tak"&amp;"*")</f>
        <v>0</v>
      </c>
      <c r="E515">
        <f>COUNTIFS(AnalizaCzyste[Zarobki absolwentów ocenianej uczelni zatrudnionych w mojej firmie są wyższe od zarobków absolwentów innych polskich uczelni.23],B503,AnalizaCzyste[Czy jesteś przedstawicielem firmy, w której są zatrudniani absolwenci uczelni wyższych (tytuł licencjata, magistra lub wyższy)?],"*"&amp;"Tak"&amp;"*")</f>
        <v>0</v>
      </c>
      <c r="F515">
        <f t="shared" si="122"/>
        <v>3</v>
      </c>
      <c r="G515">
        <f t="shared" si="121"/>
        <v>9</v>
      </c>
      <c r="H515">
        <f t="shared" si="121"/>
        <v>0</v>
      </c>
      <c r="I515">
        <f t="shared" si="121"/>
        <v>0</v>
      </c>
      <c r="J515">
        <f t="shared" si="123"/>
        <v>9</v>
      </c>
      <c r="K515" s="46">
        <f t="shared" si="124"/>
        <v>0.42249999999999988</v>
      </c>
      <c r="L515">
        <f t="shared" si="125"/>
        <v>1.2674999999999996</v>
      </c>
    </row>
    <row r="516" spans="1:13" x14ac:dyDescent="0.45">
      <c r="A516">
        <v>2</v>
      </c>
      <c r="B516" t="s">
        <v>236</v>
      </c>
      <c r="C516">
        <f>COUNTIFS(AnalizaCzyste[Zarobki absolwentów ocenianej uczelni zatrudnionych w mojej firmie są wyższe od zarobków absolwentów innych polskich uczelni.],B504,AnalizaCzyste[Czy jesteś przedstawicielem firmy, w której są zatrudniani absolwenci uczelni wyższych (tytuł licencjata, magistra lub wyższy)?],"*"&amp;"Tak"&amp;"*")</f>
        <v>3</v>
      </c>
      <c r="D516">
        <f>COUNTIFS(AnalizaCzyste[Zarobki absolwentów ocenianej uczelni zatrudnionych w mojej firmie są wyższe od zarobków absolwentów innych polskich uczelni.16],B504,AnalizaCzyste[Czy jesteś przedstawicielem firmy, w której są zatrudniani absolwenci uczelni wyższych (tytuł licencjata, magistra lub wyższy)?],"*"&amp;"Tak"&amp;"*")</f>
        <v>1</v>
      </c>
      <c r="E516">
        <f>COUNTIFS(AnalizaCzyste[Zarobki absolwentów ocenianej uczelni zatrudnionych w mojej firmie są wyższe od zarobków absolwentów innych polskich uczelni.23],B504,AnalizaCzyste[Czy jesteś przedstawicielem firmy, w której są zatrudniani absolwenci uczelni wyższych (tytuł licencjata, magistra lub wyższy)?],"*"&amp;"Tak"&amp;"*")</f>
        <v>0</v>
      </c>
      <c r="F516">
        <f t="shared" si="122"/>
        <v>4</v>
      </c>
      <c r="G516">
        <f t="shared" si="121"/>
        <v>6</v>
      </c>
      <c r="H516">
        <f t="shared" si="121"/>
        <v>2</v>
      </c>
      <c r="I516">
        <f t="shared" si="121"/>
        <v>0</v>
      </c>
      <c r="J516">
        <f t="shared" si="123"/>
        <v>8</v>
      </c>
      <c r="K516" s="46">
        <f t="shared" si="124"/>
        <v>2.7224999999999997</v>
      </c>
      <c r="L516">
        <f t="shared" si="125"/>
        <v>10.889999999999999</v>
      </c>
    </row>
    <row r="517" spans="1:13" x14ac:dyDescent="0.45">
      <c r="A517">
        <v>1</v>
      </c>
      <c r="B517" t="s">
        <v>129</v>
      </c>
      <c r="C517">
        <f>COUNTIFS(AnalizaCzyste[Zarobki absolwentów ocenianej uczelni zatrudnionych w mojej firmie są wyższe od zarobków absolwentów innych polskich uczelni.],B505,AnalizaCzyste[Czy jesteś przedstawicielem firmy, w której są zatrudniani absolwenci uczelni wyższych (tytuł licencjata, magistra lub wyższy)?],"*"&amp;"Tak"&amp;"*")</f>
        <v>0</v>
      </c>
      <c r="D517">
        <f>COUNTIFS(AnalizaCzyste[Zarobki absolwentów ocenianej uczelni zatrudnionych w mojej firmie są wyższe od zarobków absolwentów innych polskich uczelni.16],B505,AnalizaCzyste[Czy jesteś przedstawicielem firmy, w której są zatrudniani absolwenci uczelni wyższych (tytuł licencjata, magistra lub wyższy)?],"*"&amp;"Tak"&amp;"*")</f>
        <v>1</v>
      </c>
      <c r="E517">
        <f>COUNTIFS(AnalizaCzyste[Zarobki absolwentów ocenianej uczelni zatrudnionych w mojej firmie są wyższe od zarobków absolwentów innych polskich uczelni.23],B505,AnalizaCzyste[Czy jesteś przedstawicielem firmy, w której są zatrudniani absolwenci uczelni wyższych (tytuł licencjata, magistra lub wyższy)?],"*"&amp;"Tak"&amp;"*")</f>
        <v>0</v>
      </c>
      <c r="F517">
        <f t="shared" si="122"/>
        <v>1</v>
      </c>
      <c r="G517">
        <f t="shared" si="121"/>
        <v>0</v>
      </c>
      <c r="H517">
        <f t="shared" si="121"/>
        <v>1</v>
      </c>
      <c r="I517">
        <f t="shared" si="121"/>
        <v>0</v>
      </c>
      <c r="J517">
        <f t="shared" si="123"/>
        <v>1</v>
      </c>
      <c r="K517" s="46">
        <f t="shared" si="124"/>
        <v>7.0225</v>
      </c>
      <c r="L517">
        <f t="shared" si="125"/>
        <v>7.0225</v>
      </c>
    </row>
    <row r="518" spans="1:13" x14ac:dyDescent="0.45">
      <c r="A518" t="s">
        <v>2333</v>
      </c>
      <c r="B518" t="s">
        <v>132</v>
      </c>
      <c r="C518">
        <f>COUNTIFS(AnalizaCzyste[Zarobki absolwentów ocenianej uczelni zatrudnionych w mojej firmie są wyższe od zarobków absolwentów innych polskich uczelni.],B506,AnalizaCzyste[Czy jesteś przedstawicielem firmy, w której są zatrudniani absolwenci uczelni wyższych (tytuł licencjata, magistra lub wyższy)?],"*"&amp;"Tak"&amp;"*")</f>
        <v>1</v>
      </c>
      <c r="D518">
        <f>COUNTIFS(AnalizaCzyste[Zarobki absolwentów ocenianej uczelni zatrudnionych w mojej firmie są wyższe od zarobków absolwentów innych polskich uczelni.16],B506,AnalizaCzyste[Czy jesteś przedstawicielem firmy, w której są zatrudniani absolwenci uczelni wyższych (tytuł licencjata, magistra lub wyższy)?],"*"&amp;"Tak"&amp;"*")</f>
        <v>0</v>
      </c>
      <c r="E518">
        <f>COUNTIFS(AnalizaCzyste[Zarobki absolwentów ocenianej uczelni zatrudnionych w mojej firmie są wyższe od zarobków absolwentów innych polskich uczelni.23],B506,AnalizaCzyste[Czy jesteś przedstawicielem firmy, w której są zatrudniani absolwenci uczelni wyższych (tytuł licencjata, magistra lub wyższy)?],"*"&amp;"Tak"&amp;"*")</f>
        <v>0</v>
      </c>
      <c r="F518">
        <f t="shared" si="122"/>
        <v>1</v>
      </c>
      <c r="G518">
        <f t="shared" si="121"/>
        <v>1</v>
      </c>
      <c r="H518">
        <f t="shared" si="121"/>
        <v>0</v>
      </c>
      <c r="I518">
        <f t="shared" si="121"/>
        <v>0</v>
      </c>
      <c r="J518">
        <f t="shared" si="123"/>
        <v>1</v>
      </c>
    </row>
    <row r="519" spans="1:13" x14ac:dyDescent="0.45">
      <c r="B519" s="20" t="s">
        <v>2356</v>
      </c>
      <c r="C519" s="29">
        <f>SUM(C511:C518)</f>
        <v>18</v>
      </c>
      <c r="D519" s="29">
        <f>SUM(D511:D518)</f>
        <v>3</v>
      </c>
      <c r="E519" s="29">
        <f>SUM(E511:E518)</f>
        <v>0</v>
      </c>
      <c r="F519" s="29">
        <f t="shared" si="122"/>
        <v>21</v>
      </c>
      <c r="G519" s="46">
        <f>SUM(G511:G518)/$C520</f>
        <v>3.9411764705882355</v>
      </c>
      <c r="H519" s="46">
        <f>SUM(H511:H518)/$C520</f>
        <v>0.41176470588235292</v>
      </c>
      <c r="I519" s="46">
        <f>SUM(I511:I518)/$C520</f>
        <v>0</v>
      </c>
      <c r="J519" s="46">
        <f>SUM(J511:J517)/$F520</f>
        <v>3.65</v>
      </c>
      <c r="K519" s="20" t="s">
        <v>2358</v>
      </c>
      <c r="L519" s="46">
        <f>SUM(L511:L518)/(F520-1)</f>
        <v>2.344736842105263</v>
      </c>
      <c r="M519" s="20" t="s">
        <v>2354</v>
      </c>
    </row>
    <row r="520" spans="1:13" x14ac:dyDescent="0.45">
      <c r="B520" s="20" t="s">
        <v>2357</v>
      </c>
      <c r="C520">
        <f>C519-C518</f>
        <v>17</v>
      </c>
      <c r="D520">
        <f>D519-D518</f>
        <v>3</v>
      </c>
      <c r="E520">
        <f>E519-E518</f>
        <v>0</v>
      </c>
      <c r="F520">
        <f t="shared" si="122"/>
        <v>20</v>
      </c>
      <c r="G520" s="33">
        <f>G519/7</f>
        <v>0.56302521008403361</v>
      </c>
      <c r="H520" s="33"/>
      <c r="I520" s="33"/>
      <c r="J520" s="33"/>
      <c r="L520" s="46">
        <f>L519^(1/2)</f>
        <v>1.5312533566021211</v>
      </c>
      <c r="M520" t="s">
        <v>2369</v>
      </c>
    </row>
    <row r="521" spans="1:13" x14ac:dyDescent="0.45">
      <c r="B521" s="20"/>
      <c r="D521" s="33"/>
      <c r="F521" s="46"/>
    </row>
    <row r="522" spans="1:13" x14ac:dyDescent="0.45">
      <c r="A522" s="29" t="s">
        <v>2409</v>
      </c>
      <c r="C522" t="s">
        <v>2353</v>
      </c>
      <c r="E522" s="20" t="s">
        <v>2367</v>
      </c>
      <c r="F522" s="20" t="s">
        <v>2368</v>
      </c>
    </row>
    <row r="523" spans="1:13" x14ac:dyDescent="0.45">
      <c r="A523">
        <v>7</v>
      </c>
      <c r="B523" t="s">
        <v>169</v>
      </c>
      <c r="C523">
        <f>COUNTIFS(AnalizaCzyste[Ogólny poziom mojej satysfakcji z jakości usług edukacyjnych ocenianej uczelni jest wysoki.32],B523,AnalizaCzyste[Czy jesteś przedstawicielem władz samorządowych lub centralnych Rzeczypospolitej Polskiej?],"*"&amp;"Tak"&amp;"*")</f>
        <v>1</v>
      </c>
      <c r="D523">
        <f>PRODUCT(A523,C523)</f>
        <v>7</v>
      </c>
      <c r="E523" s="46">
        <f t="shared" ref="E523:E529" si="126">(A523-$D$531)^2</f>
        <v>0.25</v>
      </c>
      <c r="F523">
        <f>PRODUCT(C523,E523)</f>
        <v>0.25</v>
      </c>
    </row>
    <row r="524" spans="1:13" x14ac:dyDescent="0.45">
      <c r="A524">
        <v>6</v>
      </c>
      <c r="B524" t="s">
        <v>150</v>
      </c>
      <c r="C524">
        <f>COUNTIFS(AnalizaCzyste[Ogólny poziom mojej satysfakcji z jakości usług edukacyjnych ocenianej uczelni jest wysoki.32],B524,AnalizaCzyste[Czy jesteś przedstawicielem władz samorządowych lub centralnych Rzeczypospolitej Polskiej?],"*"&amp;"Tak"&amp;"*")</f>
        <v>1</v>
      </c>
      <c r="D524">
        <f t="shared" ref="D524:D530" si="127">PRODUCT(A524,C524)</f>
        <v>6</v>
      </c>
      <c r="E524" s="46">
        <f t="shared" si="126"/>
        <v>0.25</v>
      </c>
      <c r="F524">
        <f t="shared" ref="F524:F529" si="128">PRODUCT(C524,E524)</f>
        <v>0.25</v>
      </c>
    </row>
    <row r="525" spans="1:13" x14ac:dyDescent="0.45">
      <c r="A525">
        <v>5</v>
      </c>
      <c r="B525" t="s">
        <v>162</v>
      </c>
      <c r="C525">
        <f>COUNTIFS(AnalizaCzyste[Ogólny poziom mojej satysfakcji z jakości usług edukacyjnych ocenianej uczelni jest wysoki.32],B525,AnalizaCzyste[Czy jesteś przedstawicielem władz samorządowych lub centralnych Rzeczypospolitej Polskiej?],"*"&amp;"Tak"&amp;"*")</f>
        <v>0</v>
      </c>
      <c r="D525">
        <f t="shared" si="127"/>
        <v>0</v>
      </c>
      <c r="E525" s="46">
        <f t="shared" si="126"/>
        <v>2.25</v>
      </c>
      <c r="F525">
        <f t="shared" si="128"/>
        <v>0</v>
      </c>
    </row>
    <row r="526" spans="1:13" x14ac:dyDescent="0.45">
      <c r="A526">
        <v>4</v>
      </c>
      <c r="B526" t="s">
        <v>151</v>
      </c>
      <c r="C526">
        <f>COUNTIFS(AnalizaCzyste[Ogólny poziom mojej satysfakcji z jakości usług edukacyjnych ocenianej uczelni jest wysoki.32],B526,AnalizaCzyste[Czy jesteś przedstawicielem władz samorządowych lub centralnych Rzeczypospolitej Polskiej?],"*"&amp;"Tak"&amp;"*")</f>
        <v>0</v>
      </c>
      <c r="D526">
        <f t="shared" si="127"/>
        <v>0</v>
      </c>
      <c r="E526" s="46">
        <f t="shared" si="126"/>
        <v>6.25</v>
      </c>
      <c r="F526">
        <f t="shared" si="128"/>
        <v>0</v>
      </c>
    </row>
    <row r="527" spans="1:13" x14ac:dyDescent="0.45">
      <c r="A527">
        <v>3</v>
      </c>
      <c r="B527" t="s">
        <v>128</v>
      </c>
      <c r="C527">
        <f>COUNTIFS(AnalizaCzyste[Ogólny poziom mojej satysfakcji z jakości usług edukacyjnych ocenianej uczelni jest wysoki.32],B527,AnalizaCzyste[Czy jesteś przedstawicielem władz samorządowych lub centralnych Rzeczypospolitej Polskiej?],"*"&amp;"Tak"&amp;"*")</f>
        <v>0</v>
      </c>
      <c r="D527">
        <f t="shared" si="127"/>
        <v>0</v>
      </c>
      <c r="E527" s="46">
        <f t="shared" si="126"/>
        <v>12.25</v>
      </c>
      <c r="F527">
        <f t="shared" si="128"/>
        <v>0</v>
      </c>
    </row>
    <row r="528" spans="1:13" x14ac:dyDescent="0.45">
      <c r="A528">
        <v>2</v>
      </c>
      <c r="B528" t="s">
        <v>236</v>
      </c>
      <c r="C528">
        <f>COUNTIFS(AnalizaCzyste[Ogólny poziom mojej satysfakcji z jakości usług edukacyjnych ocenianej uczelni jest wysoki.32],B528,AnalizaCzyste[Czy jesteś przedstawicielem władz samorządowych lub centralnych Rzeczypospolitej Polskiej?],"*"&amp;"Tak"&amp;"*")</f>
        <v>0</v>
      </c>
      <c r="D528">
        <f t="shared" si="127"/>
        <v>0</v>
      </c>
      <c r="E528" s="46">
        <f t="shared" si="126"/>
        <v>20.25</v>
      </c>
      <c r="F528">
        <f t="shared" si="128"/>
        <v>0</v>
      </c>
    </row>
    <row r="529" spans="1:7" x14ac:dyDescent="0.45">
      <c r="A529">
        <v>1</v>
      </c>
      <c r="B529" t="s">
        <v>129</v>
      </c>
      <c r="C529">
        <f>COUNTIFS(AnalizaCzyste[Ogólny poziom mojej satysfakcji z jakości usług edukacyjnych ocenianej uczelni jest wysoki.32],B529,AnalizaCzyste[Czy jesteś przedstawicielem władz samorządowych lub centralnych Rzeczypospolitej Polskiej?],"*"&amp;"Tak"&amp;"*")</f>
        <v>0</v>
      </c>
      <c r="D529">
        <f t="shared" si="127"/>
        <v>0</v>
      </c>
      <c r="E529" s="46">
        <f t="shared" si="126"/>
        <v>30.25</v>
      </c>
      <c r="F529">
        <f t="shared" si="128"/>
        <v>0</v>
      </c>
    </row>
    <row r="530" spans="1:7" x14ac:dyDescent="0.45">
      <c r="A530" t="s">
        <v>2333</v>
      </c>
      <c r="B530" t="s">
        <v>132</v>
      </c>
      <c r="C530">
        <f>COUNTIFS(AnalizaCzyste[Ogólny poziom mojej satysfakcji z jakości usług edukacyjnych ocenianej uczelni jest wysoki.32],B530,AnalizaCzyste[Czy jesteś przedstawicielem władz samorządowych lub centralnych Rzeczypospolitej Polskiej?],"*"&amp;"Tak"&amp;"*")</f>
        <v>0</v>
      </c>
      <c r="D530">
        <f t="shared" si="127"/>
        <v>0</v>
      </c>
    </row>
    <row r="531" spans="1:7" x14ac:dyDescent="0.45">
      <c r="B531" s="20" t="s">
        <v>2356</v>
      </c>
      <c r="C531" s="29">
        <f>SUM(C523:C530)</f>
        <v>2</v>
      </c>
      <c r="D531" s="46">
        <f>SUM(D523:D529)/C532</f>
        <v>6.5</v>
      </c>
      <c r="E531" s="20" t="s">
        <v>2358</v>
      </c>
      <c r="F531" s="46">
        <f>SUM(F523:F530)/(C532-1)</f>
        <v>0.5</v>
      </c>
      <c r="G531" s="20" t="s">
        <v>2354</v>
      </c>
    </row>
    <row r="532" spans="1:7" x14ac:dyDescent="0.45">
      <c r="B532" s="20" t="s">
        <v>2357</v>
      </c>
      <c r="C532">
        <f>C531-C530</f>
        <v>2</v>
      </c>
      <c r="D532" s="33">
        <f>D531/7</f>
        <v>0.9285714285714286</v>
      </c>
      <c r="F532" s="46">
        <f>F531^(1/2)</f>
        <v>0.70710678118654757</v>
      </c>
      <c r="G532" t="s">
        <v>2369</v>
      </c>
    </row>
    <row r="534" spans="1:7" x14ac:dyDescent="0.45">
      <c r="A534" s="29" t="s">
        <v>2364</v>
      </c>
      <c r="C534" t="s">
        <v>2353</v>
      </c>
      <c r="E534" s="20" t="s">
        <v>2367</v>
      </c>
      <c r="F534" s="20" t="s">
        <v>2368</v>
      </c>
    </row>
    <row r="535" spans="1:7" x14ac:dyDescent="0.45">
      <c r="A535">
        <v>7</v>
      </c>
      <c r="B535" t="s">
        <v>169</v>
      </c>
      <c r="C535">
        <f>COUNTIFS(AnalizaCzyste[Efekty działań ocenianej uczelni na rzesz jakości edukacji są zgodne ze strategią rozwoju w regionie.],B535,AnalizaCzyste[Czy jesteś przedstawicielem władz samorządowych lub centralnych Rzeczypospolitej Polskiej?],"*"&amp;"Tak"&amp;"*")</f>
        <v>0</v>
      </c>
      <c r="D535">
        <f>PRODUCT(A535,C535)</f>
        <v>0</v>
      </c>
      <c r="E535" s="46">
        <f>(A535-$D$543)^2</f>
        <v>1</v>
      </c>
      <c r="F535">
        <f>PRODUCT(C535,E535)</f>
        <v>0</v>
      </c>
    </row>
    <row r="536" spans="1:7" x14ac:dyDescent="0.45">
      <c r="A536">
        <v>6</v>
      </c>
      <c r="B536" t="s">
        <v>150</v>
      </c>
      <c r="C536">
        <f>COUNTIFS(AnalizaCzyste[Efekty działań ocenianej uczelni na rzesz jakości edukacji są zgodne ze strategią rozwoju w regionie.],B536,AnalizaCzyste[Czy jesteś przedstawicielem władz samorządowych lub centralnych Rzeczypospolitej Polskiej?],"*"&amp;"Tak"&amp;"*")</f>
        <v>2</v>
      </c>
      <c r="D536">
        <f t="shared" ref="D536:D542" si="129">PRODUCT(A536,C536)</f>
        <v>12</v>
      </c>
      <c r="E536" s="46">
        <f t="shared" ref="E536:E541" si="130">(A536-$D$543)^2</f>
        <v>0</v>
      </c>
      <c r="F536">
        <f t="shared" ref="F536:F541" si="131">PRODUCT(C536,E536)</f>
        <v>0</v>
      </c>
    </row>
    <row r="537" spans="1:7" x14ac:dyDescent="0.45">
      <c r="A537">
        <v>5</v>
      </c>
      <c r="B537" t="s">
        <v>162</v>
      </c>
      <c r="C537">
        <f>COUNTIFS(AnalizaCzyste[Efekty działań ocenianej uczelni na rzesz jakości edukacji są zgodne ze strategią rozwoju w regionie.],B537,AnalizaCzyste[Czy jesteś przedstawicielem władz samorządowych lub centralnych Rzeczypospolitej Polskiej?],"*"&amp;"Tak"&amp;"*")</f>
        <v>0</v>
      </c>
      <c r="D537">
        <f t="shared" si="129"/>
        <v>0</v>
      </c>
      <c r="E537" s="46">
        <f t="shared" si="130"/>
        <v>1</v>
      </c>
      <c r="F537">
        <f t="shared" si="131"/>
        <v>0</v>
      </c>
    </row>
    <row r="538" spans="1:7" x14ac:dyDescent="0.45">
      <c r="A538">
        <v>4</v>
      </c>
      <c r="B538" t="s">
        <v>151</v>
      </c>
      <c r="C538">
        <f>COUNTIFS(AnalizaCzyste[Efekty działań ocenianej uczelni na rzesz jakości edukacji są zgodne ze strategią rozwoju w regionie.],B538,AnalizaCzyste[Czy jesteś przedstawicielem władz samorządowych lub centralnych Rzeczypospolitej Polskiej?],"*"&amp;"Tak"&amp;"*")</f>
        <v>0</v>
      </c>
      <c r="D538">
        <f t="shared" si="129"/>
        <v>0</v>
      </c>
      <c r="E538" s="46">
        <f t="shared" si="130"/>
        <v>4</v>
      </c>
      <c r="F538">
        <f t="shared" si="131"/>
        <v>0</v>
      </c>
    </row>
    <row r="539" spans="1:7" x14ac:dyDescent="0.45">
      <c r="A539">
        <v>3</v>
      </c>
      <c r="B539" t="s">
        <v>128</v>
      </c>
      <c r="C539">
        <f>COUNTIFS(AnalizaCzyste[Efekty działań ocenianej uczelni na rzesz jakości edukacji są zgodne ze strategią rozwoju w regionie.],B539,AnalizaCzyste[Czy jesteś przedstawicielem władz samorządowych lub centralnych Rzeczypospolitej Polskiej?],"*"&amp;"Tak"&amp;"*")</f>
        <v>0</v>
      </c>
      <c r="D539">
        <f t="shared" si="129"/>
        <v>0</v>
      </c>
      <c r="E539" s="46">
        <f t="shared" si="130"/>
        <v>9</v>
      </c>
      <c r="F539">
        <f t="shared" si="131"/>
        <v>0</v>
      </c>
    </row>
    <row r="540" spans="1:7" x14ac:dyDescent="0.45">
      <c r="A540">
        <v>2</v>
      </c>
      <c r="B540" t="s">
        <v>236</v>
      </c>
      <c r="C540">
        <f>COUNTIFS(AnalizaCzyste[Efekty działań ocenianej uczelni na rzesz jakości edukacji są zgodne ze strategią rozwoju w regionie.],B540,AnalizaCzyste[Czy jesteś przedstawicielem władz samorządowych lub centralnych Rzeczypospolitej Polskiej?],"*"&amp;"Tak"&amp;"*")</f>
        <v>0</v>
      </c>
      <c r="D540">
        <f t="shared" si="129"/>
        <v>0</v>
      </c>
      <c r="E540" s="46">
        <f t="shared" si="130"/>
        <v>16</v>
      </c>
      <c r="F540">
        <f t="shared" si="131"/>
        <v>0</v>
      </c>
    </row>
    <row r="541" spans="1:7" x14ac:dyDescent="0.45">
      <c r="A541">
        <v>1</v>
      </c>
      <c r="B541" t="s">
        <v>129</v>
      </c>
      <c r="C541">
        <f>COUNTIFS(AnalizaCzyste[Efekty działań ocenianej uczelni na rzesz jakości edukacji są zgodne ze strategią rozwoju w regionie.],B541,AnalizaCzyste[Czy jesteś przedstawicielem władz samorządowych lub centralnych Rzeczypospolitej Polskiej?],"*"&amp;"Tak"&amp;"*")</f>
        <v>0</v>
      </c>
      <c r="D541">
        <f t="shared" si="129"/>
        <v>0</v>
      </c>
      <c r="E541" s="46">
        <f t="shared" si="130"/>
        <v>25</v>
      </c>
      <c r="F541">
        <f t="shared" si="131"/>
        <v>0</v>
      </c>
    </row>
    <row r="542" spans="1:7" x14ac:dyDescent="0.45">
      <c r="A542" t="s">
        <v>2333</v>
      </c>
      <c r="B542" t="s">
        <v>132</v>
      </c>
      <c r="C542">
        <f>COUNTIFS(AnalizaCzyste[Efekty działań ocenianej uczelni na rzesz jakości edukacji są zgodne ze strategią rozwoju w regionie.],B542,AnalizaCzyste[Czy jesteś przedstawicielem władz samorządowych lub centralnych Rzeczypospolitej Polskiej?],"*"&amp;"Tak"&amp;"*")</f>
        <v>0</v>
      </c>
      <c r="D542">
        <f t="shared" si="129"/>
        <v>0</v>
      </c>
    </row>
    <row r="543" spans="1:7" x14ac:dyDescent="0.45">
      <c r="B543" s="20" t="s">
        <v>2356</v>
      </c>
      <c r="C543" s="29">
        <f>SUM(C535:C542)</f>
        <v>2</v>
      </c>
      <c r="D543" s="46">
        <f>SUM(D535:D541)/C544</f>
        <v>6</v>
      </c>
      <c r="E543" s="20" t="s">
        <v>2358</v>
      </c>
      <c r="F543" s="46">
        <f>SUM(F535:F542)/(C544-1)</f>
        <v>0</v>
      </c>
      <c r="G543" s="20" t="s">
        <v>2354</v>
      </c>
    </row>
    <row r="544" spans="1:7" x14ac:dyDescent="0.45">
      <c r="B544" s="20" t="s">
        <v>2357</v>
      </c>
      <c r="C544">
        <f>C543-C542</f>
        <v>2</v>
      </c>
      <c r="D544" s="33">
        <f>D543/7</f>
        <v>0.8571428571428571</v>
      </c>
      <c r="F544" s="46">
        <f>F543^(1/2)</f>
        <v>0</v>
      </c>
      <c r="G544" t="s">
        <v>2369</v>
      </c>
    </row>
    <row r="546" spans="1:7" x14ac:dyDescent="0.45">
      <c r="A546" s="29" t="s">
        <v>2404</v>
      </c>
      <c r="C546" t="s">
        <v>2353</v>
      </c>
      <c r="E546" s="20" t="s">
        <v>2367</v>
      </c>
      <c r="F546" s="20" t="s">
        <v>2368</v>
      </c>
    </row>
    <row r="547" spans="1:7" x14ac:dyDescent="0.45">
      <c r="A547">
        <v>7</v>
      </c>
      <c r="B547" t="s">
        <v>169</v>
      </c>
      <c r="C547">
        <f>COUNTIFS(AnalizaCzyste[Wartość wykształcenia zdobywanego przez studentów na ocenianej uczelni jest wysoka.27],B547,AnalizaCzyste[Czy jesteś przedstawicielem władz samorządowych lub centralnych Rzeczypospolitej Polskiej?],"*"&amp;"Tak"&amp;"*")</f>
        <v>0</v>
      </c>
      <c r="D547">
        <f>PRODUCT(A547,C547)</f>
        <v>0</v>
      </c>
      <c r="E547" s="46">
        <f>(A547-$D$555)^2</f>
        <v>1</v>
      </c>
      <c r="F547">
        <f>PRODUCT(C547,E547)</f>
        <v>0</v>
      </c>
    </row>
    <row r="548" spans="1:7" x14ac:dyDescent="0.45">
      <c r="A548">
        <v>6</v>
      </c>
      <c r="B548" t="s">
        <v>150</v>
      </c>
      <c r="C548">
        <f>COUNTIFS(AnalizaCzyste[Wartość wykształcenia zdobywanego przez studentów na ocenianej uczelni jest wysoka.27],B548,AnalizaCzyste[Czy jesteś przedstawicielem władz samorządowych lub centralnych Rzeczypospolitej Polskiej?],"*"&amp;"Tak"&amp;"*")</f>
        <v>2</v>
      </c>
      <c r="D548">
        <f t="shared" ref="D548:D554" si="132">PRODUCT(A548,C548)</f>
        <v>12</v>
      </c>
      <c r="E548" s="46">
        <f t="shared" ref="E548:E553" si="133">(A548-$D$555)^2</f>
        <v>0</v>
      </c>
      <c r="F548">
        <f t="shared" ref="F548:F553" si="134">PRODUCT(C548,E548)</f>
        <v>0</v>
      </c>
    </row>
    <row r="549" spans="1:7" x14ac:dyDescent="0.45">
      <c r="A549">
        <v>5</v>
      </c>
      <c r="B549" t="s">
        <v>162</v>
      </c>
      <c r="C549">
        <f>COUNTIFS(AnalizaCzyste[Wartość wykształcenia zdobywanego przez studentów na ocenianej uczelni jest wysoka.27],B549,AnalizaCzyste[Czy jesteś przedstawicielem władz samorządowych lub centralnych Rzeczypospolitej Polskiej?],"*"&amp;"Tak"&amp;"*")</f>
        <v>0</v>
      </c>
      <c r="D549">
        <f t="shared" si="132"/>
        <v>0</v>
      </c>
      <c r="E549" s="46">
        <f t="shared" si="133"/>
        <v>1</v>
      </c>
      <c r="F549">
        <f t="shared" si="134"/>
        <v>0</v>
      </c>
    </row>
    <row r="550" spans="1:7" x14ac:dyDescent="0.45">
      <c r="A550">
        <v>4</v>
      </c>
      <c r="B550" t="s">
        <v>151</v>
      </c>
      <c r="C550">
        <f>COUNTIFS(AnalizaCzyste[Wartość wykształcenia zdobywanego przez studentów na ocenianej uczelni jest wysoka.27],B550,AnalizaCzyste[Czy jesteś przedstawicielem władz samorządowych lub centralnych Rzeczypospolitej Polskiej?],"*"&amp;"Tak"&amp;"*")</f>
        <v>0</v>
      </c>
      <c r="D550">
        <f t="shared" si="132"/>
        <v>0</v>
      </c>
      <c r="E550" s="46">
        <f t="shared" si="133"/>
        <v>4</v>
      </c>
      <c r="F550">
        <f t="shared" si="134"/>
        <v>0</v>
      </c>
    </row>
    <row r="551" spans="1:7" x14ac:dyDescent="0.45">
      <c r="A551">
        <v>3</v>
      </c>
      <c r="B551" t="s">
        <v>128</v>
      </c>
      <c r="C551">
        <f>COUNTIFS(AnalizaCzyste[Wartość wykształcenia zdobywanego przez studentów na ocenianej uczelni jest wysoka.27],B551,AnalizaCzyste[Czy jesteś przedstawicielem władz samorządowych lub centralnych Rzeczypospolitej Polskiej?],"*"&amp;"Tak"&amp;"*")</f>
        <v>0</v>
      </c>
      <c r="D551">
        <f t="shared" si="132"/>
        <v>0</v>
      </c>
      <c r="E551" s="46">
        <f t="shared" si="133"/>
        <v>9</v>
      </c>
      <c r="F551">
        <f t="shared" si="134"/>
        <v>0</v>
      </c>
    </row>
    <row r="552" spans="1:7" x14ac:dyDescent="0.45">
      <c r="A552">
        <v>2</v>
      </c>
      <c r="B552" t="s">
        <v>236</v>
      </c>
      <c r="C552">
        <f>COUNTIFS(AnalizaCzyste[Wartość wykształcenia zdobywanego przez studentów na ocenianej uczelni jest wysoka.27],B552,AnalizaCzyste[Czy jesteś przedstawicielem władz samorządowych lub centralnych Rzeczypospolitej Polskiej?],"*"&amp;"Tak"&amp;"*")</f>
        <v>0</v>
      </c>
      <c r="D552">
        <f t="shared" si="132"/>
        <v>0</v>
      </c>
      <c r="E552" s="46">
        <f t="shared" si="133"/>
        <v>16</v>
      </c>
      <c r="F552">
        <f t="shared" si="134"/>
        <v>0</v>
      </c>
    </row>
    <row r="553" spans="1:7" x14ac:dyDescent="0.45">
      <c r="A553">
        <v>1</v>
      </c>
      <c r="B553" t="s">
        <v>129</v>
      </c>
      <c r="C553">
        <f>COUNTIFS(AnalizaCzyste[Wartość wykształcenia zdobywanego przez studentów na ocenianej uczelni jest wysoka.27],B553,AnalizaCzyste[Czy jesteś przedstawicielem władz samorządowych lub centralnych Rzeczypospolitej Polskiej?],"*"&amp;"Tak"&amp;"*")</f>
        <v>0</v>
      </c>
      <c r="D553">
        <f t="shared" si="132"/>
        <v>0</v>
      </c>
      <c r="E553" s="46">
        <f t="shared" si="133"/>
        <v>25</v>
      </c>
      <c r="F553">
        <f t="shared" si="134"/>
        <v>0</v>
      </c>
    </row>
    <row r="554" spans="1:7" x14ac:dyDescent="0.45">
      <c r="A554" t="s">
        <v>2333</v>
      </c>
      <c r="B554" t="s">
        <v>132</v>
      </c>
      <c r="C554">
        <f>COUNTIFS(AnalizaCzyste[Wartość wykształcenia zdobywanego przez studentów na ocenianej uczelni jest wysoka.27],B554,AnalizaCzyste[Czy jesteś przedstawicielem władz samorządowych lub centralnych Rzeczypospolitej Polskiej?],"*"&amp;"Tak"&amp;"*")</f>
        <v>0</v>
      </c>
      <c r="D554">
        <f t="shared" si="132"/>
        <v>0</v>
      </c>
    </row>
    <row r="555" spans="1:7" x14ac:dyDescent="0.45">
      <c r="B555" s="20" t="s">
        <v>2356</v>
      </c>
      <c r="C555" s="29">
        <f>SUM(C547:C554)</f>
        <v>2</v>
      </c>
      <c r="D555" s="46">
        <f>SUM(D547:D553)/C556</f>
        <v>6</v>
      </c>
      <c r="E555" s="20" t="s">
        <v>2358</v>
      </c>
      <c r="F555" s="46">
        <f>SUM(F547:F554)/(C556-1)</f>
        <v>0</v>
      </c>
      <c r="G555" s="20" t="s">
        <v>2354</v>
      </c>
    </row>
    <row r="556" spans="1:7" x14ac:dyDescent="0.45">
      <c r="B556" s="20" t="s">
        <v>2357</v>
      </c>
      <c r="C556">
        <f>C555-C554</f>
        <v>2</v>
      </c>
      <c r="D556" s="33">
        <f>D555/7</f>
        <v>0.8571428571428571</v>
      </c>
      <c r="F556" s="46">
        <f>F555^(1/2)</f>
        <v>0</v>
      </c>
      <c r="G556" t="s">
        <v>2369</v>
      </c>
    </row>
    <row r="558" spans="1:7" x14ac:dyDescent="0.45">
      <c r="A558" s="29" t="s">
        <v>2405</v>
      </c>
      <c r="C558" t="s">
        <v>2353</v>
      </c>
      <c r="E558" s="20" t="s">
        <v>2367</v>
      </c>
      <c r="F558" s="20" t="s">
        <v>2368</v>
      </c>
    </row>
    <row r="559" spans="1:7" x14ac:dyDescent="0.45">
      <c r="A559">
        <v>7</v>
      </c>
      <c r="B559" t="s">
        <v>169</v>
      </c>
      <c r="C559">
        <f>COUNTIFS(AnalizaCzyste[Zdobyte przez studentów ocenianej uczelni wykształcenie miało/ma pozytywny wpływ na ich zarobki.28],B559,AnalizaCzyste[Czy jesteś przedstawicielem władz samorządowych lub centralnych Rzeczypospolitej Polskiej?],"*"&amp;"Tak"&amp;"*")</f>
        <v>1</v>
      </c>
      <c r="D559">
        <f>PRODUCT(A559,C559)</f>
        <v>7</v>
      </c>
      <c r="E559" s="46">
        <f>(A559-$D$567)^2</f>
        <v>0.25</v>
      </c>
      <c r="F559">
        <f>PRODUCT(C559,E559)</f>
        <v>0.25</v>
      </c>
    </row>
    <row r="560" spans="1:7" x14ac:dyDescent="0.45">
      <c r="A560">
        <v>6</v>
      </c>
      <c r="B560" t="s">
        <v>150</v>
      </c>
      <c r="C560">
        <f>COUNTIFS(AnalizaCzyste[Zdobyte przez studentów ocenianej uczelni wykształcenie miało/ma pozytywny wpływ na ich zarobki.28],B560,AnalizaCzyste[Czy jesteś przedstawicielem władz samorządowych lub centralnych Rzeczypospolitej Polskiej?],"*"&amp;"Tak"&amp;"*")</f>
        <v>1</v>
      </c>
      <c r="D560">
        <f t="shared" ref="D560:D566" si="135">PRODUCT(A560,C560)</f>
        <v>6</v>
      </c>
      <c r="E560" s="46">
        <f t="shared" ref="E560:E565" si="136">(A560-$D$567)^2</f>
        <v>0.25</v>
      </c>
      <c r="F560">
        <f t="shared" ref="F560:F565" si="137">PRODUCT(C560,E560)</f>
        <v>0.25</v>
      </c>
    </row>
    <row r="561" spans="1:7" x14ac:dyDescent="0.45">
      <c r="A561">
        <v>5</v>
      </c>
      <c r="B561" t="s">
        <v>162</v>
      </c>
      <c r="C561">
        <f>COUNTIFS(AnalizaCzyste[Zdobyte przez studentów ocenianej uczelni wykształcenie miało/ma pozytywny wpływ na ich zarobki.28],B561,AnalizaCzyste[Czy jesteś przedstawicielem władz samorządowych lub centralnych Rzeczypospolitej Polskiej?],"*"&amp;"Tak"&amp;"*")</f>
        <v>0</v>
      </c>
      <c r="D561">
        <f t="shared" si="135"/>
        <v>0</v>
      </c>
      <c r="E561" s="46">
        <f t="shared" si="136"/>
        <v>2.25</v>
      </c>
      <c r="F561">
        <f t="shared" si="137"/>
        <v>0</v>
      </c>
    </row>
    <row r="562" spans="1:7" x14ac:dyDescent="0.45">
      <c r="A562">
        <v>4</v>
      </c>
      <c r="B562" t="s">
        <v>151</v>
      </c>
      <c r="C562">
        <f>COUNTIFS(AnalizaCzyste[Zdobyte przez studentów ocenianej uczelni wykształcenie miało/ma pozytywny wpływ na ich zarobki.28],B562,AnalizaCzyste[Czy jesteś przedstawicielem władz samorządowych lub centralnych Rzeczypospolitej Polskiej?],"*"&amp;"Tak"&amp;"*")</f>
        <v>0</v>
      </c>
      <c r="D562">
        <f t="shared" si="135"/>
        <v>0</v>
      </c>
      <c r="E562" s="46">
        <f t="shared" si="136"/>
        <v>6.25</v>
      </c>
      <c r="F562">
        <f t="shared" si="137"/>
        <v>0</v>
      </c>
    </row>
    <row r="563" spans="1:7" x14ac:dyDescent="0.45">
      <c r="A563">
        <v>3</v>
      </c>
      <c r="B563" t="s">
        <v>128</v>
      </c>
      <c r="C563">
        <f>COUNTIFS(AnalizaCzyste[Zdobyte przez studentów ocenianej uczelni wykształcenie miało/ma pozytywny wpływ na ich zarobki.28],B563,AnalizaCzyste[Czy jesteś przedstawicielem władz samorządowych lub centralnych Rzeczypospolitej Polskiej?],"*"&amp;"Tak"&amp;"*")</f>
        <v>0</v>
      </c>
      <c r="D563">
        <f t="shared" si="135"/>
        <v>0</v>
      </c>
      <c r="E563" s="46">
        <f t="shared" si="136"/>
        <v>12.25</v>
      </c>
      <c r="F563">
        <f t="shared" si="137"/>
        <v>0</v>
      </c>
    </row>
    <row r="564" spans="1:7" x14ac:dyDescent="0.45">
      <c r="A564">
        <v>2</v>
      </c>
      <c r="B564" t="s">
        <v>236</v>
      </c>
      <c r="C564">
        <f>COUNTIFS(AnalizaCzyste[Zdobyte przez studentów ocenianej uczelni wykształcenie miało/ma pozytywny wpływ na ich zarobki.28],B564,AnalizaCzyste[Czy jesteś przedstawicielem władz samorządowych lub centralnych Rzeczypospolitej Polskiej?],"*"&amp;"Tak"&amp;"*")</f>
        <v>0</v>
      </c>
      <c r="D564">
        <f t="shared" si="135"/>
        <v>0</v>
      </c>
      <c r="E564" s="46">
        <f t="shared" si="136"/>
        <v>20.25</v>
      </c>
      <c r="F564">
        <f t="shared" si="137"/>
        <v>0</v>
      </c>
    </row>
    <row r="565" spans="1:7" x14ac:dyDescent="0.45">
      <c r="A565">
        <v>1</v>
      </c>
      <c r="B565" t="s">
        <v>129</v>
      </c>
      <c r="C565">
        <f>COUNTIFS(AnalizaCzyste[Zdobyte przez studentów ocenianej uczelni wykształcenie miało/ma pozytywny wpływ na ich zarobki.28],B565,AnalizaCzyste[Czy jesteś przedstawicielem władz samorządowych lub centralnych Rzeczypospolitej Polskiej?],"*"&amp;"Tak"&amp;"*")</f>
        <v>0</v>
      </c>
      <c r="D565">
        <f t="shared" si="135"/>
        <v>0</v>
      </c>
      <c r="E565" s="46">
        <f t="shared" si="136"/>
        <v>30.25</v>
      </c>
      <c r="F565">
        <f t="shared" si="137"/>
        <v>0</v>
      </c>
    </row>
    <row r="566" spans="1:7" x14ac:dyDescent="0.45">
      <c r="A566" t="s">
        <v>2333</v>
      </c>
      <c r="B566" t="s">
        <v>132</v>
      </c>
      <c r="C566">
        <f>COUNTIFS(AnalizaCzyste[Zdobyte przez studentów ocenianej uczelni wykształcenie miało/ma pozytywny wpływ na ich zarobki.28],B566,AnalizaCzyste[Czy jesteś przedstawicielem władz samorządowych lub centralnych Rzeczypospolitej Polskiej?],"*"&amp;"Tak"&amp;"*")</f>
        <v>0</v>
      </c>
      <c r="D566">
        <f t="shared" si="135"/>
        <v>0</v>
      </c>
    </row>
    <row r="567" spans="1:7" x14ac:dyDescent="0.45">
      <c r="B567" s="20" t="s">
        <v>2356</v>
      </c>
      <c r="C567" s="29">
        <f>SUM(C559:C566)</f>
        <v>2</v>
      </c>
      <c r="D567" s="46">
        <f>SUM(D559:D565)/C568</f>
        <v>6.5</v>
      </c>
      <c r="E567" s="20" t="s">
        <v>2358</v>
      </c>
      <c r="F567" s="46">
        <f>SUM(F559:F566)/(C568-1)</f>
        <v>0.5</v>
      </c>
      <c r="G567" s="20" t="s">
        <v>2354</v>
      </c>
    </row>
    <row r="568" spans="1:7" x14ac:dyDescent="0.45">
      <c r="B568" s="20" t="s">
        <v>2357</v>
      </c>
      <c r="C568">
        <f>C567-C566</f>
        <v>2</v>
      </c>
      <c r="D568" s="33">
        <f>D567/7</f>
        <v>0.9285714285714286</v>
      </c>
      <c r="F568" s="46">
        <f>F567^(1/2)</f>
        <v>0.70710678118654757</v>
      </c>
      <c r="G568" t="s">
        <v>2369</v>
      </c>
    </row>
    <row r="570" spans="1:7" x14ac:dyDescent="0.45">
      <c r="A570" s="29" t="s">
        <v>2406</v>
      </c>
      <c r="C570" t="s">
        <v>2353</v>
      </c>
      <c r="E570" s="20" t="s">
        <v>2367</v>
      </c>
      <c r="F570" s="20" t="s">
        <v>2368</v>
      </c>
    </row>
    <row r="571" spans="1:7" x14ac:dyDescent="0.45">
      <c r="A571">
        <v>7</v>
      </c>
      <c r="B571" t="s">
        <v>169</v>
      </c>
      <c r="C571">
        <f>COUNTIFS(AnalizaCzyste[Efekty działań ocenianej uczelni na rzecz jakości edukacji mają dobry wpływ na rozwój regionu.29],B571,AnalizaCzyste[Czy jesteś przedstawicielem władz samorządowych lub centralnych Rzeczypospolitej Polskiej?],"*"&amp;"Tak"&amp;"*")</f>
        <v>1</v>
      </c>
      <c r="D571">
        <f>PRODUCT(A571,C571)</f>
        <v>7</v>
      </c>
      <c r="E571" s="46">
        <f>(A571-$D$579)^2</f>
        <v>0.25</v>
      </c>
      <c r="F571">
        <f>PRODUCT(C571,E571)</f>
        <v>0.25</v>
      </c>
    </row>
    <row r="572" spans="1:7" x14ac:dyDescent="0.45">
      <c r="A572">
        <v>6</v>
      </c>
      <c r="B572" t="s">
        <v>150</v>
      </c>
      <c r="C572">
        <f>COUNTIFS(AnalizaCzyste[Efekty działań ocenianej uczelni na rzecz jakości edukacji mają dobry wpływ na rozwój regionu.29],B572,AnalizaCzyste[Czy jesteś przedstawicielem władz samorządowych lub centralnych Rzeczypospolitej Polskiej?],"*"&amp;"Tak"&amp;"*")</f>
        <v>1</v>
      </c>
      <c r="D572">
        <f t="shared" ref="D572:D578" si="138">PRODUCT(A572,C572)</f>
        <v>6</v>
      </c>
      <c r="E572" s="46">
        <f t="shared" ref="E572:E577" si="139">(A572-$D$579)^2</f>
        <v>0.25</v>
      </c>
      <c r="F572">
        <f t="shared" ref="F572:F577" si="140">PRODUCT(C572,E572)</f>
        <v>0.25</v>
      </c>
    </row>
    <row r="573" spans="1:7" x14ac:dyDescent="0.45">
      <c r="A573">
        <v>5</v>
      </c>
      <c r="B573" t="s">
        <v>162</v>
      </c>
      <c r="C573">
        <f>COUNTIFS(AnalizaCzyste[Efekty działań ocenianej uczelni na rzecz jakości edukacji mają dobry wpływ na rozwój regionu.29],B573,AnalizaCzyste[Czy jesteś przedstawicielem władz samorządowych lub centralnych Rzeczypospolitej Polskiej?],"*"&amp;"Tak"&amp;"*")</f>
        <v>0</v>
      </c>
      <c r="D573">
        <f t="shared" si="138"/>
        <v>0</v>
      </c>
      <c r="E573" s="46">
        <f t="shared" si="139"/>
        <v>2.25</v>
      </c>
      <c r="F573">
        <f t="shared" si="140"/>
        <v>0</v>
      </c>
    </row>
    <row r="574" spans="1:7" x14ac:dyDescent="0.45">
      <c r="A574">
        <v>4</v>
      </c>
      <c r="B574" t="s">
        <v>151</v>
      </c>
      <c r="C574">
        <f>COUNTIFS(AnalizaCzyste[Efekty działań ocenianej uczelni na rzecz jakości edukacji mają dobry wpływ na rozwój regionu.29],B574,AnalizaCzyste[Czy jesteś przedstawicielem władz samorządowych lub centralnych Rzeczypospolitej Polskiej?],"*"&amp;"Tak"&amp;"*")</f>
        <v>0</v>
      </c>
      <c r="D574">
        <f t="shared" si="138"/>
        <v>0</v>
      </c>
      <c r="E574" s="46">
        <f t="shared" si="139"/>
        <v>6.25</v>
      </c>
      <c r="F574">
        <f t="shared" si="140"/>
        <v>0</v>
      </c>
    </row>
    <row r="575" spans="1:7" x14ac:dyDescent="0.45">
      <c r="A575">
        <v>3</v>
      </c>
      <c r="B575" t="s">
        <v>128</v>
      </c>
      <c r="C575">
        <f>COUNTIFS(AnalizaCzyste[Efekty działań ocenianej uczelni na rzecz jakości edukacji mają dobry wpływ na rozwój regionu.29],B575,AnalizaCzyste[Czy jesteś przedstawicielem władz samorządowych lub centralnych Rzeczypospolitej Polskiej?],"*"&amp;"Tak"&amp;"*")</f>
        <v>0</v>
      </c>
      <c r="D575">
        <f t="shared" si="138"/>
        <v>0</v>
      </c>
      <c r="E575" s="46">
        <f t="shared" si="139"/>
        <v>12.25</v>
      </c>
      <c r="F575">
        <f t="shared" si="140"/>
        <v>0</v>
      </c>
    </row>
    <row r="576" spans="1:7" x14ac:dyDescent="0.45">
      <c r="A576">
        <v>2</v>
      </c>
      <c r="B576" t="s">
        <v>236</v>
      </c>
      <c r="C576">
        <f>COUNTIFS(AnalizaCzyste[Efekty działań ocenianej uczelni na rzecz jakości edukacji mają dobry wpływ na rozwój regionu.29],B576,AnalizaCzyste[Czy jesteś przedstawicielem władz samorządowych lub centralnych Rzeczypospolitej Polskiej?],"*"&amp;"Tak"&amp;"*")</f>
        <v>0</v>
      </c>
      <c r="D576">
        <f t="shared" si="138"/>
        <v>0</v>
      </c>
      <c r="E576" s="46">
        <f t="shared" si="139"/>
        <v>20.25</v>
      </c>
      <c r="F576">
        <f t="shared" si="140"/>
        <v>0</v>
      </c>
    </row>
    <row r="577" spans="1:7" x14ac:dyDescent="0.45">
      <c r="A577">
        <v>1</v>
      </c>
      <c r="B577" t="s">
        <v>129</v>
      </c>
      <c r="C577">
        <f>COUNTIFS(AnalizaCzyste[Efekty działań ocenianej uczelni na rzecz jakości edukacji mają dobry wpływ na rozwój regionu.29],B577,AnalizaCzyste[Czy jesteś przedstawicielem władz samorządowych lub centralnych Rzeczypospolitej Polskiej?],"*"&amp;"Tak"&amp;"*")</f>
        <v>0</v>
      </c>
      <c r="D577">
        <f t="shared" si="138"/>
        <v>0</v>
      </c>
      <c r="E577" s="46">
        <f t="shared" si="139"/>
        <v>30.25</v>
      </c>
      <c r="F577">
        <f t="shared" si="140"/>
        <v>0</v>
      </c>
    </row>
    <row r="578" spans="1:7" x14ac:dyDescent="0.45">
      <c r="A578" t="s">
        <v>2333</v>
      </c>
      <c r="B578" t="s">
        <v>132</v>
      </c>
      <c r="C578">
        <f>COUNTIFS(AnalizaCzyste[Efekty działań ocenianej uczelni na rzecz jakości edukacji mają dobry wpływ na rozwój regionu.29],B578,AnalizaCzyste[Czy jesteś przedstawicielem władz samorządowych lub centralnych Rzeczypospolitej Polskiej?],"*"&amp;"Tak"&amp;"*")</f>
        <v>0</v>
      </c>
      <c r="D578">
        <f t="shared" si="138"/>
        <v>0</v>
      </c>
    </row>
    <row r="579" spans="1:7" x14ac:dyDescent="0.45">
      <c r="B579" s="20" t="s">
        <v>2356</v>
      </c>
      <c r="C579" s="29">
        <f>SUM(C571:C578)</f>
        <v>2</v>
      </c>
      <c r="D579" s="46">
        <f>SUM(D571:D577)/C580</f>
        <v>6.5</v>
      </c>
      <c r="E579" s="20" t="s">
        <v>2358</v>
      </c>
      <c r="F579" s="46">
        <f>SUM(F571:F578)/(C580-1)</f>
        <v>0.5</v>
      </c>
      <c r="G579" s="20" t="s">
        <v>2354</v>
      </c>
    </row>
    <row r="580" spans="1:7" x14ac:dyDescent="0.45">
      <c r="B580" s="20" t="s">
        <v>2357</v>
      </c>
      <c r="C580">
        <f>C579-C578</f>
        <v>2</v>
      </c>
      <c r="D580" s="33">
        <f>D579/7</f>
        <v>0.9285714285714286</v>
      </c>
      <c r="F580" s="46">
        <f>F579^(1/2)</f>
        <v>0.70710678118654757</v>
      </c>
      <c r="G580" t="s">
        <v>2369</v>
      </c>
    </row>
    <row r="582" spans="1:7" x14ac:dyDescent="0.45">
      <c r="A582" s="29" t="s">
        <v>2407</v>
      </c>
      <c r="C582" t="s">
        <v>2353</v>
      </c>
      <c r="E582" s="20" t="s">
        <v>2367</v>
      </c>
      <c r="F582" s="20" t="s">
        <v>2368</v>
      </c>
    </row>
    <row r="583" spans="1:7" x14ac:dyDescent="0.45">
      <c r="A583">
        <v>7</v>
      </c>
      <c r="B583" t="s">
        <v>169</v>
      </c>
      <c r="C583">
        <f>COUNTIFS(AnalizaCzyste[Efekty działań ocenianej uczelni na rzecz jakości edukacji mają dobry wpływ na rozwój Polski.30],B583,AnalizaCzyste[Czy jesteś przedstawicielem władz samorządowych lub centralnych Rzeczypospolitej Polskiej?],"*"&amp;"Tak"&amp;"*")</f>
        <v>0</v>
      </c>
      <c r="D583">
        <f>PRODUCT(A583,C583)</f>
        <v>0</v>
      </c>
      <c r="E583" s="46">
        <f>(A583-$D$591)^2</f>
        <v>1</v>
      </c>
      <c r="F583">
        <f>PRODUCT(C583,E583)</f>
        <v>0</v>
      </c>
    </row>
    <row r="584" spans="1:7" x14ac:dyDescent="0.45">
      <c r="A584">
        <v>6</v>
      </c>
      <c r="B584" t="s">
        <v>150</v>
      </c>
      <c r="C584">
        <f>COUNTIFS(AnalizaCzyste[Efekty działań ocenianej uczelni na rzecz jakości edukacji mają dobry wpływ na rozwój Polski.30],B584,AnalizaCzyste[Czy jesteś przedstawicielem władz samorządowych lub centralnych Rzeczypospolitej Polskiej?],"*"&amp;"Tak"&amp;"*")</f>
        <v>1</v>
      </c>
      <c r="D584">
        <f t="shared" ref="D584:D590" si="141">PRODUCT(A584,C584)</f>
        <v>6</v>
      </c>
      <c r="E584" s="46">
        <f t="shared" ref="E584:E589" si="142">(A584-$D$591)^2</f>
        <v>0</v>
      </c>
      <c r="F584">
        <f t="shared" ref="F584:F589" si="143">PRODUCT(C584,E584)</f>
        <v>0</v>
      </c>
    </row>
    <row r="585" spans="1:7" x14ac:dyDescent="0.45">
      <c r="A585">
        <v>5</v>
      </c>
      <c r="B585" t="s">
        <v>162</v>
      </c>
      <c r="C585">
        <f>COUNTIFS(AnalizaCzyste[Efekty działań ocenianej uczelni na rzecz jakości edukacji mają dobry wpływ na rozwój Polski.30],B585,AnalizaCzyste[Czy jesteś przedstawicielem władz samorządowych lub centralnych Rzeczypospolitej Polskiej?],"*"&amp;"Tak"&amp;"*")</f>
        <v>0</v>
      </c>
      <c r="D585">
        <f t="shared" si="141"/>
        <v>0</v>
      </c>
      <c r="E585" s="46">
        <f t="shared" si="142"/>
        <v>1</v>
      </c>
      <c r="F585">
        <f t="shared" si="143"/>
        <v>0</v>
      </c>
    </row>
    <row r="586" spans="1:7" x14ac:dyDescent="0.45">
      <c r="A586">
        <v>4</v>
      </c>
      <c r="B586" t="s">
        <v>151</v>
      </c>
      <c r="C586">
        <f>COUNTIFS(AnalizaCzyste[Efekty działań ocenianej uczelni na rzecz jakości edukacji mają dobry wpływ na rozwój Polski.30],B586,AnalizaCzyste[Czy jesteś przedstawicielem władz samorządowych lub centralnych Rzeczypospolitej Polskiej?],"*"&amp;"Tak"&amp;"*")</f>
        <v>0</v>
      </c>
      <c r="D586">
        <f t="shared" si="141"/>
        <v>0</v>
      </c>
      <c r="E586" s="46">
        <f t="shared" si="142"/>
        <v>4</v>
      </c>
      <c r="F586">
        <f t="shared" si="143"/>
        <v>0</v>
      </c>
    </row>
    <row r="587" spans="1:7" x14ac:dyDescent="0.45">
      <c r="A587">
        <v>3</v>
      </c>
      <c r="B587" t="s">
        <v>128</v>
      </c>
      <c r="C587">
        <f>COUNTIFS(AnalizaCzyste[Efekty działań ocenianej uczelni na rzecz jakości edukacji mają dobry wpływ na rozwój Polski.30],B587,AnalizaCzyste[Czy jesteś przedstawicielem władz samorządowych lub centralnych Rzeczypospolitej Polskiej?],"*"&amp;"Tak"&amp;"*")</f>
        <v>0</v>
      </c>
      <c r="D587">
        <f t="shared" si="141"/>
        <v>0</v>
      </c>
      <c r="E587" s="46">
        <f t="shared" si="142"/>
        <v>9</v>
      </c>
      <c r="F587">
        <f t="shared" si="143"/>
        <v>0</v>
      </c>
    </row>
    <row r="588" spans="1:7" x14ac:dyDescent="0.45">
      <c r="A588">
        <v>2</v>
      </c>
      <c r="B588" t="s">
        <v>236</v>
      </c>
      <c r="C588">
        <f>COUNTIFS(AnalizaCzyste[Efekty działań ocenianej uczelni na rzecz jakości edukacji mają dobry wpływ na rozwój Polski.30],B588,AnalizaCzyste[Czy jesteś przedstawicielem władz samorządowych lub centralnych Rzeczypospolitej Polskiej?],"*"&amp;"Tak"&amp;"*")</f>
        <v>0</v>
      </c>
      <c r="D588">
        <f t="shared" si="141"/>
        <v>0</v>
      </c>
      <c r="E588" s="46">
        <f t="shared" si="142"/>
        <v>16</v>
      </c>
      <c r="F588">
        <f t="shared" si="143"/>
        <v>0</v>
      </c>
    </row>
    <row r="589" spans="1:7" x14ac:dyDescent="0.45">
      <c r="A589">
        <v>1</v>
      </c>
      <c r="B589" t="s">
        <v>129</v>
      </c>
      <c r="C589">
        <f>COUNTIFS(AnalizaCzyste[Efekty działań ocenianej uczelni na rzecz jakości edukacji mają dobry wpływ na rozwój Polski.30],B589,AnalizaCzyste[Czy jesteś przedstawicielem władz samorządowych lub centralnych Rzeczypospolitej Polskiej?],"*"&amp;"Tak"&amp;"*")</f>
        <v>0</v>
      </c>
      <c r="D589">
        <f t="shared" si="141"/>
        <v>0</v>
      </c>
      <c r="E589" s="46">
        <f t="shared" si="142"/>
        <v>25</v>
      </c>
      <c r="F589">
        <f t="shared" si="143"/>
        <v>0</v>
      </c>
    </row>
    <row r="590" spans="1:7" x14ac:dyDescent="0.45">
      <c r="A590" t="s">
        <v>2333</v>
      </c>
      <c r="B590" t="s">
        <v>132</v>
      </c>
      <c r="C590">
        <f>COUNTIFS(AnalizaCzyste[Efekty działań ocenianej uczelni na rzecz jakości edukacji mają dobry wpływ na rozwój Polski.30],B590,AnalizaCzyste[Czy jesteś przedstawicielem władz samorządowych lub centralnych Rzeczypospolitej Polskiej?],"*"&amp;"Tak"&amp;"*")</f>
        <v>1</v>
      </c>
      <c r="D590">
        <f t="shared" si="141"/>
        <v>1</v>
      </c>
    </row>
    <row r="591" spans="1:7" x14ac:dyDescent="0.45">
      <c r="B591" s="20" t="s">
        <v>2356</v>
      </c>
      <c r="C591" s="29">
        <f>SUM(C583:C590)</f>
        <v>2</v>
      </c>
      <c r="D591" s="46">
        <f>SUM(D583:D589)/C592</f>
        <v>6</v>
      </c>
      <c r="E591" s="20" t="s">
        <v>2358</v>
      </c>
      <c r="F591" s="46" t="e">
        <f>SUM(F583:F590)/(C592-1)</f>
        <v>#DIV/0!</v>
      </c>
      <c r="G591" s="20" t="s">
        <v>2354</v>
      </c>
    </row>
    <row r="592" spans="1:7" x14ac:dyDescent="0.45">
      <c r="B592" s="20" t="s">
        <v>2357</v>
      </c>
      <c r="C592">
        <f>C591-C590</f>
        <v>1</v>
      </c>
      <c r="D592" s="33">
        <f>D591/7</f>
        <v>0.8571428571428571</v>
      </c>
      <c r="F592" s="46" t="e">
        <f>F591^(1/2)</f>
        <v>#DIV/0!</v>
      </c>
      <c r="G592" t="s">
        <v>2369</v>
      </c>
    </row>
    <row r="594" spans="1:7" x14ac:dyDescent="0.45">
      <c r="A594" s="29" t="s">
        <v>2408</v>
      </c>
      <c r="C594" t="s">
        <v>2353</v>
      </c>
      <c r="E594" s="20" t="s">
        <v>2367</v>
      </c>
      <c r="F594" s="20" t="s">
        <v>2368</v>
      </c>
    </row>
    <row r="595" spans="1:7" x14ac:dyDescent="0.45">
      <c r="A595">
        <v>7</v>
      </c>
      <c r="B595" t="s">
        <v>169</v>
      </c>
      <c r="C595">
        <f>COUNTIFS(AnalizaCzyste[Współpraca ocenianej uczelni z biznesem ma pozytywne efekty dla rozwoju regionu / kraju.31],B595,AnalizaCzyste[Czy jesteś przedstawicielem władz samorządowych lub centralnych Rzeczypospolitej Polskiej?],"*"&amp;"Tak"&amp;"*")</f>
        <v>0</v>
      </c>
      <c r="D595">
        <f>PRODUCT(A595,C595)</f>
        <v>0</v>
      </c>
      <c r="E595" s="46">
        <f>(A595-$D$603)^2</f>
        <v>1</v>
      </c>
      <c r="F595">
        <f>PRODUCT(C595,E595)</f>
        <v>0</v>
      </c>
    </row>
    <row r="596" spans="1:7" x14ac:dyDescent="0.45">
      <c r="A596">
        <v>6</v>
      </c>
      <c r="B596" t="s">
        <v>150</v>
      </c>
      <c r="C596">
        <f>COUNTIFS(AnalizaCzyste[Współpraca ocenianej uczelni z biznesem ma pozytywne efekty dla rozwoju regionu / kraju.31],B596,AnalizaCzyste[Czy jesteś przedstawicielem władz samorządowych lub centralnych Rzeczypospolitej Polskiej?],"*"&amp;"Tak"&amp;"*")</f>
        <v>1</v>
      </c>
      <c r="D596">
        <f t="shared" ref="D596:D602" si="144">PRODUCT(A596,C596)</f>
        <v>6</v>
      </c>
      <c r="E596" s="46">
        <f t="shared" ref="E596:E601" si="145">(A596-$D$603)^2</f>
        <v>0</v>
      </c>
      <c r="F596">
        <f t="shared" ref="F596:F601" si="146">PRODUCT(C596,E596)</f>
        <v>0</v>
      </c>
    </row>
    <row r="597" spans="1:7" x14ac:dyDescent="0.45">
      <c r="A597">
        <v>5</v>
      </c>
      <c r="B597" t="s">
        <v>162</v>
      </c>
      <c r="C597">
        <f>COUNTIFS(AnalizaCzyste[Współpraca ocenianej uczelni z biznesem ma pozytywne efekty dla rozwoju regionu / kraju.31],B597,AnalizaCzyste[Czy jesteś przedstawicielem władz samorządowych lub centralnych Rzeczypospolitej Polskiej?],"*"&amp;"Tak"&amp;"*")</f>
        <v>0</v>
      </c>
      <c r="D597">
        <f t="shared" si="144"/>
        <v>0</v>
      </c>
      <c r="E597" s="46">
        <f t="shared" si="145"/>
        <v>1</v>
      </c>
      <c r="F597">
        <f t="shared" si="146"/>
        <v>0</v>
      </c>
    </row>
    <row r="598" spans="1:7" x14ac:dyDescent="0.45">
      <c r="A598">
        <v>4</v>
      </c>
      <c r="B598" t="s">
        <v>151</v>
      </c>
      <c r="C598">
        <f>COUNTIFS(AnalizaCzyste[Współpraca ocenianej uczelni z biznesem ma pozytywne efekty dla rozwoju regionu / kraju.31],B598,AnalizaCzyste[Czy jesteś przedstawicielem władz samorządowych lub centralnych Rzeczypospolitej Polskiej?],"*"&amp;"Tak"&amp;"*")</f>
        <v>0</v>
      </c>
      <c r="D598">
        <f t="shared" si="144"/>
        <v>0</v>
      </c>
      <c r="E598" s="46">
        <f t="shared" si="145"/>
        <v>4</v>
      </c>
      <c r="F598">
        <f t="shared" si="146"/>
        <v>0</v>
      </c>
    </row>
    <row r="599" spans="1:7" x14ac:dyDescent="0.45">
      <c r="A599">
        <v>3</v>
      </c>
      <c r="B599" t="s">
        <v>128</v>
      </c>
      <c r="C599">
        <f>COUNTIFS(AnalizaCzyste[Współpraca ocenianej uczelni z biznesem ma pozytywne efekty dla rozwoju regionu / kraju.31],B599,AnalizaCzyste[Czy jesteś przedstawicielem władz samorządowych lub centralnych Rzeczypospolitej Polskiej?],"*"&amp;"Tak"&amp;"*")</f>
        <v>0</v>
      </c>
      <c r="D599">
        <f t="shared" si="144"/>
        <v>0</v>
      </c>
      <c r="E599" s="46">
        <f t="shared" si="145"/>
        <v>9</v>
      </c>
      <c r="F599">
        <f t="shared" si="146"/>
        <v>0</v>
      </c>
    </row>
    <row r="600" spans="1:7" x14ac:dyDescent="0.45">
      <c r="A600">
        <v>2</v>
      </c>
      <c r="B600" t="s">
        <v>236</v>
      </c>
      <c r="C600">
        <f>COUNTIFS(AnalizaCzyste[Współpraca ocenianej uczelni z biznesem ma pozytywne efekty dla rozwoju regionu / kraju.31],B600,AnalizaCzyste[Czy jesteś przedstawicielem władz samorządowych lub centralnych Rzeczypospolitej Polskiej?],"*"&amp;"Tak"&amp;"*")</f>
        <v>0</v>
      </c>
      <c r="D600">
        <f t="shared" si="144"/>
        <v>0</v>
      </c>
      <c r="E600" s="46">
        <f t="shared" si="145"/>
        <v>16</v>
      </c>
      <c r="F600">
        <f t="shared" si="146"/>
        <v>0</v>
      </c>
    </row>
    <row r="601" spans="1:7" x14ac:dyDescent="0.45">
      <c r="A601">
        <v>1</v>
      </c>
      <c r="B601" t="s">
        <v>129</v>
      </c>
      <c r="C601">
        <f>COUNTIFS(AnalizaCzyste[Współpraca ocenianej uczelni z biznesem ma pozytywne efekty dla rozwoju regionu / kraju.31],B601,AnalizaCzyste[Czy jesteś przedstawicielem władz samorządowych lub centralnych Rzeczypospolitej Polskiej?],"*"&amp;"Tak"&amp;"*")</f>
        <v>0</v>
      </c>
      <c r="D601">
        <f t="shared" si="144"/>
        <v>0</v>
      </c>
      <c r="E601" s="46">
        <f t="shared" si="145"/>
        <v>25</v>
      </c>
      <c r="F601">
        <f t="shared" si="146"/>
        <v>0</v>
      </c>
    </row>
    <row r="602" spans="1:7" x14ac:dyDescent="0.45">
      <c r="A602" t="s">
        <v>2333</v>
      </c>
      <c r="B602" t="s">
        <v>132</v>
      </c>
      <c r="C602">
        <f>COUNTIFS(AnalizaCzyste[Współpraca ocenianej uczelni z biznesem ma pozytywne efekty dla rozwoju regionu / kraju.31],B602,AnalizaCzyste[Czy jesteś przedstawicielem władz samorządowych lub centralnych Rzeczypospolitej Polskiej?],"*"&amp;"Tak"&amp;"*")</f>
        <v>1</v>
      </c>
      <c r="D602">
        <f t="shared" si="144"/>
        <v>1</v>
      </c>
    </row>
    <row r="603" spans="1:7" x14ac:dyDescent="0.45">
      <c r="B603" s="20" t="s">
        <v>2356</v>
      </c>
      <c r="C603" s="29">
        <f>SUM(C595:C602)</f>
        <v>2</v>
      </c>
      <c r="D603" s="46">
        <f>SUM(D595:D601)/C604</f>
        <v>6</v>
      </c>
      <c r="E603" s="20" t="s">
        <v>2358</v>
      </c>
      <c r="F603" s="46" t="e">
        <f>SUM(F595:F602)/(C604-1)</f>
        <v>#DIV/0!</v>
      </c>
      <c r="G603" s="20" t="s">
        <v>2354</v>
      </c>
    </row>
    <row r="604" spans="1:7" x14ac:dyDescent="0.45">
      <c r="B604" s="20" t="s">
        <v>2357</v>
      </c>
      <c r="C604">
        <f>C603-C602</f>
        <v>1</v>
      </c>
      <c r="D604" s="33">
        <f>D603/7</f>
        <v>0.8571428571428571</v>
      </c>
      <c r="F604" s="46" t="e">
        <f>F603^(1/2)</f>
        <v>#DIV/0!</v>
      </c>
      <c r="G604" t="s">
        <v>2369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921-989A-4B81-A886-040924B6E366}">
  <dimension ref="A1:HH141"/>
  <sheetViews>
    <sheetView workbookViewId="0">
      <pane ySplit="2" topLeftCell="A3" activePane="bottomLeft" state="frozen"/>
      <selection activeCell="J1" sqref="J1"/>
      <selection pane="bottomLeft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customWidth="1" outlineLevel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20" width="14.59765625" hidden="1" customWidth="1" outlineLevel="1"/>
    <col min="21" max="31" width="8.1328125" hidden="1" customWidth="1" outlineLevel="1"/>
    <col min="32" max="32" width="11.796875" customWidth="1" collapsed="1"/>
    <col min="33" max="50" width="23.1328125" hidden="1" customWidth="1" outlineLevel="1"/>
    <col min="51" max="51" width="11.796875" customWidth="1" collapsed="1"/>
    <col min="52" max="52" width="8.1328125" hidden="1" customWidth="1" outlineLevel="1"/>
    <col min="53" max="96" width="26.3984375" hidden="1" customWidth="1" outlineLevel="1"/>
    <col min="97" max="97" width="11.796875" customWidth="1" collapsed="1"/>
    <col min="98" max="106" width="19.9296875" hidden="1" customWidth="1" outlineLevel="1"/>
    <col min="107" max="107" width="11.796875" customWidth="1" collapsed="1"/>
    <col min="108" max="116" width="23.33203125" hidden="1" customWidth="1" outlineLevel="1"/>
    <col min="117" max="117" width="11.796875" customWidth="1" collapsed="1"/>
    <col min="118" max="145" width="8.1328125" hidden="1" customWidth="1" outlineLevel="1"/>
    <col min="146" max="146" width="11.796875" customWidth="1" collapsed="1"/>
    <col min="147" max="171" width="8.1328125" hidden="1" customWidth="1" outlineLevel="1"/>
    <col min="172" max="172" width="11.796875" customWidth="1" collapsed="1"/>
    <col min="173" max="208" width="8.1328125" hidden="1" customWidth="1" outlineLevel="1"/>
    <col min="209" max="209" width="9.46484375" customWidth="1" collapsed="1"/>
    <col min="212" max="212" width="28.59765625" customWidth="1"/>
  </cols>
  <sheetData>
    <row r="1" spans="1:216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I1" t="s">
        <v>26</v>
      </c>
      <c r="AJ1" t="s">
        <v>27</v>
      </c>
      <c r="AK1" t="s">
        <v>28</v>
      </c>
      <c r="AL1" t="s">
        <v>17</v>
      </c>
      <c r="AQ1" t="s">
        <v>29</v>
      </c>
      <c r="AR1" t="s">
        <v>30</v>
      </c>
      <c r="AT1" t="s">
        <v>31</v>
      </c>
      <c r="AU1" t="s">
        <v>32</v>
      </c>
      <c r="AW1" t="s">
        <v>33</v>
      </c>
      <c r="AY1" s="3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17</v>
      </c>
      <c r="BJ1" t="s">
        <v>40</v>
      </c>
      <c r="BK1" t="s">
        <v>41</v>
      </c>
      <c r="BL1" t="s">
        <v>42</v>
      </c>
      <c r="BN1" t="s">
        <v>43</v>
      </c>
      <c r="BO1" t="s">
        <v>44</v>
      </c>
      <c r="BP1" t="s">
        <v>36</v>
      </c>
      <c r="BQ1" t="s">
        <v>37</v>
      </c>
      <c r="BR1" t="s">
        <v>38</v>
      </c>
      <c r="BS1" t="s">
        <v>39</v>
      </c>
      <c r="BT1" t="s">
        <v>17</v>
      </c>
      <c r="BY1" t="s">
        <v>40</v>
      </c>
      <c r="BZ1" t="s">
        <v>41</v>
      </c>
      <c r="CA1" t="s">
        <v>42</v>
      </c>
      <c r="CC1" t="s">
        <v>43</v>
      </c>
      <c r="CD1" t="s">
        <v>45</v>
      </c>
      <c r="CE1" t="s">
        <v>36</v>
      </c>
      <c r="CF1" t="s">
        <v>37</v>
      </c>
      <c r="CG1" t="s">
        <v>38</v>
      </c>
      <c r="CH1" t="s">
        <v>39</v>
      </c>
      <c r="CI1" t="s">
        <v>17</v>
      </c>
      <c r="CN1" t="s">
        <v>40</v>
      </c>
      <c r="CO1" t="s">
        <v>41</v>
      </c>
      <c r="CP1" t="s">
        <v>42</v>
      </c>
      <c r="CR1" t="s">
        <v>43</v>
      </c>
      <c r="CS1" s="3" t="s">
        <v>46</v>
      </c>
      <c r="CT1" t="s">
        <v>47</v>
      </c>
      <c r="CU1" t="s">
        <v>48</v>
      </c>
      <c r="CV1" t="s">
        <v>17</v>
      </c>
      <c r="DB1" t="s">
        <v>41</v>
      </c>
      <c r="DC1" s="3" t="s">
        <v>49</v>
      </c>
      <c r="DD1" t="s">
        <v>47</v>
      </c>
      <c r="DE1" t="s">
        <v>48</v>
      </c>
      <c r="DF1" t="s">
        <v>17</v>
      </c>
      <c r="DL1" t="s">
        <v>31</v>
      </c>
      <c r="DM1" s="3" t="s">
        <v>50</v>
      </c>
      <c r="DN1" t="s">
        <v>51</v>
      </c>
      <c r="DR1" t="s">
        <v>52</v>
      </c>
      <c r="DS1" t="s">
        <v>17</v>
      </c>
      <c r="DZ1" t="s">
        <v>53</v>
      </c>
      <c r="EH1" t="s">
        <v>54</v>
      </c>
      <c r="EP1" s="3" t="s">
        <v>55</v>
      </c>
      <c r="EQ1" t="s">
        <v>56</v>
      </c>
      <c r="ER1" t="s">
        <v>57</v>
      </c>
      <c r="ES1" t="s">
        <v>58</v>
      </c>
      <c r="ET1" t="s">
        <v>17</v>
      </c>
      <c r="EW1" t="s">
        <v>59</v>
      </c>
      <c r="EX1" t="s">
        <v>60</v>
      </c>
      <c r="EY1" t="s">
        <v>61</v>
      </c>
      <c r="EZ1" t="s">
        <v>62</v>
      </c>
      <c r="FA1" t="s">
        <v>58</v>
      </c>
      <c r="FB1" t="s">
        <v>17</v>
      </c>
      <c r="FE1" t="s">
        <v>59</v>
      </c>
      <c r="FF1" t="s">
        <v>60</v>
      </c>
      <c r="FG1" t="s">
        <v>61</v>
      </c>
      <c r="FH1" t="s">
        <v>63</v>
      </c>
      <c r="FI1" t="s">
        <v>58</v>
      </c>
      <c r="FJ1" t="s">
        <v>17</v>
      </c>
      <c r="FM1" t="s">
        <v>59</v>
      </c>
      <c r="FN1" t="s">
        <v>60</v>
      </c>
      <c r="FO1" t="s">
        <v>64</v>
      </c>
      <c r="FP1" s="3" t="s">
        <v>65</v>
      </c>
      <c r="FQ1" t="s">
        <v>66</v>
      </c>
      <c r="FR1" t="s">
        <v>67</v>
      </c>
      <c r="FS1" t="s">
        <v>57</v>
      </c>
      <c r="FT1" t="s">
        <v>68</v>
      </c>
      <c r="FU1" t="s">
        <v>17</v>
      </c>
      <c r="GC1" t="s">
        <v>69</v>
      </c>
      <c r="GD1" t="s">
        <v>70</v>
      </c>
      <c r="GE1" t="s">
        <v>68</v>
      </c>
      <c r="GF1" t="s">
        <v>17</v>
      </c>
      <c r="GM1" t="s">
        <v>71</v>
      </c>
      <c r="GN1" t="s">
        <v>72</v>
      </c>
      <c r="GO1" t="s">
        <v>68</v>
      </c>
      <c r="GP1" t="s">
        <v>17</v>
      </c>
      <c r="GW1" t="s">
        <v>71</v>
      </c>
      <c r="GX1" t="s">
        <v>73</v>
      </c>
      <c r="HA1" t="s">
        <v>74</v>
      </c>
      <c r="HB1" t="s">
        <v>75</v>
      </c>
      <c r="HD1" t="s">
        <v>76</v>
      </c>
      <c r="HF1" t="s">
        <v>77</v>
      </c>
      <c r="HG1" t="s">
        <v>78</v>
      </c>
      <c r="HH1" t="s">
        <v>79</v>
      </c>
    </row>
    <row r="2" spans="1:216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s="20" t="s">
        <v>2329</v>
      </c>
      <c r="AI2" t="s">
        <v>26</v>
      </c>
      <c r="AJ2" t="s">
        <v>27</v>
      </c>
      <c r="AK2" t="s">
        <v>28</v>
      </c>
      <c r="AL2" t="s">
        <v>86</v>
      </c>
      <c r="AM2" t="s">
        <v>2071</v>
      </c>
      <c r="AN2" t="s">
        <v>87</v>
      </c>
      <c r="AO2" t="s">
        <v>88</v>
      </c>
      <c r="AP2" t="s">
        <v>89</v>
      </c>
      <c r="AQ2" t="s">
        <v>29</v>
      </c>
      <c r="AR2" t="s">
        <v>2072</v>
      </c>
      <c r="AS2" t="s">
        <v>2073</v>
      </c>
      <c r="AT2" t="s">
        <v>31</v>
      </c>
      <c r="AU2" t="s">
        <v>32</v>
      </c>
      <c r="AV2" t="s">
        <v>2070</v>
      </c>
      <c r="AW2" t="s">
        <v>33</v>
      </c>
      <c r="AX2" t="s">
        <v>2074</v>
      </c>
      <c r="AY2" s="1" t="s">
        <v>34</v>
      </c>
      <c r="AZ2" t="s">
        <v>35</v>
      </c>
      <c r="BA2" t="s">
        <v>36</v>
      </c>
      <c r="BB2" t="s">
        <v>37</v>
      </c>
      <c r="BC2" t="s">
        <v>38</v>
      </c>
      <c r="BD2" t="s">
        <v>39</v>
      </c>
      <c r="BE2" s="20" t="s">
        <v>2075</v>
      </c>
      <c r="BF2" t="s">
        <v>2076</v>
      </c>
      <c r="BG2" t="s">
        <v>90</v>
      </c>
      <c r="BH2" t="s">
        <v>91</v>
      </c>
      <c r="BI2" t="s">
        <v>92</v>
      </c>
      <c r="BJ2" t="s">
        <v>40</v>
      </c>
      <c r="BK2" t="s">
        <v>41</v>
      </c>
      <c r="BL2" t="s">
        <v>42</v>
      </c>
      <c r="BM2" t="s">
        <v>2077</v>
      </c>
      <c r="BN2" t="s">
        <v>43</v>
      </c>
      <c r="BO2" t="s">
        <v>44</v>
      </c>
      <c r="BP2" t="s">
        <v>2078</v>
      </c>
      <c r="BQ2" t="s">
        <v>2079</v>
      </c>
      <c r="BR2" t="s">
        <v>2080</v>
      </c>
      <c r="BS2" t="s">
        <v>2081</v>
      </c>
      <c r="BT2" t="s">
        <v>2082</v>
      </c>
      <c r="BU2" t="s">
        <v>2083</v>
      </c>
      <c r="BV2" t="s">
        <v>2084</v>
      </c>
      <c r="BW2" t="s">
        <v>2085</v>
      </c>
      <c r="BX2" t="s">
        <v>2086</v>
      </c>
      <c r="BY2" t="s">
        <v>2087</v>
      </c>
      <c r="BZ2" t="s">
        <v>2088</v>
      </c>
      <c r="CA2" t="s">
        <v>2089</v>
      </c>
      <c r="CB2" t="s">
        <v>2090</v>
      </c>
      <c r="CC2" t="s">
        <v>2091</v>
      </c>
      <c r="CD2" t="s">
        <v>45</v>
      </c>
      <c r="CE2" t="s">
        <v>2092</v>
      </c>
      <c r="CF2" t="s">
        <v>2093</v>
      </c>
      <c r="CG2" t="s">
        <v>2094</v>
      </c>
      <c r="CH2" t="s">
        <v>2095</v>
      </c>
      <c r="CI2" t="s">
        <v>2096</v>
      </c>
      <c r="CJ2" t="s">
        <v>2097</v>
      </c>
      <c r="CK2" t="s">
        <v>2098</v>
      </c>
      <c r="CL2" t="s">
        <v>2099</v>
      </c>
      <c r="CM2" t="s">
        <v>2100</v>
      </c>
      <c r="CN2" t="s">
        <v>2101</v>
      </c>
      <c r="CO2" t="s">
        <v>2102</v>
      </c>
      <c r="CP2" t="s">
        <v>2103</v>
      </c>
      <c r="CQ2" t="s">
        <v>2104</v>
      </c>
      <c r="CR2" t="s">
        <v>2105</v>
      </c>
      <c r="CS2" s="1" t="s">
        <v>46</v>
      </c>
      <c r="CT2" t="s">
        <v>47</v>
      </c>
      <c r="CU2" t="s">
        <v>48</v>
      </c>
      <c r="CV2" t="s">
        <v>93</v>
      </c>
      <c r="CW2" t="s">
        <v>94</v>
      </c>
      <c r="CX2" s="20" t="s">
        <v>95</v>
      </c>
      <c r="CY2" s="20" t="s">
        <v>96</v>
      </c>
      <c r="CZ2" t="s">
        <v>97</v>
      </c>
      <c r="DA2" t="s">
        <v>98</v>
      </c>
      <c r="DB2" t="s">
        <v>2106</v>
      </c>
      <c r="DC2" s="1" t="s">
        <v>49</v>
      </c>
      <c r="DD2" t="s">
        <v>2107</v>
      </c>
      <c r="DE2" t="s">
        <v>2108</v>
      </c>
      <c r="DF2" t="s">
        <v>2109</v>
      </c>
      <c r="DG2" s="20" t="s">
        <v>2110</v>
      </c>
      <c r="DH2" s="20" t="s">
        <v>2111</v>
      </c>
      <c r="DI2" s="20" t="s">
        <v>2112</v>
      </c>
      <c r="DJ2" s="20" t="s">
        <v>2113</v>
      </c>
      <c r="DK2" t="s">
        <v>2114</v>
      </c>
      <c r="DL2" t="s">
        <v>2115</v>
      </c>
      <c r="DM2" s="1" t="s">
        <v>50</v>
      </c>
      <c r="DN2" t="s">
        <v>51</v>
      </c>
      <c r="DO2" t="s">
        <v>2067</v>
      </c>
      <c r="DP2" t="s">
        <v>2068</v>
      </c>
      <c r="DQ2" t="s">
        <v>2069</v>
      </c>
      <c r="DR2" t="s">
        <v>52</v>
      </c>
      <c r="DS2" s="20" t="s">
        <v>99</v>
      </c>
      <c r="DT2" s="20" t="s">
        <v>100</v>
      </c>
      <c r="DU2" s="20" t="s">
        <v>101</v>
      </c>
      <c r="DV2" t="s">
        <v>102</v>
      </c>
      <c r="DW2" t="s">
        <v>103</v>
      </c>
      <c r="DX2" s="20" t="s">
        <v>104</v>
      </c>
      <c r="DY2" s="20" t="s">
        <v>105</v>
      </c>
      <c r="DZ2" t="s">
        <v>106</v>
      </c>
      <c r="EA2" t="s">
        <v>107</v>
      </c>
      <c r="EB2" t="s">
        <v>108</v>
      </c>
      <c r="EC2" t="s">
        <v>109</v>
      </c>
      <c r="ED2" t="s">
        <v>110</v>
      </c>
      <c r="EE2" t="s">
        <v>111</v>
      </c>
      <c r="EF2" t="s">
        <v>112</v>
      </c>
      <c r="EG2" t="s">
        <v>2116</v>
      </c>
      <c r="EH2" t="s">
        <v>2117</v>
      </c>
      <c r="EI2" t="s">
        <v>2118</v>
      </c>
      <c r="EJ2" t="s">
        <v>2119</v>
      </c>
      <c r="EK2" t="s">
        <v>2120</v>
      </c>
      <c r="EL2" t="s">
        <v>2121</v>
      </c>
      <c r="EM2" t="s">
        <v>2122</v>
      </c>
      <c r="EN2" t="s">
        <v>2123</v>
      </c>
      <c r="EO2" t="s">
        <v>2124</v>
      </c>
      <c r="EP2" s="1" t="s">
        <v>55</v>
      </c>
      <c r="EQ2" t="s">
        <v>56</v>
      </c>
      <c r="ER2" t="s">
        <v>57</v>
      </c>
      <c r="ES2" t="s">
        <v>58</v>
      </c>
      <c r="ET2" s="20" t="s">
        <v>113</v>
      </c>
      <c r="EU2" t="s">
        <v>114</v>
      </c>
      <c r="EV2" t="s">
        <v>115</v>
      </c>
      <c r="EW2" t="s">
        <v>59</v>
      </c>
      <c r="EX2" t="s">
        <v>60</v>
      </c>
      <c r="EY2" t="s">
        <v>61</v>
      </c>
      <c r="EZ2" t="s">
        <v>62</v>
      </c>
      <c r="FA2" t="s">
        <v>2125</v>
      </c>
      <c r="FB2" t="s">
        <v>2126</v>
      </c>
      <c r="FC2" t="s">
        <v>2127</v>
      </c>
      <c r="FD2" t="s">
        <v>2128</v>
      </c>
      <c r="FE2" t="s">
        <v>2129</v>
      </c>
      <c r="FF2" t="s">
        <v>2130</v>
      </c>
      <c r="FG2" t="s">
        <v>2131</v>
      </c>
      <c r="FH2" t="s">
        <v>63</v>
      </c>
      <c r="FI2" t="s">
        <v>2132</v>
      </c>
      <c r="FJ2" t="s">
        <v>2133</v>
      </c>
      <c r="FK2" t="s">
        <v>2134</v>
      </c>
      <c r="FL2" t="s">
        <v>2135</v>
      </c>
      <c r="FM2" t="s">
        <v>2136</v>
      </c>
      <c r="FN2" t="s">
        <v>2137</v>
      </c>
      <c r="FO2" t="s">
        <v>64</v>
      </c>
      <c r="FP2" s="1" t="s">
        <v>65</v>
      </c>
      <c r="FQ2" t="s">
        <v>66</v>
      </c>
      <c r="FR2" t="s">
        <v>67</v>
      </c>
      <c r="FS2" t="s">
        <v>2138</v>
      </c>
      <c r="FT2" t="s">
        <v>68</v>
      </c>
      <c r="FU2" s="20" t="s">
        <v>116</v>
      </c>
      <c r="FV2" t="s">
        <v>2139</v>
      </c>
      <c r="FW2" t="s">
        <v>2140</v>
      </c>
      <c r="FX2" t="s">
        <v>2141</v>
      </c>
      <c r="FY2" t="s">
        <v>2142</v>
      </c>
      <c r="FZ2" t="s">
        <v>2143</v>
      </c>
      <c r="GA2" t="s">
        <v>2144</v>
      </c>
      <c r="GB2" t="s">
        <v>2145</v>
      </c>
      <c r="GC2" t="s">
        <v>69</v>
      </c>
      <c r="GD2" t="s">
        <v>70</v>
      </c>
      <c r="GE2" t="s">
        <v>2146</v>
      </c>
      <c r="GF2" t="s">
        <v>2147</v>
      </c>
      <c r="GG2" t="s">
        <v>2148</v>
      </c>
      <c r="GH2" t="s">
        <v>2149</v>
      </c>
      <c r="GI2" t="s">
        <v>2150</v>
      </c>
      <c r="GJ2" t="s">
        <v>2151</v>
      </c>
      <c r="GK2" t="s">
        <v>2152</v>
      </c>
      <c r="GL2" t="s">
        <v>2153</v>
      </c>
      <c r="GM2" t="s">
        <v>71</v>
      </c>
      <c r="GN2" t="s">
        <v>72</v>
      </c>
      <c r="GO2" t="s">
        <v>2154</v>
      </c>
      <c r="GP2" t="s">
        <v>2155</v>
      </c>
      <c r="GQ2" t="s">
        <v>2156</v>
      </c>
      <c r="GR2" t="s">
        <v>2157</v>
      </c>
      <c r="GS2" t="s">
        <v>2158</v>
      </c>
      <c r="GT2" t="s">
        <v>2159</v>
      </c>
      <c r="GU2" t="s">
        <v>2160</v>
      </c>
      <c r="GV2" t="s">
        <v>2161</v>
      </c>
      <c r="GW2" t="s">
        <v>2162</v>
      </c>
      <c r="GX2" t="s">
        <v>73</v>
      </c>
      <c r="GY2" t="s">
        <v>2163</v>
      </c>
      <c r="GZ2" t="s">
        <v>2164</v>
      </c>
      <c r="HA2" t="s">
        <v>74</v>
      </c>
      <c r="HB2" t="s">
        <v>75</v>
      </c>
      <c r="HC2" s="20" t="s">
        <v>2320</v>
      </c>
      <c r="HD2" t="s">
        <v>76</v>
      </c>
      <c r="HE2" t="s">
        <v>2165</v>
      </c>
      <c r="HF2" t="s">
        <v>77</v>
      </c>
      <c r="HG2" t="s">
        <v>78</v>
      </c>
      <c r="HH2" t="s">
        <v>79</v>
      </c>
    </row>
    <row r="3" spans="1:216" x14ac:dyDescent="0.45">
      <c r="A3">
        <v>96</v>
      </c>
      <c r="B3">
        <f>_xlfn.IFNA(VLOOKUP(AnalizaCzyste[[#This Row],[Zakończono wypełnianie]],Zakończone[],2,0),"BRAK")</f>
        <v>59</v>
      </c>
      <c r="C3">
        <f t="shared" ref="C3:C34" si="0">COUNTA(O3:HH3)</f>
        <v>38</v>
      </c>
      <c r="D3" t="s">
        <v>370</v>
      </c>
      <c r="E3" t="s">
        <v>118</v>
      </c>
      <c r="F3" t="s">
        <v>774</v>
      </c>
      <c r="J3" t="s">
        <v>119</v>
      </c>
      <c r="K3" t="s">
        <v>967</v>
      </c>
      <c r="L3" t="s">
        <v>968</v>
      </c>
      <c r="M3">
        <v>5160</v>
      </c>
      <c r="N3">
        <v>0</v>
      </c>
      <c r="O3" t="s">
        <v>122</v>
      </c>
      <c r="P3" s="1" t="s">
        <v>123</v>
      </c>
      <c r="AF3" s="1" t="s">
        <v>124</v>
      </c>
      <c r="AG3" t="s">
        <v>191</v>
      </c>
      <c r="AH3" t="str">
        <f>VLOOKUP(AnalizaCzyste[[#This Row],[Jak się nazywa uczelnia którą ukończyłeś? (proszę o wybranie jednej uczelni podlegającej ocenie)]],KategorieUczelni[],2,0)</f>
        <v>Publiczna</v>
      </c>
      <c r="AI3">
        <v>2000</v>
      </c>
      <c r="AJ3" t="s">
        <v>148</v>
      </c>
      <c r="AK3" t="s">
        <v>969</v>
      </c>
      <c r="AL3" t="s">
        <v>151</v>
      </c>
      <c r="AM3" t="s">
        <v>151</v>
      </c>
      <c r="AN3" t="s">
        <v>162</v>
      </c>
      <c r="AO3" t="s">
        <v>162</v>
      </c>
      <c r="AP3" t="s">
        <v>150</v>
      </c>
      <c r="AQ3">
        <v>0</v>
      </c>
      <c r="AR3" t="s">
        <v>153</v>
      </c>
      <c r="AS3" t="s">
        <v>226</v>
      </c>
      <c r="AT3" t="s">
        <v>802</v>
      </c>
      <c r="AU3" t="s">
        <v>824</v>
      </c>
      <c r="AV3" t="s">
        <v>780</v>
      </c>
      <c r="AW3" t="s">
        <v>230</v>
      </c>
      <c r="AX3" t="s">
        <v>970</v>
      </c>
      <c r="AY3" s="1" t="s">
        <v>123</v>
      </c>
      <c r="CS3" s="1" t="s">
        <v>123</v>
      </c>
      <c r="DC3" s="1" t="s">
        <v>123</v>
      </c>
      <c r="DM3" s="1" t="s">
        <v>123</v>
      </c>
      <c r="EP3" s="1" t="s">
        <v>123</v>
      </c>
      <c r="FP3" s="1" t="s">
        <v>123</v>
      </c>
      <c r="FQ3" t="s">
        <v>132</v>
      </c>
      <c r="FS3" t="s">
        <v>132</v>
      </c>
      <c r="GX3" t="s">
        <v>786</v>
      </c>
      <c r="GY3" t="s">
        <v>787</v>
      </c>
      <c r="GZ3" t="s">
        <v>807</v>
      </c>
      <c r="HA3" t="s">
        <v>186</v>
      </c>
      <c r="HB3">
        <v>1968</v>
      </c>
      <c r="HC3" t="str">
        <f>VLOOKUP(AnalizaCzyste[[#This Row],[Rok urodzenia]],KategorieWiekowe[],2,1)</f>
        <v>46-55 lat</v>
      </c>
      <c r="HD3" t="s">
        <v>398</v>
      </c>
      <c r="HE3" t="s">
        <v>971</v>
      </c>
      <c r="HF3" t="s">
        <v>972</v>
      </c>
    </row>
    <row r="4" spans="1:216" x14ac:dyDescent="0.45">
      <c r="A4">
        <v>89</v>
      </c>
      <c r="B4">
        <f>_xlfn.IFNA(VLOOKUP(AnalizaCzyste[[#This Row],[Zakończono wypełnianie]],Zakończone[],2,0),"BRAK")</f>
        <v>54</v>
      </c>
      <c r="C4">
        <f t="shared" si="0"/>
        <v>37</v>
      </c>
      <c r="D4" t="s">
        <v>902</v>
      </c>
      <c r="E4" t="s">
        <v>118</v>
      </c>
      <c r="J4" t="s">
        <v>119</v>
      </c>
      <c r="K4" t="s">
        <v>903</v>
      </c>
      <c r="L4" t="s">
        <v>904</v>
      </c>
      <c r="M4">
        <v>255</v>
      </c>
      <c r="N4">
        <v>0</v>
      </c>
      <c r="O4" t="s">
        <v>122</v>
      </c>
      <c r="P4" s="1" t="s">
        <v>123</v>
      </c>
      <c r="AF4" s="1" t="s">
        <v>124</v>
      </c>
      <c r="AG4" t="s">
        <v>191</v>
      </c>
      <c r="AH4" t="str">
        <f>VLOOKUP(AnalizaCzyste[[#This Row],[Jak się nazywa uczelnia którą ukończyłeś? (proszę o wybranie jednej uczelni podlegającej ocenie)]],KategorieUczelni[],2,0)</f>
        <v>Publiczna</v>
      </c>
      <c r="AI4">
        <v>2009</v>
      </c>
      <c r="AJ4" t="s">
        <v>126</v>
      </c>
      <c r="AK4" t="s">
        <v>906</v>
      </c>
      <c r="AL4" t="s">
        <v>151</v>
      </c>
      <c r="AM4" t="s">
        <v>151</v>
      </c>
      <c r="AN4" t="s">
        <v>150</v>
      </c>
      <c r="AO4" t="s">
        <v>128</v>
      </c>
      <c r="AP4" t="s">
        <v>162</v>
      </c>
      <c r="AQ4" t="s">
        <v>907</v>
      </c>
      <c r="AR4" t="s">
        <v>131</v>
      </c>
      <c r="AS4" t="s">
        <v>759</v>
      </c>
      <c r="AT4" t="s">
        <v>908</v>
      </c>
      <c r="AU4" t="s">
        <v>908</v>
      </c>
      <c r="AV4" t="s">
        <v>909</v>
      </c>
      <c r="AW4" t="s">
        <v>172</v>
      </c>
      <c r="AY4" s="1" t="s">
        <v>123</v>
      </c>
      <c r="CS4" s="1" t="s">
        <v>123</v>
      </c>
      <c r="DC4" s="1" t="s">
        <v>123</v>
      </c>
      <c r="DM4" s="1" t="s">
        <v>123</v>
      </c>
      <c r="EP4" s="1" t="s">
        <v>123</v>
      </c>
      <c r="EQ4" t="s">
        <v>180</v>
      </c>
      <c r="ER4" t="s">
        <v>132</v>
      </c>
      <c r="FP4" s="1" t="s">
        <v>123</v>
      </c>
      <c r="FQ4" t="s">
        <v>132</v>
      </c>
      <c r="FS4" t="s">
        <v>132</v>
      </c>
      <c r="GX4" t="s">
        <v>910</v>
      </c>
      <c r="GY4" t="s">
        <v>911</v>
      </c>
      <c r="GZ4" t="s">
        <v>912</v>
      </c>
      <c r="HA4" t="s">
        <v>186</v>
      </c>
      <c r="HB4">
        <v>1983</v>
      </c>
      <c r="HC4" t="str">
        <f>VLOOKUP(AnalizaCzyste[[#This Row],[Rok urodzenia]],KategorieWiekowe[],2,1)</f>
        <v>36-45 lat</v>
      </c>
      <c r="HD4" t="s">
        <v>141</v>
      </c>
    </row>
    <row r="5" spans="1:216" x14ac:dyDescent="0.45">
      <c r="A5">
        <v>126</v>
      </c>
      <c r="B5">
        <f>_xlfn.IFNA(VLOOKUP(AnalizaCzyste[[#This Row],[Zakończono wypełnianie]],Zakończone[],2,0),"BRAK")</f>
        <v>75</v>
      </c>
      <c r="C5">
        <f t="shared" si="0"/>
        <v>33</v>
      </c>
      <c r="D5" t="s">
        <v>1151</v>
      </c>
      <c r="E5" t="s">
        <v>118</v>
      </c>
      <c r="F5" t="s">
        <v>359</v>
      </c>
      <c r="J5" t="s">
        <v>119</v>
      </c>
      <c r="K5" t="s">
        <v>1184</v>
      </c>
      <c r="L5" t="s">
        <v>1185</v>
      </c>
      <c r="M5">
        <v>739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 t="str">
        <f>VLOOKUP(AnalizaCzyste[[#This Row],[Jak się nazywa uczelnia którą ukończyłeś? (proszę o wybranie jednej uczelni podlegającej ocenie)]],KategorieUczelni[],2,0)</f>
        <v>Publiczna</v>
      </c>
      <c r="AI5">
        <v>2018</v>
      </c>
      <c r="AJ5" t="s">
        <v>126</v>
      </c>
      <c r="AK5" t="s">
        <v>1186</v>
      </c>
      <c r="AL5" t="s">
        <v>151</v>
      </c>
      <c r="AM5" t="s">
        <v>162</v>
      </c>
      <c r="AN5" t="s">
        <v>169</v>
      </c>
      <c r="AO5" t="s">
        <v>150</v>
      </c>
      <c r="AP5" t="s">
        <v>132</v>
      </c>
      <c r="AQ5" t="s">
        <v>959</v>
      </c>
      <c r="AR5" t="s">
        <v>302</v>
      </c>
      <c r="AS5" t="s">
        <v>226</v>
      </c>
      <c r="AT5" t="s">
        <v>1187</v>
      </c>
      <c r="AU5" t="s">
        <v>1188</v>
      </c>
      <c r="AV5" t="s">
        <v>1189</v>
      </c>
      <c r="AW5" t="s">
        <v>172</v>
      </c>
      <c r="AY5" s="1" t="s">
        <v>123</v>
      </c>
      <c r="CS5" s="1" t="s">
        <v>123</v>
      </c>
      <c r="DC5" s="1" t="s">
        <v>123</v>
      </c>
      <c r="DM5" s="1" t="s">
        <v>123</v>
      </c>
      <c r="EP5" s="1" t="s">
        <v>123</v>
      </c>
      <c r="FP5" s="1" t="s">
        <v>123</v>
      </c>
      <c r="GX5" t="s">
        <v>276</v>
      </c>
      <c r="GY5" t="s">
        <v>1190</v>
      </c>
      <c r="GZ5" t="s">
        <v>1191</v>
      </c>
      <c r="HA5" t="s">
        <v>186</v>
      </c>
      <c r="HB5">
        <v>1991</v>
      </c>
      <c r="HC5" t="str">
        <f>VLOOKUP(AnalizaCzyste[[#This Row],[Rok urodzenia]],KategorieWiekowe[],2,1)</f>
        <v>26-35 lat</v>
      </c>
      <c r="HD5" t="s">
        <v>141</v>
      </c>
    </row>
    <row r="6" spans="1:216" x14ac:dyDescent="0.45">
      <c r="A6">
        <v>114</v>
      </c>
      <c r="B6">
        <f>_xlfn.IFNA(VLOOKUP(AnalizaCzyste[[#This Row],[Zakończono wypełnianie]],Zakończone[],2,0),"BRAK")</f>
        <v>68</v>
      </c>
      <c r="C6">
        <f t="shared" si="0"/>
        <v>43</v>
      </c>
      <c r="D6" t="s">
        <v>1077</v>
      </c>
      <c r="E6" t="s">
        <v>118</v>
      </c>
      <c r="J6" t="s">
        <v>119</v>
      </c>
      <c r="K6" t="s">
        <v>1078</v>
      </c>
      <c r="L6" t="s">
        <v>1079</v>
      </c>
      <c r="M6">
        <v>862</v>
      </c>
      <c r="N6">
        <v>0</v>
      </c>
      <c r="O6" t="s">
        <v>122</v>
      </c>
      <c r="P6" s="1" t="s">
        <v>123</v>
      </c>
      <c r="AF6" s="1" t="s">
        <v>124</v>
      </c>
      <c r="AG6" t="s">
        <v>223</v>
      </c>
      <c r="AH6" t="str">
        <f>VLOOKUP(AnalizaCzyste[[#This Row],[Jak się nazywa uczelnia którą ukończyłeś? (proszę o wybranie jednej uczelni podlegającej ocenie)]],KategorieUczelni[],2,0)</f>
        <v>Publiczna</v>
      </c>
      <c r="AI6">
        <v>2007</v>
      </c>
      <c r="AJ6" t="s">
        <v>148</v>
      </c>
      <c r="AK6" t="s">
        <v>969</v>
      </c>
      <c r="AL6" t="s">
        <v>151</v>
      </c>
      <c r="AM6" t="s">
        <v>151</v>
      </c>
      <c r="AN6" t="s">
        <v>150</v>
      </c>
      <c r="AO6" t="s">
        <v>162</v>
      </c>
      <c r="AP6" t="s">
        <v>150</v>
      </c>
      <c r="AQ6" t="s">
        <v>237</v>
      </c>
      <c r="AR6" t="s">
        <v>131</v>
      </c>
      <c r="AS6" t="s">
        <v>302</v>
      </c>
      <c r="AU6" t="s">
        <v>1080</v>
      </c>
      <c r="AV6" t="s">
        <v>1081</v>
      </c>
      <c r="AW6" t="s">
        <v>230</v>
      </c>
      <c r="AY6" s="1" t="s">
        <v>123</v>
      </c>
      <c r="CS6" s="1" t="s">
        <v>123</v>
      </c>
      <c r="DC6" s="1" t="s">
        <v>123</v>
      </c>
      <c r="DM6" s="1" t="s">
        <v>123</v>
      </c>
      <c r="EP6" s="1" t="s">
        <v>123</v>
      </c>
      <c r="EQ6" t="s">
        <v>178</v>
      </c>
      <c r="ER6" t="s">
        <v>132</v>
      </c>
      <c r="ES6" t="s">
        <v>1082</v>
      </c>
      <c r="ET6" t="s">
        <v>151</v>
      </c>
      <c r="EU6" t="s">
        <v>151</v>
      </c>
      <c r="EV6" t="s">
        <v>151</v>
      </c>
      <c r="EW6" t="s">
        <v>178</v>
      </c>
      <c r="EY6" t="s">
        <v>1083</v>
      </c>
      <c r="EZ6" t="s">
        <v>173</v>
      </c>
      <c r="FP6" s="1" t="s">
        <v>123</v>
      </c>
      <c r="FQ6" t="s">
        <v>132</v>
      </c>
      <c r="FS6" t="s">
        <v>132</v>
      </c>
      <c r="GX6" t="s">
        <v>1084</v>
      </c>
      <c r="GY6" t="s">
        <v>1085</v>
      </c>
      <c r="GZ6" t="s">
        <v>1086</v>
      </c>
      <c r="HA6" t="s">
        <v>140</v>
      </c>
      <c r="HB6">
        <v>1982</v>
      </c>
      <c r="HC6" t="str">
        <f>VLOOKUP(AnalizaCzyste[[#This Row],[Rok urodzenia]],KategorieWiekowe[],2,1)</f>
        <v>36-45 lat</v>
      </c>
      <c r="HD6" t="s">
        <v>141</v>
      </c>
    </row>
    <row r="7" spans="1:216" x14ac:dyDescent="0.45">
      <c r="A7">
        <v>17</v>
      </c>
      <c r="B7">
        <f>_xlfn.IFNA(VLOOKUP(AnalizaCzyste[[#This Row],[Zakończono wypełnianie]],Zakończone[],2,0),"BRAK")</f>
        <v>16</v>
      </c>
      <c r="C7">
        <f t="shared" si="0"/>
        <v>35</v>
      </c>
      <c r="D7" t="s">
        <v>358</v>
      </c>
      <c r="E7" t="s">
        <v>118</v>
      </c>
      <c r="F7" t="s">
        <v>359</v>
      </c>
      <c r="J7" t="s">
        <v>119</v>
      </c>
      <c r="K7" t="s">
        <v>360</v>
      </c>
      <c r="L7" t="s">
        <v>361</v>
      </c>
      <c r="M7">
        <v>1534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 t="str">
        <f>VLOOKUP(AnalizaCzyste[[#This Row],[Jak się nazywa uczelnia którą ukończyłeś? (proszę o wybranie jednej uczelni podlegającej ocenie)]],KategorieUczelni[],2,0)</f>
        <v>Publiczna</v>
      </c>
      <c r="AI7">
        <v>2011</v>
      </c>
      <c r="AJ7" t="s">
        <v>148</v>
      </c>
      <c r="AK7" t="s">
        <v>362</v>
      </c>
      <c r="AL7" t="s">
        <v>151</v>
      </c>
      <c r="AM7" t="s">
        <v>236</v>
      </c>
      <c r="AN7" t="s">
        <v>129</v>
      </c>
      <c r="AO7" t="s">
        <v>129</v>
      </c>
      <c r="AP7" t="s">
        <v>129</v>
      </c>
      <c r="AQ7">
        <v>4</v>
      </c>
      <c r="AR7" t="s">
        <v>131</v>
      </c>
      <c r="AS7" t="s">
        <v>131</v>
      </c>
      <c r="AT7" t="s">
        <v>363</v>
      </c>
      <c r="AU7" t="s">
        <v>364</v>
      </c>
      <c r="AV7" t="s">
        <v>365</v>
      </c>
      <c r="AW7" t="s">
        <v>157</v>
      </c>
      <c r="AY7" s="1" t="s">
        <v>123</v>
      </c>
      <c r="CS7" s="1" t="s">
        <v>123</v>
      </c>
      <c r="DC7" s="1" t="s">
        <v>123</v>
      </c>
      <c r="DM7" s="1" t="s">
        <v>123</v>
      </c>
      <c r="EP7" s="1" t="s">
        <v>123</v>
      </c>
      <c r="FP7" s="1" t="s">
        <v>123</v>
      </c>
      <c r="FQ7" t="s">
        <v>132</v>
      </c>
      <c r="GX7" t="s">
        <v>366</v>
      </c>
      <c r="GY7" t="s">
        <v>367</v>
      </c>
      <c r="GZ7" t="s">
        <v>368</v>
      </c>
      <c r="HA7" t="s">
        <v>140</v>
      </c>
      <c r="HB7">
        <v>1987</v>
      </c>
      <c r="HC7" t="str">
        <f>VLOOKUP(AnalizaCzyste[[#This Row],[Rok urodzenia]],KategorieWiekowe[],2,1)</f>
        <v>26-35 lat</v>
      </c>
      <c r="HD7" t="s">
        <v>141</v>
      </c>
      <c r="HF7" t="s">
        <v>369</v>
      </c>
    </row>
    <row r="8" spans="1:216" x14ac:dyDescent="0.45">
      <c r="A8">
        <v>77</v>
      </c>
      <c r="B8">
        <f>_xlfn.IFNA(VLOOKUP(AnalizaCzyste[[#This Row],[Zakończono wypełnianie]],Zakończone[],2,0),"BRAK")</f>
        <v>43</v>
      </c>
      <c r="C8">
        <f t="shared" si="0"/>
        <v>35</v>
      </c>
      <c r="D8" t="s">
        <v>773</v>
      </c>
      <c r="E8" t="s">
        <v>118</v>
      </c>
      <c r="F8" t="s">
        <v>774</v>
      </c>
      <c r="J8" t="s">
        <v>119</v>
      </c>
      <c r="K8" t="s">
        <v>791</v>
      </c>
      <c r="L8" t="s">
        <v>792</v>
      </c>
      <c r="M8">
        <v>333</v>
      </c>
      <c r="N8">
        <v>0</v>
      </c>
      <c r="O8" t="s">
        <v>122</v>
      </c>
      <c r="P8" s="1" t="s">
        <v>123</v>
      </c>
      <c r="AF8" s="1" t="s">
        <v>124</v>
      </c>
      <c r="AG8" t="s">
        <v>223</v>
      </c>
      <c r="AH8" t="str">
        <f>VLOOKUP(AnalizaCzyste[[#This Row],[Jak się nazywa uczelnia którą ukończyłeś? (proszę o wybranie jednej uczelni podlegającej ocenie)]],KategorieUczelni[],2,0)</f>
        <v>Publiczna</v>
      </c>
      <c r="AI8">
        <v>2012</v>
      </c>
      <c r="AJ8" t="s">
        <v>148</v>
      </c>
      <c r="AK8" t="s">
        <v>793</v>
      </c>
      <c r="AL8" t="s">
        <v>151</v>
      </c>
      <c r="AM8" t="s">
        <v>151</v>
      </c>
      <c r="AN8" t="s">
        <v>129</v>
      </c>
      <c r="AO8" t="s">
        <v>129</v>
      </c>
      <c r="AP8" t="s">
        <v>128</v>
      </c>
      <c r="AQ8">
        <v>3</v>
      </c>
      <c r="AR8" t="s">
        <v>131</v>
      </c>
      <c r="AS8" t="s">
        <v>302</v>
      </c>
      <c r="AT8" t="s">
        <v>386</v>
      </c>
      <c r="AU8" t="s">
        <v>794</v>
      </c>
      <c r="AV8" t="s">
        <v>780</v>
      </c>
      <c r="AW8" t="s">
        <v>157</v>
      </c>
      <c r="AY8" s="1" t="s">
        <v>123</v>
      </c>
      <c r="CS8" s="1" t="s">
        <v>123</v>
      </c>
      <c r="DC8" s="1" t="s">
        <v>123</v>
      </c>
      <c r="DM8" s="1" t="s">
        <v>123</v>
      </c>
      <c r="EP8" s="1" t="s">
        <v>123</v>
      </c>
      <c r="FP8" s="1" t="s">
        <v>123</v>
      </c>
      <c r="FQ8" t="s">
        <v>132</v>
      </c>
      <c r="GX8" t="s">
        <v>786</v>
      </c>
      <c r="GY8" t="s">
        <v>787</v>
      </c>
      <c r="GZ8" t="s">
        <v>788</v>
      </c>
      <c r="HA8" t="s">
        <v>186</v>
      </c>
      <c r="HB8">
        <v>1987</v>
      </c>
      <c r="HC8" t="str">
        <f>VLOOKUP(AnalizaCzyste[[#This Row],[Rok urodzenia]],KategorieWiekowe[],2,1)</f>
        <v>26-35 lat</v>
      </c>
      <c r="HD8" t="s">
        <v>141</v>
      </c>
      <c r="HF8" t="s">
        <v>795</v>
      </c>
    </row>
    <row r="9" spans="1:216" x14ac:dyDescent="0.45">
      <c r="A9">
        <v>171</v>
      </c>
      <c r="B9">
        <f>_xlfn.IFNA(VLOOKUP(AnalizaCzyste[[#This Row],[Zakończono wypełnianie]],Zakończone[],2,0),"BRAK")</f>
        <v>98</v>
      </c>
      <c r="C9">
        <f t="shared" si="0"/>
        <v>32</v>
      </c>
      <c r="D9" t="s">
        <v>1336</v>
      </c>
      <c r="E9" t="s">
        <v>118</v>
      </c>
      <c r="J9" t="s">
        <v>119</v>
      </c>
      <c r="K9" t="s">
        <v>1481</v>
      </c>
      <c r="L9" t="s">
        <v>1482</v>
      </c>
      <c r="M9">
        <v>562</v>
      </c>
      <c r="N9">
        <v>0</v>
      </c>
      <c r="O9" t="s">
        <v>122</v>
      </c>
      <c r="P9" s="1" t="s">
        <v>123</v>
      </c>
      <c r="AF9" s="1" t="s">
        <v>124</v>
      </c>
      <c r="AG9" t="s">
        <v>223</v>
      </c>
      <c r="AH9" t="str">
        <f>VLOOKUP(AnalizaCzyste[[#This Row],[Jak się nazywa uczelnia którą ukończyłeś? (proszę o wybranie jednej uczelni podlegającej ocenie)]],KategorieUczelni[],2,0)</f>
        <v>Publiczna</v>
      </c>
      <c r="AI9">
        <v>2014</v>
      </c>
      <c r="AJ9" t="s">
        <v>148</v>
      </c>
      <c r="AK9" t="s">
        <v>1483</v>
      </c>
      <c r="AL9" t="s">
        <v>151</v>
      </c>
      <c r="AM9" t="s">
        <v>128</v>
      </c>
      <c r="AN9" t="s">
        <v>128</v>
      </c>
      <c r="AO9" t="s">
        <v>151</v>
      </c>
      <c r="AP9" t="s">
        <v>162</v>
      </c>
      <c r="AQ9" t="s">
        <v>1484</v>
      </c>
      <c r="AR9" t="s">
        <v>153</v>
      </c>
      <c r="AS9" t="s">
        <v>153</v>
      </c>
      <c r="AU9" t="s">
        <v>1485</v>
      </c>
      <c r="AV9" t="s">
        <v>1486</v>
      </c>
      <c r="AW9" t="s">
        <v>172</v>
      </c>
      <c r="AY9" s="1" t="s">
        <v>123</v>
      </c>
      <c r="CS9" s="1" t="s">
        <v>123</v>
      </c>
      <c r="DC9" s="1" t="s">
        <v>123</v>
      </c>
      <c r="DM9" s="1" t="s">
        <v>123</v>
      </c>
      <c r="EP9" s="1" t="s">
        <v>123</v>
      </c>
      <c r="FP9" s="1" t="s">
        <v>123</v>
      </c>
      <c r="GX9" t="s">
        <v>1487</v>
      </c>
      <c r="GY9" t="s">
        <v>1488</v>
      </c>
      <c r="GZ9" t="s">
        <v>1489</v>
      </c>
      <c r="HA9" t="s">
        <v>140</v>
      </c>
      <c r="HB9">
        <v>1991</v>
      </c>
      <c r="HC9" t="str">
        <f>VLOOKUP(AnalizaCzyste[[#This Row],[Rok urodzenia]],KategorieWiekowe[],2,1)</f>
        <v>26-35 lat</v>
      </c>
      <c r="HD9" t="s">
        <v>141</v>
      </c>
    </row>
    <row r="10" spans="1:216" x14ac:dyDescent="0.45">
      <c r="A10">
        <v>22</v>
      </c>
      <c r="B10">
        <f>_xlfn.IFNA(VLOOKUP(AnalizaCzyste[[#This Row],[Zakończono wypełnianie]],Zakończone[],2,0),"BRAK")</f>
        <v>19</v>
      </c>
      <c r="C10">
        <f t="shared" si="0"/>
        <v>38</v>
      </c>
      <c r="D10" t="s">
        <v>399</v>
      </c>
      <c r="E10" t="s">
        <v>118</v>
      </c>
      <c r="F10" t="s">
        <v>400</v>
      </c>
      <c r="J10" t="s">
        <v>119</v>
      </c>
      <c r="K10" t="s">
        <v>401</v>
      </c>
      <c r="L10" t="s">
        <v>402</v>
      </c>
      <c r="M10">
        <v>1075</v>
      </c>
      <c r="N10">
        <v>0</v>
      </c>
      <c r="O10" t="s">
        <v>122</v>
      </c>
      <c r="P10" s="1" t="s">
        <v>123</v>
      </c>
      <c r="AF10" s="1" t="s">
        <v>124</v>
      </c>
      <c r="AG10" t="s">
        <v>2272</v>
      </c>
      <c r="AH10" t="str">
        <f>VLOOKUP(AnalizaCzyste[[#This Row],[Jak się nazywa uczelnia którą ukończyłeś? (proszę o wybranie jednej uczelni podlegającej ocenie)]],KategorieUczelni[],2,0)</f>
        <v>Publiczna</v>
      </c>
      <c r="AI10">
        <v>2010</v>
      </c>
      <c r="AJ10" t="s">
        <v>148</v>
      </c>
      <c r="AK10" t="s">
        <v>404</v>
      </c>
      <c r="AL10" t="s">
        <v>151</v>
      </c>
      <c r="AM10" t="s">
        <v>150</v>
      </c>
      <c r="AN10" t="s">
        <v>162</v>
      </c>
      <c r="AO10" t="s">
        <v>150</v>
      </c>
      <c r="AP10" t="s">
        <v>150</v>
      </c>
      <c r="AQ10" t="s">
        <v>405</v>
      </c>
      <c r="AR10" t="s">
        <v>131</v>
      </c>
      <c r="AS10" t="s">
        <v>302</v>
      </c>
      <c r="AT10" t="s">
        <v>406</v>
      </c>
      <c r="AU10" t="s">
        <v>407</v>
      </c>
      <c r="AV10" t="s">
        <v>408</v>
      </c>
      <c r="AW10" t="s">
        <v>230</v>
      </c>
      <c r="AY10" s="1" t="s">
        <v>123</v>
      </c>
      <c r="CS10" s="1" t="s">
        <v>123</v>
      </c>
      <c r="DC10" s="1" t="s">
        <v>123</v>
      </c>
      <c r="DM10" s="1" t="s">
        <v>123</v>
      </c>
      <c r="EP10" s="1" t="s">
        <v>123</v>
      </c>
      <c r="EQ10" t="s">
        <v>180</v>
      </c>
      <c r="ER10" t="s">
        <v>132</v>
      </c>
      <c r="FP10" s="1" t="s">
        <v>123</v>
      </c>
      <c r="FQ10" t="s">
        <v>132</v>
      </c>
      <c r="FS10" t="s">
        <v>132</v>
      </c>
      <c r="GX10" t="s">
        <v>409</v>
      </c>
      <c r="GY10" t="s">
        <v>410</v>
      </c>
      <c r="GZ10" t="s">
        <v>411</v>
      </c>
      <c r="HA10" t="s">
        <v>140</v>
      </c>
      <c r="HB10">
        <v>1985</v>
      </c>
      <c r="HC10" t="str">
        <f>VLOOKUP(AnalizaCzyste[[#This Row],[Rok urodzenia]],KategorieWiekowe[],2,1)</f>
        <v>26-35 lat</v>
      </c>
      <c r="HD10" t="s">
        <v>398</v>
      </c>
      <c r="HF10" t="s">
        <v>412</v>
      </c>
    </row>
    <row r="11" spans="1:216" x14ac:dyDescent="0.45">
      <c r="A11">
        <v>259</v>
      </c>
      <c r="B11">
        <f>_xlfn.IFNA(VLOOKUP(AnalizaCzyste[[#This Row],[Zakończono wypełnianie]],Zakończone[],2,0),"BRAK")</f>
        <v>136</v>
      </c>
      <c r="C11">
        <f t="shared" si="0"/>
        <v>74</v>
      </c>
      <c r="D11" t="s">
        <v>2014</v>
      </c>
      <c r="E11" t="s">
        <v>118</v>
      </c>
      <c r="J11" t="s">
        <v>119</v>
      </c>
      <c r="K11" t="s">
        <v>2034</v>
      </c>
      <c r="L11" t="s">
        <v>2035</v>
      </c>
      <c r="M11">
        <v>1151</v>
      </c>
      <c r="N11">
        <v>0</v>
      </c>
      <c r="O11" t="s">
        <v>122</v>
      </c>
      <c r="P11" s="1" t="s">
        <v>123</v>
      </c>
      <c r="AF11" s="1" t="s">
        <v>124</v>
      </c>
      <c r="AG11" t="s">
        <v>223</v>
      </c>
      <c r="AH11" t="str">
        <f>VLOOKUP(AnalizaCzyste[[#This Row],[Jak się nazywa uczelnia którą ukończyłeś? (proszę o wybranie jednej uczelni podlegającej ocenie)]],KategorieUczelni[],2,0)</f>
        <v>Publiczna</v>
      </c>
      <c r="AI11">
        <v>1987</v>
      </c>
      <c r="AJ11" t="s">
        <v>148</v>
      </c>
      <c r="AK11" t="s">
        <v>554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2036</v>
      </c>
      <c r="AR11" t="s">
        <v>132</v>
      </c>
      <c r="AS11" t="s">
        <v>132</v>
      </c>
      <c r="AU11" t="s">
        <v>1229</v>
      </c>
      <c r="AV11" t="s">
        <v>1229</v>
      </c>
      <c r="AW11" t="s">
        <v>157</v>
      </c>
      <c r="AX11" t="s">
        <v>2037</v>
      </c>
      <c r="AY11" s="1" t="s">
        <v>159</v>
      </c>
      <c r="AZ11">
        <v>3</v>
      </c>
      <c r="BA11" t="s">
        <v>191</v>
      </c>
      <c r="BB11">
        <v>2020</v>
      </c>
      <c r="BC11" t="s">
        <v>126</v>
      </c>
      <c r="BD11" t="s">
        <v>2038</v>
      </c>
      <c r="BE11" t="s">
        <v>150</v>
      </c>
      <c r="BF11" t="s">
        <v>162</v>
      </c>
      <c r="BG11" t="s">
        <v>169</v>
      </c>
      <c r="BH11" t="s">
        <v>150</v>
      </c>
      <c r="BI11" t="s">
        <v>132</v>
      </c>
      <c r="BJ11" t="s">
        <v>2039</v>
      </c>
      <c r="BK11" t="s">
        <v>2040</v>
      </c>
      <c r="BL11" t="s">
        <v>157</v>
      </c>
      <c r="BO11" t="s">
        <v>166</v>
      </c>
      <c r="BP11" t="s">
        <v>191</v>
      </c>
      <c r="BQ11">
        <v>2013</v>
      </c>
      <c r="BR11" t="s">
        <v>126</v>
      </c>
      <c r="BS11" t="s">
        <v>1867</v>
      </c>
      <c r="BT11" t="s">
        <v>162</v>
      </c>
      <c r="BU11" t="s">
        <v>150</v>
      </c>
      <c r="BV11" t="s">
        <v>162</v>
      </c>
      <c r="BW11" t="s">
        <v>162</v>
      </c>
      <c r="BX11" t="s">
        <v>162</v>
      </c>
      <c r="BY11" t="s">
        <v>237</v>
      </c>
      <c r="CA11" t="s">
        <v>157</v>
      </c>
      <c r="CC11" t="s">
        <v>2041</v>
      </c>
      <c r="CD11" t="s">
        <v>238</v>
      </c>
      <c r="CE11" t="s">
        <v>191</v>
      </c>
      <c r="CF11">
        <v>2016</v>
      </c>
      <c r="CG11" t="s">
        <v>126</v>
      </c>
      <c r="CH11" t="s">
        <v>2042</v>
      </c>
      <c r="CI11" t="s">
        <v>151</v>
      </c>
      <c r="CJ11" t="s">
        <v>162</v>
      </c>
      <c r="CK11" t="s">
        <v>150</v>
      </c>
      <c r="CL11" t="s">
        <v>169</v>
      </c>
      <c r="CM11" t="s">
        <v>150</v>
      </c>
      <c r="CN11" t="s">
        <v>237</v>
      </c>
      <c r="CO11" t="s">
        <v>2043</v>
      </c>
      <c r="CP11" t="s">
        <v>157</v>
      </c>
      <c r="CS11" s="1" t="s">
        <v>123</v>
      </c>
      <c r="DC11" s="1" t="s">
        <v>123</v>
      </c>
      <c r="DM11" s="1" t="s">
        <v>123</v>
      </c>
      <c r="EP11" s="1" t="s">
        <v>123</v>
      </c>
      <c r="FP11" s="1" t="s">
        <v>123</v>
      </c>
      <c r="GX11" t="s">
        <v>1229</v>
      </c>
      <c r="GY11" t="s">
        <v>1229</v>
      </c>
      <c r="GZ11" t="s">
        <v>1229</v>
      </c>
      <c r="HA11" t="s">
        <v>186</v>
      </c>
      <c r="HB11">
        <v>1962</v>
      </c>
      <c r="HC11" t="str">
        <f>VLOOKUP(AnalizaCzyste[[#This Row],[Rok urodzenia]],KategorieWiekowe[],2,1)</f>
        <v>56-65 lat</v>
      </c>
      <c r="HD11" t="s">
        <v>141</v>
      </c>
      <c r="HG11" t="s">
        <v>2044</v>
      </c>
      <c r="HH11" t="s">
        <v>2045</v>
      </c>
    </row>
    <row r="12" spans="1:216" x14ac:dyDescent="0.45">
      <c r="A12">
        <v>12</v>
      </c>
      <c r="B12">
        <f>_xlfn.IFNA(VLOOKUP(AnalizaCzyste[[#This Row],[Zakończono wypełnianie]],Zakończone[],2,0),"BRAK")</f>
        <v>11</v>
      </c>
      <c r="C12">
        <f t="shared" si="0"/>
        <v>37</v>
      </c>
      <c r="D12" t="s">
        <v>316</v>
      </c>
      <c r="E12" t="s">
        <v>118</v>
      </c>
      <c r="J12" t="s">
        <v>119</v>
      </c>
      <c r="K12" t="s">
        <v>317</v>
      </c>
      <c r="L12" t="s">
        <v>318</v>
      </c>
      <c r="M12">
        <v>349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 t="str">
        <f>VLOOKUP(AnalizaCzyste[[#This Row],[Jak się nazywa uczelnia którą ukończyłeś? (proszę o wybranie jednej uczelni podlegającej ocenie)]],KategorieUczelni[],2,0)</f>
        <v>Publiczna</v>
      </c>
      <c r="AI12">
        <v>2010</v>
      </c>
      <c r="AJ12" t="s">
        <v>126</v>
      </c>
      <c r="AK12" t="s">
        <v>319</v>
      </c>
      <c r="AL12" t="s">
        <v>236</v>
      </c>
      <c r="AM12" t="s">
        <v>128</v>
      </c>
      <c r="AN12" t="s">
        <v>162</v>
      </c>
      <c r="AO12" t="s">
        <v>162</v>
      </c>
      <c r="AP12" t="s">
        <v>162</v>
      </c>
      <c r="AQ12">
        <v>6</v>
      </c>
      <c r="AR12" t="s">
        <v>131</v>
      </c>
      <c r="AS12" t="s">
        <v>302</v>
      </c>
      <c r="AT12" t="s">
        <v>320</v>
      </c>
      <c r="AU12" t="s">
        <v>321</v>
      </c>
      <c r="AV12" t="s">
        <v>322</v>
      </c>
      <c r="AW12" t="s">
        <v>157</v>
      </c>
      <c r="AY12" s="1" t="s">
        <v>123</v>
      </c>
      <c r="CS12" s="1" t="s">
        <v>123</v>
      </c>
      <c r="DC12" s="1" t="s">
        <v>123</v>
      </c>
      <c r="DM12" s="1" t="s">
        <v>123</v>
      </c>
      <c r="EP12" s="1" t="s">
        <v>123</v>
      </c>
      <c r="EQ12" t="s">
        <v>180</v>
      </c>
      <c r="ER12" t="s">
        <v>132</v>
      </c>
      <c r="FP12" s="1" t="s">
        <v>123</v>
      </c>
      <c r="FQ12" t="s">
        <v>132</v>
      </c>
      <c r="FS12" t="s">
        <v>132</v>
      </c>
      <c r="GX12" t="s">
        <v>323</v>
      </c>
      <c r="GY12" t="s">
        <v>324</v>
      </c>
      <c r="GZ12" t="s">
        <v>325</v>
      </c>
      <c r="HA12" t="s">
        <v>186</v>
      </c>
      <c r="HB12">
        <v>1985</v>
      </c>
      <c r="HC12" t="str">
        <f>VLOOKUP(AnalizaCzyste[[#This Row],[Rok urodzenia]],KategorieWiekowe[],2,1)</f>
        <v>26-35 lat</v>
      </c>
      <c r="HD12" t="s">
        <v>141</v>
      </c>
    </row>
    <row r="13" spans="1:216" x14ac:dyDescent="0.45">
      <c r="A13">
        <v>182</v>
      </c>
      <c r="B13">
        <f>_xlfn.IFNA(VLOOKUP(AnalizaCzyste[[#This Row],[Zakończono wypełnianie]],Zakończone[],2,0),"BRAK")</f>
        <v>103</v>
      </c>
      <c r="C13">
        <f t="shared" si="0"/>
        <v>35</v>
      </c>
      <c r="D13" t="s">
        <v>1540</v>
      </c>
      <c r="E13" t="s">
        <v>118</v>
      </c>
      <c r="J13" t="s">
        <v>119</v>
      </c>
      <c r="K13" t="s">
        <v>1541</v>
      </c>
      <c r="L13" t="s">
        <v>1542</v>
      </c>
      <c r="M13">
        <v>193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 t="str">
        <f>VLOOKUP(AnalizaCzyste[[#This Row],[Jak się nazywa uczelnia którą ukończyłeś? (proszę o wybranie jednej uczelni podlegającej ocenie)]],KategorieUczelni[],2,0)</f>
        <v>Publiczna</v>
      </c>
      <c r="AI13">
        <v>2013</v>
      </c>
      <c r="AJ13" t="s">
        <v>126</v>
      </c>
      <c r="AK13" t="s">
        <v>1544</v>
      </c>
      <c r="AL13" t="s">
        <v>236</v>
      </c>
      <c r="AM13" t="s">
        <v>236</v>
      </c>
      <c r="AN13" t="s">
        <v>162</v>
      </c>
      <c r="AO13" t="s">
        <v>236</v>
      </c>
      <c r="AP13" t="s">
        <v>236</v>
      </c>
      <c r="AQ13">
        <v>1</v>
      </c>
      <c r="AR13" t="s">
        <v>131</v>
      </c>
      <c r="AS13" t="s">
        <v>302</v>
      </c>
      <c r="AU13" t="s">
        <v>267</v>
      </c>
      <c r="AV13" t="s">
        <v>267</v>
      </c>
      <c r="AW13" t="s">
        <v>157</v>
      </c>
      <c r="AY13" s="1" t="s">
        <v>123</v>
      </c>
      <c r="CS13" s="1" t="s">
        <v>123</v>
      </c>
      <c r="DC13" s="1" t="s">
        <v>123</v>
      </c>
      <c r="DM13" s="1" t="s">
        <v>123</v>
      </c>
      <c r="EP13" s="1" t="s">
        <v>123</v>
      </c>
      <c r="FP13" s="1" t="s">
        <v>123</v>
      </c>
      <c r="GX13" t="s">
        <v>267</v>
      </c>
      <c r="GY13" t="s">
        <v>267</v>
      </c>
      <c r="GZ13" t="s">
        <v>267</v>
      </c>
      <c r="HA13" t="s">
        <v>186</v>
      </c>
      <c r="HB13">
        <v>1989</v>
      </c>
      <c r="HC13" t="str">
        <f>VLOOKUP(AnalizaCzyste[[#This Row],[Rok urodzenia]],KategorieWiekowe[],2,1)</f>
        <v>26-35 lat</v>
      </c>
      <c r="HD13" t="s">
        <v>141</v>
      </c>
      <c r="HF13" t="s">
        <v>267</v>
      </c>
      <c r="HG13" t="s">
        <v>267</v>
      </c>
      <c r="HH13" t="s">
        <v>267</v>
      </c>
    </row>
    <row r="14" spans="1:216" x14ac:dyDescent="0.45">
      <c r="A14">
        <v>218</v>
      </c>
      <c r="B14">
        <f>_xlfn.IFNA(VLOOKUP(AnalizaCzyste[[#This Row],[Zakończono wypełnianie]],Zakończone[],2,0),"BRAK")</f>
        <v>120</v>
      </c>
      <c r="C14">
        <f t="shared" si="0"/>
        <v>33</v>
      </c>
      <c r="D14" t="s">
        <v>1792</v>
      </c>
      <c r="E14" t="s">
        <v>118</v>
      </c>
      <c r="F14" t="s">
        <v>359</v>
      </c>
      <c r="J14" t="s">
        <v>119</v>
      </c>
      <c r="K14" t="s">
        <v>1793</v>
      </c>
      <c r="L14" t="s">
        <v>1794</v>
      </c>
      <c r="M14">
        <v>465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 t="str">
        <f>VLOOKUP(AnalizaCzyste[[#This Row],[Jak się nazywa uczelnia którą ukończyłeś? (proszę o wybranie jednej uczelni podlegającej ocenie)]],KategorieUczelni[],2,0)</f>
        <v>Publiczna</v>
      </c>
      <c r="AI14">
        <v>2016</v>
      </c>
      <c r="AJ14" t="s">
        <v>126</v>
      </c>
      <c r="AK14" t="s">
        <v>1795</v>
      </c>
      <c r="AL14" t="s">
        <v>236</v>
      </c>
      <c r="AM14" t="s">
        <v>236</v>
      </c>
      <c r="AN14" t="s">
        <v>129</v>
      </c>
      <c r="AO14" t="s">
        <v>129</v>
      </c>
      <c r="AP14" t="s">
        <v>129</v>
      </c>
      <c r="AQ14">
        <v>34</v>
      </c>
      <c r="AR14" t="s">
        <v>152</v>
      </c>
      <c r="AS14" t="s">
        <v>152</v>
      </c>
      <c r="AT14" t="s">
        <v>1796</v>
      </c>
      <c r="AU14" t="s">
        <v>1797</v>
      </c>
      <c r="AV14" t="s">
        <v>1798</v>
      </c>
      <c r="AW14" t="s">
        <v>157</v>
      </c>
      <c r="AY14" s="1" t="s">
        <v>123</v>
      </c>
      <c r="CS14" s="1" t="s">
        <v>123</v>
      </c>
      <c r="DC14" s="1" t="s">
        <v>123</v>
      </c>
      <c r="DM14" s="1" t="s">
        <v>123</v>
      </c>
      <c r="EP14" s="1" t="s">
        <v>123</v>
      </c>
      <c r="FP14" s="1" t="s">
        <v>123</v>
      </c>
      <c r="GX14" t="s">
        <v>1799</v>
      </c>
      <c r="GY14" t="s">
        <v>1800</v>
      </c>
      <c r="GZ14" t="s">
        <v>1801</v>
      </c>
      <c r="HA14" t="s">
        <v>140</v>
      </c>
      <c r="HB14" s="42">
        <v>1995</v>
      </c>
      <c r="HC14" t="str">
        <f>VLOOKUP(AnalizaCzyste[[#This Row],[Rok urodzenia]],KategorieWiekowe[],2,1)</f>
        <v>poniżej 26 lat</v>
      </c>
      <c r="HD14" t="s">
        <v>483</v>
      </c>
    </row>
    <row r="15" spans="1:216" x14ac:dyDescent="0.45">
      <c r="A15">
        <v>74</v>
      </c>
      <c r="B15">
        <f>_xlfn.IFNA(VLOOKUP(AnalizaCzyste[[#This Row],[Zakończono wypełnianie]],Zakończone[],2,0),"BRAK")</f>
        <v>40</v>
      </c>
      <c r="C15">
        <f t="shared" si="0"/>
        <v>48</v>
      </c>
      <c r="D15" t="s">
        <v>739</v>
      </c>
      <c r="E15" t="s">
        <v>118</v>
      </c>
      <c r="J15" t="s">
        <v>119</v>
      </c>
      <c r="K15" t="s">
        <v>740</v>
      </c>
      <c r="L15" t="s">
        <v>741</v>
      </c>
      <c r="M15">
        <v>341</v>
      </c>
      <c r="N15">
        <v>0</v>
      </c>
      <c r="O15" t="s">
        <v>122</v>
      </c>
      <c r="P15" s="1" t="s">
        <v>123</v>
      </c>
      <c r="AF15" s="1" t="s">
        <v>124</v>
      </c>
      <c r="AG15" t="s">
        <v>223</v>
      </c>
      <c r="AH15" t="str">
        <f>VLOOKUP(AnalizaCzyste[[#This Row],[Jak się nazywa uczelnia którą ukończyłeś? (proszę o wybranie jednej uczelni podlegającej ocenie)]],KategorieUczelni[],2,0)</f>
        <v>Publiczna</v>
      </c>
      <c r="AI15">
        <v>2007</v>
      </c>
      <c r="AJ15" t="s">
        <v>148</v>
      </c>
      <c r="AK15" t="s">
        <v>743</v>
      </c>
      <c r="AL15" t="s">
        <v>236</v>
      </c>
      <c r="AM15" t="s">
        <v>129</v>
      </c>
      <c r="AN15" t="s">
        <v>128</v>
      </c>
      <c r="AO15" t="s">
        <v>162</v>
      </c>
      <c r="AP15" t="s">
        <v>150</v>
      </c>
      <c r="AQ15" t="s">
        <v>237</v>
      </c>
      <c r="AR15" t="s">
        <v>302</v>
      </c>
      <c r="AS15" t="s">
        <v>153</v>
      </c>
      <c r="AT15" t="s">
        <v>744</v>
      </c>
      <c r="AU15" t="s">
        <v>745</v>
      </c>
      <c r="AV15" t="s">
        <v>746</v>
      </c>
      <c r="AW15" t="s">
        <v>172</v>
      </c>
      <c r="AY15" s="1" t="s">
        <v>123</v>
      </c>
      <c r="CS15" s="1" t="s">
        <v>387</v>
      </c>
      <c r="CT15" t="s">
        <v>191</v>
      </c>
      <c r="CU15" t="s">
        <v>748</v>
      </c>
      <c r="CV15" t="s">
        <v>150</v>
      </c>
      <c r="CW15" t="s">
        <v>150</v>
      </c>
      <c r="CX15" t="s">
        <v>169</v>
      </c>
      <c r="CY15" t="s">
        <v>169</v>
      </c>
      <c r="CZ15" t="s">
        <v>150</v>
      </c>
      <c r="DA15" t="s">
        <v>150</v>
      </c>
      <c r="DB15" t="s">
        <v>749</v>
      </c>
      <c r="DC15" s="1" t="s">
        <v>123</v>
      </c>
      <c r="DM15" s="1" t="s">
        <v>123</v>
      </c>
      <c r="EP15" s="1" t="s">
        <v>123</v>
      </c>
      <c r="EQ15" t="s">
        <v>178</v>
      </c>
      <c r="ER15" t="s">
        <v>132</v>
      </c>
      <c r="FP15" s="1" t="s">
        <v>123</v>
      </c>
      <c r="FQ15" t="s">
        <v>132</v>
      </c>
      <c r="FS15" t="s">
        <v>132</v>
      </c>
      <c r="GX15" t="s">
        <v>750</v>
      </c>
      <c r="GY15" t="s">
        <v>751</v>
      </c>
      <c r="GZ15" t="s">
        <v>752</v>
      </c>
      <c r="HA15" t="s">
        <v>186</v>
      </c>
      <c r="HB15">
        <v>1983</v>
      </c>
      <c r="HC15" t="str">
        <f>VLOOKUP(AnalizaCzyste[[#This Row],[Rok urodzenia]],KategorieWiekowe[],2,1)</f>
        <v>36-45 lat</v>
      </c>
      <c r="HD15" t="s">
        <v>398</v>
      </c>
      <c r="HF15" t="s">
        <v>753</v>
      </c>
      <c r="HG15" t="s">
        <v>532</v>
      </c>
    </row>
    <row r="16" spans="1:216" x14ac:dyDescent="0.45">
      <c r="A16">
        <v>75</v>
      </c>
      <c r="B16">
        <f>_xlfn.IFNA(VLOOKUP(AnalizaCzyste[[#This Row],[Zakończono wypełnianie]],Zakończone[],2,0),"BRAK")</f>
        <v>41</v>
      </c>
      <c r="C16">
        <f t="shared" si="0"/>
        <v>53</v>
      </c>
      <c r="D16" t="s">
        <v>754</v>
      </c>
      <c r="E16" t="s">
        <v>118</v>
      </c>
      <c r="F16" t="s">
        <v>755</v>
      </c>
      <c r="J16" t="s">
        <v>119</v>
      </c>
      <c r="K16" t="s">
        <v>756</v>
      </c>
      <c r="L16" t="s">
        <v>757</v>
      </c>
      <c r="M16">
        <v>487</v>
      </c>
      <c r="N16">
        <v>0</v>
      </c>
      <c r="O16" t="s">
        <v>122</v>
      </c>
      <c r="P16" s="1" t="s">
        <v>416</v>
      </c>
      <c r="Q16" t="s">
        <v>147</v>
      </c>
      <c r="R16" t="s">
        <v>148</v>
      </c>
      <c r="S16" t="s">
        <v>758</v>
      </c>
      <c r="T16" t="s">
        <v>236</v>
      </c>
      <c r="U16" t="s">
        <v>129</v>
      </c>
      <c r="V16" t="s">
        <v>236</v>
      </c>
      <c r="W16" t="s">
        <v>718</v>
      </c>
      <c r="X16" t="s">
        <v>759</v>
      </c>
      <c r="Y16" t="s">
        <v>194</v>
      </c>
      <c r="Z16" t="s">
        <v>760</v>
      </c>
      <c r="AA16" t="s">
        <v>761</v>
      </c>
      <c r="AB16" t="s">
        <v>762</v>
      </c>
      <c r="AC16" t="s">
        <v>157</v>
      </c>
      <c r="AE16">
        <v>2</v>
      </c>
      <c r="AF16" s="1" t="s">
        <v>124</v>
      </c>
      <c r="AG16" t="s">
        <v>223</v>
      </c>
      <c r="AH16" t="str">
        <f>VLOOKUP(AnalizaCzyste[[#This Row],[Jak się nazywa uczelnia którą ukończyłeś? (proszę o wybranie jednej uczelni podlegającej ocenie)]],KategorieUczelni[],2,0)</f>
        <v>Publiczna</v>
      </c>
      <c r="AI16">
        <v>2012</v>
      </c>
      <c r="AJ16" t="s">
        <v>148</v>
      </c>
      <c r="AK16" t="s">
        <v>764</v>
      </c>
      <c r="AL16" t="s">
        <v>236</v>
      </c>
      <c r="AM16" t="s">
        <v>236</v>
      </c>
      <c r="AN16" t="s">
        <v>236</v>
      </c>
      <c r="AO16" t="s">
        <v>129</v>
      </c>
      <c r="AP16" t="s">
        <v>236</v>
      </c>
      <c r="AQ16" t="s">
        <v>237</v>
      </c>
      <c r="AR16" t="s">
        <v>302</v>
      </c>
      <c r="AS16" t="s">
        <v>153</v>
      </c>
      <c r="AT16" t="s">
        <v>765</v>
      </c>
      <c r="AU16" t="s">
        <v>766</v>
      </c>
      <c r="AV16" t="s">
        <v>767</v>
      </c>
      <c r="AW16" t="s">
        <v>230</v>
      </c>
      <c r="AY16" s="1" t="s">
        <v>123</v>
      </c>
      <c r="CS16" s="1" t="s">
        <v>123</v>
      </c>
      <c r="DC16" s="1" t="s">
        <v>123</v>
      </c>
      <c r="DM16" s="1" t="s">
        <v>123</v>
      </c>
      <c r="EP16" s="1" t="s">
        <v>123</v>
      </c>
      <c r="EQ16" t="s">
        <v>180</v>
      </c>
      <c r="ER16" t="s">
        <v>132</v>
      </c>
      <c r="FP16" s="1" t="s">
        <v>123</v>
      </c>
      <c r="FQ16" t="s">
        <v>132</v>
      </c>
      <c r="FS16" t="s">
        <v>132</v>
      </c>
      <c r="GX16" t="s">
        <v>768</v>
      </c>
      <c r="GY16" t="s">
        <v>769</v>
      </c>
      <c r="GZ16" t="s">
        <v>770</v>
      </c>
      <c r="HA16" t="s">
        <v>186</v>
      </c>
      <c r="HB16">
        <v>1990</v>
      </c>
      <c r="HC16" t="str">
        <f>VLOOKUP(AnalizaCzyste[[#This Row],[Rok urodzenia]],KategorieWiekowe[],2,1)</f>
        <v>26-35 lat</v>
      </c>
      <c r="HD16" t="s">
        <v>141</v>
      </c>
      <c r="HF16" t="s">
        <v>771</v>
      </c>
      <c r="HG16" t="s">
        <v>772</v>
      </c>
    </row>
    <row r="17" spans="1:216" x14ac:dyDescent="0.45">
      <c r="A17">
        <v>149</v>
      </c>
      <c r="B17">
        <f>_xlfn.IFNA(VLOOKUP(AnalizaCzyste[[#This Row],[Zakończono wypełnianie]],Zakończone[],2,0),"BRAK")</f>
        <v>87</v>
      </c>
      <c r="C17">
        <f t="shared" si="0"/>
        <v>34</v>
      </c>
      <c r="D17" t="s">
        <v>1352</v>
      </c>
      <c r="E17" t="s">
        <v>118</v>
      </c>
      <c r="J17" t="s">
        <v>119</v>
      </c>
      <c r="K17" t="s">
        <v>1359</v>
      </c>
      <c r="L17" t="s">
        <v>1360</v>
      </c>
      <c r="M17">
        <v>8266</v>
      </c>
      <c r="N17">
        <v>0</v>
      </c>
      <c r="O17" t="s">
        <v>122</v>
      </c>
      <c r="P17" s="1" t="s">
        <v>123</v>
      </c>
      <c r="AF17" s="1" t="s">
        <v>124</v>
      </c>
      <c r="AG17" t="s">
        <v>160</v>
      </c>
      <c r="AH17" t="str">
        <f>VLOOKUP(AnalizaCzyste[[#This Row],[Jak się nazywa uczelnia którą ukończyłeś? (proszę o wybranie jednej uczelni podlegającej ocenie)]],KategorieUczelni[],2,0)</f>
        <v>Publiczna</v>
      </c>
      <c r="AI17">
        <v>2010</v>
      </c>
      <c r="AJ17" t="s">
        <v>148</v>
      </c>
      <c r="AK17" t="s">
        <v>1361</v>
      </c>
      <c r="AL17" t="s">
        <v>236</v>
      </c>
      <c r="AM17" t="s">
        <v>150</v>
      </c>
      <c r="AN17" t="s">
        <v>129</v>
      </c>
      <c r="AO17" t="s">
        <v>129</v>
      </c>
      <c r="AP17" t="s">
        <v>129</v>
      </c>
      <c r="AQ17" t="s">
        <v>1362</v>
      </c>
      <c r="AR17" t="s">
        <v>153</v>
      </c>
      <c r="AS17" t="s">
        <v>153</v>
      </c>
      <c r="AT17" t="s">
        <v>1363</v>
      </c>
      <c r="AU17" t="s">
        <v>1364</v>
      </c>
      <c r="AV17" t="s">
        <v>1365</v>
      </c>
      <c r="AW17" t="s">
        <v>157</v>
      </c>
      <c r="AY17" s="1" t="s">
        <v>123</v>
      </c>
      <c r="CS17" s="1" t="s">
        <v>123</v>
      </c>
      <c r="DC17" s="1" t="s">
        <v>123</v>
      </c>
      <c r="DM17" s="1" t="s">
        <v>123</v>
      </c>
      <c r="EP17" s="1" t="s">
        <v>123</v>
      </c>
      <c r="FP17" s="1" t="s">
        <v>123</v>
      </c>
      <c r="GX17" t="s">
        <v>1366</v>
      </c>
      <c r="GY17" t="s">
        <v>1367</v>
      </c>
      <c r="GZ17" t="s">
        <v>532</v>
      </c>
      <c r="HA17" t="s">
        <v>140</v>
      </c>
      <c r="HB17">
        <v>1986</v>
      </c>
      <c r="HC17" t="str">
        <f>VLOOKUP(AnalizaCzyste[[#This Row],[Rok urodzenia]],KategorieWiekowe[],2,1)</f>
        <v>26-35 lat</v>
      </c>
      <c r="HD17" t="s">
        <v>398</v>
      </c>
      <c r="HF17" t="s">
        <v>1368</v>
      </c>
    </row>
    <row r="18" spans="1:216" x14ac:dyDescent="0.45">
      <c r="A18">
        <v>76</v>
      </c>
      <c r="B18">
        <f>_xlfn.IFNA(VLOOKUP(AnalizaCzyste[[#This Row],[Zakończono wypełnianie]],Zakończone[],2,0),"BRAK")</f>
        <v>42</v>
      </c>
      <c r="C18">
        <f t="shared" si="0"/>
        <v>55</v>
      </c>
      <c r="D18" t="s">
        <v>773</v>
      </c>
      <c r="E18" t="s">
        <v>118</v>
      </c>
      <c r="F18" t="s">
        <v>774</v>
      </c>
      <c r="J18" t="s">
        <v>119</v>
      </c>
      <c r="K18" t="s">
        <v>775</v>
      </c>
      <c r="L18" t="s">
        <v>776</v>
      </c>
      <c r="M18">
        <v>1636</v>
      </c>
      <c r="N18">
        <v>0</v>
      </c>
      <c r="O18" t="s">
        <v>122</v>
      </c>
      <c r="P18" s="1" t="s">
        <v>123</v>
      </c>
      <c r="AF18" s="1" t="s">
        <v>124</v>
      </c>
      <c r="AG18" t="s">
        <v>1461</v>
      </c>
      <c r="AH18" t="str">
        <f>VLOOKUP(AnalizaCzyste[[#This Row],[Jak się nazywa uczelnia którą ukończyłeś? (proszę o wybranie jednej uczelni podlegającej ocenie)]],KategorieUczelni[],2,0)</f>
        <v>Publiczna</v>
      </c>
      <c r="AI18">
        <v>2013</v>
      </c>
      <c r="AJ18" t="s">
        <v>148</v>
      </c>
      <c r="AK18" t="s">
        <v>429</v>
      </c>
      <c r="AL18" t="s">
        <v>128</v>
      </c>
      <c r="AM18" t="s">
        <v>151</v>
      </c>
      <c r="AN18" t="s">
        <v>162</v>
      </c>
      <c r="AO18" t="s">
        <v>129</v>
      </c>
      <c r="AP18" t="s">
        <v>236</v>
      </c>
      <c r="AQ18">
        <v>0</v>
      </c>
      <c r="AR18" t="s">
        <v>131</v>
      </c>
      <c r="AS18" t="s">
        <v>131</v>
      </c>
      <c r="AT18" t="s">
        <v>778</v>
      </c>
      <c r="AU18" t="s">
        <v>779</v>
      </c>
      <c r="AV18" t="s">
        <v>780</v>
      </c>
      <c r="AW18" t="s">
        <v>157</v>
      </c>
      <c r="AY18" s="1" t="s">
        <v>123</v>
      </c>
      <c r="CS18" s="1" t="s">
        <v>123</v>
      </c>
      <c r="DC18" s="1" t="s">
        <v>214</v>
      </c>
      <c r="DD18" t="s">
        <v>1461</v>
      </c>
      <c r="DE18" t="s">
        <v>781</v>
      </c>
      <c r="DF18" t="s">
        <v>129</v>
      </c>
      <c r="DG18" t="s">
        <v>150</v>
      </c>
      <c r="DH18" t="s">
        <v>129</v>
      </c>
      <c r="DI18" t="s">
        <v>236</v>
      </c>
      <c r="DJ18" t="s">
        <v>151</v>
      </c>
      <c r="DK18" t="s">
        <v>151</v>
      </c>
      <c r="DL18" t="s">
        <v>782</v>
      </c>
      <c r="DM18" s="1" t="s">
        <v>123</v>
      </c>
      <c r="EP18" s="1" t="s">
        <v>177</v>
      </c>
      <c r="EQ18" t="s">
        <v>180</v>
      </c>
      <c r="ER18">
        <v>1</v>
      </c>
      <c r="ES18" t="s">
        <v>783</v>
      </c>
      <c r="ET18" t="s">
        <v>150</v>
      </c>
      <c r="EU18" t="s">
        <v>150</v>
      </c>
      <c r="EV18" t="s">
        <v>236</v>
      </c>
      <c r="EW18" t="s">
        <v>178</v>
      </c>
      <c r="EX18" t="s">
        <v>784</v>
      </c>
      <c r="EY18" t="s">
        <v>785</v>
      </c>
      <c r="EZ18" t="s">
        <v>173</v>
      </c>
      <c r="FP18" s="1" t="s">
        <v>123</v>
      </c>
      <c r="FQ18" t="s">
        <v>132</v>
      </c>
      <c r="GX18" t="s">
        <v>786</v>
      </c>
      <c r="GY18" t="s">
        <v>787</v>
      </c>
      <c r="GZ18" t="s">
        <v>788</v>
      </c>
      <c r="HA18" t="s">
        <v>140</v>
      </c>
      <c r="HB18">
        <v>1988</v>
      </c>
      <c r="HC18" t="str">
        <f>VLOOKUP(AnalizaCzyste[[#This Row],[Rok urodzenia]],KategorieWiekowe[],2,1)</f>
        <v>26-35 lat</v>
      </c>
      <c r="HD18" t="s">
        <v>246</v>
      </c>
      <c r="HF18" t="s">
        <v>789</v>
      </c>
      <c r="HH18" t="s">
        <v>790</v>
      </c>
    </row>
    <row r="19" spans="1:216" x14ac:dyDescent="0.45">
      <c r="A19">
        <v>122</v>
      </c>
      <c r="B19">
        <f>_xlfn.IFNA(VLOOKUP(AnalizaCzyste[[#This Row],[Zakończono wypełnianie]],Zakończone[],2,0),"BRAK")</f>
        <v>71</v>
      </c>
      <c r="C19">
        <f t="shared" si="0"/>
        <v>34</v>
      </c>
      <c r="D19" t="s">
        <v>1131</v>
      </c>
      <c r="E19" t="s">
        <v>118</v>
      </c>
      <c r="J19" t="s">
        <v>119</v>
      </c>
      <c r="K19" t="s">
        <v>1132</v>
      </c>
      <c r="L19" t="s">
        <v>1133</v>
      </c>
      <c r="M19">
        <v>3215</v>
      </c>
      <c r="N19">
        <v>0</v>
      </c>
      <c r="O19" t="s">
        <v>122</v>
      </c>
      <c r="P19" s="1" t="s">
        <v>123</v>
      </c>
      <c r="AF19" s="1" t="s">
        <v>124</v>
      </c>
      <c r="AG19" t="s">
        <v>191</v>
      </c>
      <c r="AH19" t="str">
        <f>VLOOKUP(AnalizaCzyste[[#This Row],[Jak się nazywa uczelnia którą ukończyłeś? (proszę o wybranie jednej uczelni podlegającej ocenie)]],KategorieUczelni[],2,0)</f>
        <v>Publiczna</v>
      </c>
      <c r="AI19">
        <v>2015</v>
      </c>
      <c r="AJ19" t="s">
        <v>126</v>
      </c>
      <c r="AK19" t="s">
        <v>1134</v>
      </c>
      <c r="AL19" t="s">
        <v>128</v>
      </c>
      <c r="AM19" t="s">
        <v>151</v>
      </c>
      <c r="AN19" t="s">
        <v>169</v>
      </c>
      <c r="AO19" t="s">
        <v>162</v>
      </c>
      <c r="AP19" t="s">
        <v>150</v>
      </c>
      <c r="AQ19">
        <v>1</v>
      </c>
      <c r="AR19" t="s">
        <v>302</v>
      </c>
      <c r="AS19" t="s">
        <v>226</v>
      </c>
      <c r="AT19" t="s">
        <v>1135</v>
      </c>
      <c r="AU19" t="s">
        <v>1136</v>
      </c>
      <c r="AV19" t="s">
        <v>1137</v>
      </c>
      <c r="AW19" t="s">
        <v>172</v>
      </c>
      <c r="AY19" s="1" t="s">
        <v>123</v>
      </c>
      <c r="CS19" s="1" t="s">
        <v>123</v>
      </c>
      <c r="DC19" s="1" t="s">
        <v>123</v>
      </c>
      <c r="DM19" s="1" t="s">
        <v>123</v>
      </c>
      <c r="EP19" s="1" t="s">
        <v>123</v>
      </c>
      <c r="FP19" s="1" t="s">
        <v>123</v>
      </c>
      <c r="GX19" t="s">
        <v>1138</v>
      </c>
      <c r="GY19" t="s">
        <v>1139</v>
      </c>
      <c r="GZ19" t="s">
        <v>1140</v>
      </c>
      <c r="HA19" t="s">
        <v>186</v>
      </c>
      <c r="HB19">
        <v>1991</v>
      </c>
      <c r="HC19" t="str">
        <f>VLOOKUP(AnalizaCzyste[[#This Row],[Rok urodzenia]],KategorieWiekowe[],2,1)</f>
        <v>26-35 lat</v>
      </c>
      <c r="HD19" t="s">
        <v>141</v>
      </c>
      <c r="HF19" t="s">
        <v>1141</v>
      </c>
    </row>
    <row r="20" spans="1:216" x14ac:dyDescent="0.45">
      <c r="A20">
        <v>1</v>
      </c>
      <c r="B20">
        <f>_xlfn.IFNA(VLOOKUP(AnalizaCzyste[[#This Row],[Zakończono wypełnianie]],Zakończone[],2,0),"BRAK")</f>
        <v>1</v>
      </c>
      <c r="C20">
        <f t="shared" si="0"/>
        <v>37</v>
      </c>
      <c r="D20" t="s">
        <v>117</v>
      </c>
      <c r="E20" t="s">
        <v>118</v>
      </c>
      <c r="J20" t="s">
        <v>119</v>
      </c>
      <c r="K20" t="s">
        <v>120</v>
      </c>
      <c r="L20" t="s">
        <v>121</v>
      </c>
      <c r="M20">
        <v>65871</v>
      </c>
      <c r="N20">
        <v>0</v>
      </c>
      <c r="O20" t="s">
        <v>122</v>
      </c>
      <c r="P20" s="1" t="s">
        <v>123</v>
      </c>
      <c r="AF20" s="1" t="s">
        <v>124</v>
      </c>
      <c r="AG20" s="20" t="s">
        <v>191</v>
      </c>
      <c r="AH20" s="20" t="str">
        <f>VLOOKUP(AnalizaCzyste[[#This Row],[Jak się nazywa uczelnia którą ukończyłeś? (proszę o wybranie jednej uczelni podlegającej ocenie)]],KategorieUczelni[],2,0)</f>
        <v>Publiczna</v>
      </c>
      <c r="AI20" s="42">
        <v>2011</v>
      </c>
      <c r="AJ20" t="s">
        <v>126</v>
      </c>
      <c r="AK20" t="s">
        <v>127</v>
      </c>
      <c r="AL20" t="s">
        <v>128</v>
      </c>
      <c r="AM20" t="s">
        <v>128</v>
      </c>
      <c r="AN20" t="s">
        <v>129</v>
      </c>
      <c r="AO20" t="s">
        <v>129</v>
      </c>
      <c r="AP20" t="s">
        <v>129</v>
      </c>
      <c r="AQ20" t="s">
        <v>130</v>
      </c>
      <c r="AR20" t="s">
        <v>131</v>
      </c>
      <c r="AS20" t="s">
        <v>132</v>
      </c>
      <c r="AT20" t="s">
        <v>133</v>
      </c>
      <c r="AU20" t="s">
        <v>134</v>
      </c>
      <c r="AV20" t="s">
        <v>135</v>
      </c>
      <c r="AX20" t="s">
        <v>136</v>
      </c>
      <c r="AY20" s="1" t="s">
        <v>123</v>
      </c>
      <c r="CS20" s="1" t="s">
        <v>123</v>
      </c>
      <c r="DC20" s="1" t="s">
        <v>123</v>
      </c>
      <c r="DM20" s="1" t="s">
        <v>123</v>
      </c>
      <c r="EP20" s="1" t="s">
        <v>123</v>
      </c>
      <c r="FP20" s="1" t="s">
        <v>123</v>
      </c>
      <c r="FQ20" t="s">
        <v>132</v>
      </c>
      <c r="GX20" t="s">
        <v>137</v>
      </c>
      <c r="GY20" t="s">
        <v>138</v>
      </c>
      <c r="GZ20" t="s">
        <v>139</v>
      </c>
      <c r="HA20" t="s">
        <v>140</v>
      </c>
      <c r="HB20">
        <v>1987</v>
      </c>
      <c r="HC20" t="str">
        <f>VLOOKUP(AnalizaCzyste[[#This Row],[Rok urodzenia]],KategorieWiekowe[],2,1)</f>
        <v>26-35 lat</v>
      </c>
      <c r="HD20" t="s">
        <v>141</v>
      </c>
      <c r="HF20" t="s">
        <v>142</v>
      </c>
      <c r="HG20" t="s">
        <v>142</v>
      </c>
      <c r="HH20" t="s">
        <v>143</v>
      </c>
    </row>
    <row r="21" spans="1:216" x14ac:dyDescent="0.45">
      <c r="A21">
        <v>110</v>
      </c>
      <c r="B21">
        <f>_xlfn.IFNA(VLOOKUP(AnalizaCzyste[[#This Row],[Zakończono wypełnianie]],Zakończone[],2,0),"BRAK")</f>
        <v>65</v>
      </c>
      <c r="C21">
        <f t="shared" si="0"/>
        <v>37</v>
      </c>
      <c r="D21" t="s">
        <v>1033</v>
      </c>
      <c r="E21" t="s">
        <v>118</v>
      </c>
      <c r="F21" t="s">
        <v>1034</v>
      </c>
      <c r="J21" t="s">
        <v>119</v>
      </c>
      <c r="K21" t="s">
        <v>1035</v>
      </c>
      <c r="L21" t="s">
        <v>1036</v>
      </c>
      <c r="M21">
        <v>1167</v>
      </c>
      <c r="N21">
        <v>0</v>
      </c>
      <c r="O21" t="s">
        <v>122</v>
      </c>
      <c r="P21" s="1" t="s">
        <v>123</v>
      </c>
      <c r="AF21" s="1" t="s">
        <v>124</v>
      </c>
      <c r="AG21" s="42" t="s">
        <v>2322</v>
      </c>
      <c r="AH21" s="42" t="str">
        <f>VLOOKUP(AnalizaCzyste[[#This Row],[Jak się nazywa uczelnia którą ukończyłeś? (proszę o wybranie jednej uczelni podlegającej ocenie)]],KategorieUczelni[],2,0)</f>
        <v>Publiczna</v>
      </c>
      <c r="AI21" s="42">
        <v>2007</v>
      </c>
      <c r="AJ21" t="s">
        <v>126</v>
      </c>
      <c r="AK21" t="s">
        <v>1039</v>
      </c>
      <c r="AL21" t="s">
        <v>128</v>
      </c>
      <c r="AM21" t="s">
        <v>151</v>
      </c>
      <c r="AN21" t="s">
        <v>236</v>
      </c>
      <c r="AO21" t="s">
        <v>129</v>
      </c>
      <c r="AP21" t="s">
        <v>129</v>
      </c>
      <c r="AQ21">
        <v>5</v>
      </c>
      <c r="AR21" t="s">
        <v>302</v>
      </c>
      <c r="AS21" t="s">
        <v>302</v>
      </c>
      <c r="AU21" t="s">
        <v>1040</v>
      </c>
      <c r="AV21" t="s">
        <v>1041</v>
      </c>
      <c r="AW21" t="s">
        <v>892</v>
      </c>
      <c r="AX21" t="s">
        <v>1042</v>
      </c>
      <c r="AY21" s="1" t="s">
        <v>123</v>
      </c>
      <c r="CS21" s="1" t="s">
        <v>123</v>
      </c>
      <c r="DC21" s="1" t="s">
        <v>123</v>
      </c>
      <c r="DM21" s="1" t="s">
        <v>123</v>
      </c>
      <c r="EP21" s="1" t="s">
        <v>123</v>
      </c>
      <c r="EQ21" t="s">
        <v>180</v>
      </c>
      <c r="ER21" t="s">
        <v>132</v>
      </c>
      <c r="FP21" s="1" t="s">
        <v>123</v>
      </c>
      <c r="FQ21" t="s">
        <v>132</v>
      </c>
      <c r="FS21" t="s">
        <v>132</v>
      </c>
      <c r="GX21" t="s">
        <v>1043</v>
      </c>
      <c r="GY21" t="s">
        <v>1044</v>
      </c>
      <c r="GZ21" t="s">
        <v>1045</v>
      </c>
      <c r="HA21" t="s">
        <v>186</v>
      </c>
      <c r="HB21">
        <v>1982</v>
      </c>
      <c r="HC21" t="str">
        <f>VLOOKUP(AnalizaCzyste[[#This Row],[Rok urodzenia]],KategorieWiekowe[],2,1)</f>
        <v>36-45 lat</v>
      </c>
      <c r="HD21" t="s">
        <v>246</v>
      </c>
    </row>
    <row r="22" spans="1:216" x14ac:dyDescent="0.45">
      <c r="A22">
        <v>131</v>
      </c>
      <c r="B22">
        <f>_xlfn.IFNA(VLOOKUP(AnalizaCzyste[[#This Row],[Zakończono wypełnianie]],Zakończone[],2,0),"BRAK")</f>
        <v>80</v>
      </c>
      <c r="C22">
        <f t="shared" si="0"/>
        <v>37</v>
      </c>
      <c r="D22" t="s">
        <v>1238</v>
      </c>
      <c r="E22" t="s">
        <v>118</v>
      </c>
      <c r="J22" t="s">
        <v>119</v>
      </c>
      <c r="K22" t="s">
        <v>1239</v>
      </c>
      <c r="L22" t="s">
        <v>1240</v>
      </c>
      <c r="M22">
        <v>356</v>
      </c>
      <c r="N22">
        <v>0</v>
      </c>
      <c r="O22" t="s">
        <v>122</v>
      </c>
      <c r="P22" s="1" t="s">
        <v>123</v>
      </c>
      <c r="AF22" s="1" t="s">
        <v>124</v>
      </c>
      <c r="AG22" t="s">
        <v>223</v>
      </c>
      <c r="AH22" t="str">
        <f>VLOOKUP(AnalizaCzyste[[#This Row],[Jak się nazywa uczelnia którą ukończyłeś? (proszę o wybranie jednej uczelni podlegającej ocenie)]],KategorieUczelni[],2,0)</f>
        <v>Publiczna</v>
      </c>
      <c r="AI22">
        <v>1997</v>
      </c>
      <c r="AJ22" t="s">
        <v>148</v>
      </c>
      <c r="AK22" t="s">
        <v>161</v>
      </c>
      <c r="AL22" t="s">
        <v>128</v>
      </c>
      <c r="AM22" t="s">
        <v>128</v>
      </c>
      <c r="AN22" t="s">
        <v>162</v>
      </c>
      <c r="AO22" t="s">
        <v>162</v>
      </c>
      <c r="AP22" t="s">
        <v>162</v>
      </c>
      <c r="AQ22">
        <v>1</v>
      </c>
      <c r="AR22" t="s">
        <v>131</v>
      </c>
      <c r="AS22" t="s">
        <v>131</v>
      </c>
      <c r="AT22" t="s">
        <v>1241</v>
      </c>
      <c r="AU22" t="s">
        <v>1242</v>
      </c>
      <c r="AV22" t="s">
        <v>1243</v>
      </c>
      <c r="AW22" t="s">
        <v>157</v>
      </c>
      <c r="AX22" t="s">
        <v>1244</v>
      </c>
      <c r="AY22" s="1" t="s">
        <v>123</v>
      </c>
      <c r="CS22" s="1" t="s">
        <v>123</v>
      </c>
      <c r="DC22" s="1" t="s">
        <v>123</v>
      </c>
      <c r="DM22" s="1" t="s">
        <v>123</v>
      </c>
      <c r="EP22" s="1" t="s">
        <v>123</v>
      </c>
      <c r="EQ22" t="s">
        <v>178</v>
      </c>
      <c r="ER22" t="s">
        <v>132</v>
      </c>
      <c r="FP22" s="1" t="s">
        <v>123</v>
      </c>
      <c r="GX22" t="s">
        <v>1245</v>
      </c>
      <c r="GY22" t="s">
        <v>1246</v>
      </c>
      <c r="GZ22" t="s">
        <v>1247</v>
      </c>
      <c r="HA22" t="s">
        <v>186</v>
      </c>
      <c r="HB22">
        <v>1974</v>
      </c>
      <c r="HC22" t="str">
        <f>VLOOKUP(AnalizaCzyste[[#This Row],[Rok urodzenia]],KategorieWiekowe[],2,1)</f>
        <v>46-55 lat</v>
      </c>
      <c r="HD22" t="s">
        <v>398</v>
      </c>
      <c r="HF22" t="s">
        <v>1248</v>
      </c>
    </row>
    <row r="23" spans="1:216" x14ac:dyDescent="0.45">
      <c r="A23">
        <v>105</v>
      </c>
      <c r="B23">
        <f>_xlfn.IFNA(VLOOKUP(AnalizaCzyste[[#This Row],[Zakończono wypełnianie]],Zakończone[],2,0),"BRAK")</f>
        <v>64</v>
      </c>
      <c r="C23">
        <f t="shared" si="0"/>
        <v>37</v>
      </c>
      <c r="D23" t="s">
        <v>1014</v>
      </c>
      <c r="E23" t="s">
        <v>118</v>
      </c>
      <c r="J23" t="s">
        <v>119</v>
      </c>
      <c r="K23" t="s">
        <v>1015</v>
      </c>
      <c r="L23" t="s">
        <v>1016</v>
      </c>
      <c r="M23">
        <v>1293</v>
      </c>
      <c r="N23">
        <v>0</v>
      </c>
      <c r="O23" t="s">
        <v>122</v>
      </c>
      <c r="P23" s="1" t="s">
        <v>123</v>
      </c>
      <c r="AF23" s="1" t="s">
        <v>124</v>
      </c>
      <c r="AG23" t="s">
        <v>223</v>
      </c>
      <c r="AH23" t="str">
        <f>VLOOKUP(AnalizaCzyste[[#This Row],[Jak się nazywa uczelnia którą ukończyłeś? (proszę o wybranie jednej uczelni podlegającej ocenie)]],KategorieUczelni[],2,0)</f>
        <v>Publiczna</v>
      </c>
      <c r="AI23">
        <v>2003</v>
      </c>
      <c r="AJ23" t="s">
        <v>148</v>
      </c>
      <c r="AK23" t="s">
        <v>1017</v>
      </c>
      <c r="AL23" t="s">
        <v>128</v>
      </c>
      <c r="AM23" t="s">
        <v>128</v>
      </c>
      <c r="AN23" t="s">
        <v>128</v>
      </c>
      <c r="AO23" t="s">
        <v>236</v>
      </c>
      <c r="AP23" t="s">
        <v>132</v>
      </c>
      <c r="AQ23" t="s">
        <v>1018</v>
      </c>
      <c r="AR23" t="s">
        <v>131</v>
      </c>
      <c r="AS23" t="s">
        <v>131</v>
      </c>
      <c r="AU23" t="s">
        <v>1019</v>
      </c>
      <c r="AV23" t="s">
        <v>1020</v>
      </c>
      <c r="AW23" t="s">
        <v>157</v>
      </c>
      <c r="AY23" s="1" t="s">
        <v>123</v>
      </c>
      <c r="CS23" s="1" t="s">
        <v>123</v>
      </c>
      <c r="DC23" s="1" t="s">
        <v>123</v>
      </c>
      <c r="DM23" s="1" t="s">
        <v>123</v>
      </c>
      <c r="EP23" s="1" t="s">
        <v>123</v>
      </c>
      <c r="EQ23" t="s">
        <v>180</v>
      </c>
      <c r="ER23" t="s">
        <v>132</v>
      </c>
      <c r="FP23" s="1" t="s">
        <v>123</v>
      </c>
      <c r="FQ23" t="s">
        <v>132</v>
      </c>
      <c r="FS23" t="s">
        <v>132</v>
      </c>
      <c r="GX23" t="s">
        <v>276</v>
      </c>
      <c r="GY23" t="s">
        <v>1021</v>
      </c>
      <c r="GZ23" t="s">
        <v>1022</v>
      </c>
      <c r="HA23" t="s">
        <v>140</v>
      </c>
      <c r="HB23">
        <v>1980</v>
      </c>
      <c r="HC23" t="str">
        <f>VLOOKUP(AnalizaCzyste[[#This Row],[Rok urodzenia]],KategorieWiekowe[],2,1)</f>
        <v>36-45 lat</v>
      </c>
      <c r="HD23" t="s">
        <v>483</v>
      </c>
      <c r="HF23" t="s">
        <v>1023</v>
      </c>
    </row>
    <row r="24" spans="1:216" x14ac:dyDescent="0.45">
      <c r="A24">
        <v>165</v>
      </c>
      <c r="B24">
        <f>_xlfn.IFNA(VLOOKUP(AnalizaCzyste[[#This Row],[Zakończono wypełnianie]],Zakończone[],2,0),"BRAK")</f>
        <v>95</v>
      </c>
      <c r="C24">
        <f t="shared" si="0"/>
        <v>35</v>
      </c>
      <c r="D24" t="s">
        <v>1352</v>
      </c>
      <c r="E24" t="s">
        <v>118</v>
      </c>
      <c r="J24" t="s">
        <v>119</v>
      </c>
      <c r="K24" t="s">
        <v>1450</v>
      </c>
      <c r="L24" t="s">
        <v>1451</v>
      </c>
      <c r="M24">
        <v>402</v>
      </c>
      <c r="N24">
        <v>0</v>
      </c>
      <c r="O24" t="s">
        <v>122</v>
      </c>
      <c r="P24" s="1" t="s">
        <v>123</v>
      </c>
      <c r="AF24" s="1" t="s">
        <v>124</v>
      </c>
      <c r="AG24" t="s">
        <v>223</v>
      </c>
      <c r="AH24" t="str">
        <f>VLOOKUP(AnalizaCzyste[[#This Row],[Jak się nazywa uczelnia którą ukończyłeś? (proszę o wybranie jednej uczelni podlegającej ocenie)]],KategorieUczelni[],2,0)</f>
        <v>Publiczna</v>
      </c>
      <c r="AI24">
        <v>2008</v>
      </c>
      <c r="AJ24" t="s">
        <v>148</v>
      </c>
      <c r="AK24" t="s">
        <v>1452</v>
      </c>
      <c r="AL24" t="s">
        <v>128</v>
      </c>
      <c r="AM24" t="s">
        <v>236</v>
      </c>
      <c r="AN24" t="s">
        <v>129</v>
      </c>
      <c r="AO24" t="s">
        <v>129</v>
      </c>
      <c r="AP24" t="s">
        <v>128</v>
      </c>
      <c r="AQ24" t="s">
        <v>237</v>
      </c>
      <c r="AR24" t="s">
        <v>131</v>
      </c>
      <c r="AS24" t="s">
        <v>131</v>
      </c>
      <c r="AT24" t="s">
        <v>1453</v>
      </c>
      <c r="AU24" t="s">
        <v>1454</v>
      </c>
      <c r="AV24" t="s">
        <v>1005</v>
      </c>
      <c r="AW24" t="s">
        <v>157</v>
      </c>
      <c r="AY24" s="1" t="s">
        <v>123</v>
      </c>
      <c r="CS24" s="1" t="s">
        <v>123</v>
      </c>
      <c r="DC24" s="1" t="s">
        <v>123</v>
      </c>
      <c r="DM24" s="1" t="s">
        <v>123</v>
      </c>
      <c r="EP24" s="1" t="s">
        <v>123</v>
      </c>
      <c r="FP24" s="1" t="s">
        <v>123</v>
      </c>
      <c r="GX24" t="s">
        <v>1455</v>
      </c>
      <c r="GY24" t="s">
        <v>1456</v>
      </c>
      <c r="GZ24" t="s">
        <v>1457</v>
      </c>
      <c r="HA24" t="s">
        <v>140</v>
      </c>
      <c r="HB24">
        <v>1984</v>
      </c>
      <c r="HC24" t="str">
        <f>VLOOKUP(AnalizaCzyste[[#This Row],[Rok urodzenia]],KategorieWiekowe[],2,1)</f>
        <v>36-45 lat</v>
      </c>
      <c r="HD24" t="s">
        <v>220</v>
      </c>
      <c r="HF24" t="s">
        <v>386</v>
      </c>
      <c r="HG24" t="s">
        <v>386</v>
      </c>
    </row>
    <row r="25" spans="1:216" x14ac:dyDescent="0.45">
      <c r="A25">
        <v>158</v>
      </c>
      <c r="B25">
        <f>_xlfn.IFNA(VLOOKUP(AnalizaCzyste[[#This Row],[Zakończono wypełnianie]],Zakończone[],2,0),"BRAK")</f>
        <v>91</v>
      </c>
      <c r="C25">
        <f t="shared" si="0"/>
        <v>34</v>
      </c>
      <c r="D25" t="s">
        <v>1131</v>
      </c>
      <c r="E25" t="s">
        <v>118</v>
      </c>
      <c r="J25" t="s">
        <v>119</v>
      </c>
      <c r="K25" t="s">
        <v>1403</v>
      </c>
      <c r="L25" t="s">
        <v>1404</v>
      </c>
      <c r="M25">
        <v>325</v>
      </c>
      <c r="N25">
        <v>0</v>
      </c>
      <c r="O25" t="s">
        <v>122</v>
      </c>
      <c r="P25" s="1" t="s">
        <v>123</v>
      </c>
      <c r="AF25" s="1" t="s">
        <v>124</v>
      </c>
      <c r="AG25" t="s">
        <v>223</v>
      </c>
      <c r="AH25" t="str">
        <f>VLOOKUP(AnalizaCzyste[[#This Row],[Jak się nazywa uczelnia którą ukończyłeś? (proszę o wybranie jednej uczelni podlegającej ocenie)]],KategorieUczelni[],2,0)</f>
        <v>Publiczna</v>
      </c>
      <c r="AI25">
        <v>2013</v>
      </c>
      <c r="AJ25" t="s">
        <v>148</v>
      </c>
      <c r="AK25" t="s">
        <v>958</v>
      </c>
      <c r="AL25" t="s">
        <v>128</v>
      </c>
      <c r="AM25" t="s">
        <v>128</v>
      </c>
      <c r="AN25" t="s">
        <v>162</v>
      </c>
      <c r="AO25" t="s">
        <v>151</v>
      </c>
      <c r="AP25" t="s">
        <v>151</v>
      </c>
      <c r="AQ25">
        <v>3</v>
      </c>
      <c r="AR25" t="s">
        <v>131</v>
      </c>
      <c r="AS25" t="s">
        <v>153</v>
      </c>
      <c r="AT25" t="s">
        <v>1405</v>
      </c>
      <c r="AU25" t="s">
        <v>1406</v>
      </c>
      <c r="AV25" t="s">
        <v>1407</v>
      </c>
      <c r="AW25" t="s">
        <v>157</v>
      </c>
      <c r="AY25" s="1" t="s">
        <v>123</v>
      </c>
      <c r="CS25" s="1" t="s">
        <v>123</v>
      </c>
      <c r="DC25" s="1" t="s">
        <v>123</v>
      </c>
      <c r="DM25" s="1" t="s">
        <v>123</v>
      </c>
      <c r="EP25" s="1" t="s">
        <v>123</v>
      </c>
      <c r="FP25" s="1" t="s">
        <v>123</v>
      </c>
      <c r="GX25" t="s">
        <v>1408</v>
      </c>
      <c r="GY25" t="s">
        <v>1409</v>
      </c>
      <c r="GZ25" t="s">
        <v>1410</v>
      </c>
      <c r="HA25" t="s">
        <v>140</v>
      </c>
      <c r="HB25">
        <v>1984</v>
      </c>
      <c r="HC25" t="str">
        <f>VLOOKUP(AnalizaCzyste[[#This Row],[Rok urodzenia]],KategorieWiekowe[],2,1)</f>
        <v>36-45 lat</v>
      </c>
      <c r="HD25" t="s">
        <v>398</v>
      </c>
      <c r="HF25" t="s">
        <v>1411</v>
      </c>
    </row>
    <row r="26" spans="1:216" x14ac:dyDescent="0.45">
      <c r="A26">
        <v>243</v>
      </c>
      <c r="B26">
        <f>_xlfn.IFNA(VLOOKUP(AnalizaCzyste[[#This Row],[Zakończono wypełnianie]],Zakończone[],2,0),"BRAK")</f>
        <v>130</v>
      </c>
      <c r="C26">
        <f t="shared" si="0"/>
        <v>35</v>
      </c>
      <c r="D26" t="s">
        <v>1951</v>
      </c>
      <c r="E26" t="s">
        <v>118</v>
      </c>
      <c r="J26" t="s">
        <v>119</v>
      </c>
      <c r="K26" t="s">
        <v>1952</v>
      </c>
      <c r="L26" t="s">
        <v>1953</v>
      </c>
      <c r="M26">
        <v>942</v>
      </c>
      <c r="N26">
        <v>0</v>
      </c>
      <c r="O26" t="s">
        <v>122</v>
      </c>
      <c r="P26" s="1" t="s">
        <v>123</v>
      </c>
      <c r="AF26" s="1" t="s">
        <v>124</v>
      </c>
      <c r="AG26" t="s">
        <v>223</v>
      </c>
      <c r="AH26" t="str">
        <f>VLOOKUP(AnalizaCzyste[[#This Row],[Jak się nazywa uczelnia którą ukończyłeś? (proszę o wybranie jednej uczelni podlegającej ocenie)]],KategorieUczelni[],2,0)</f>
        <v>Publiczna</v>
      </c>
      <c r="AI26">
        <v>2012</v>
      </c>
      <c r="AJ26" t="s">
        <v>148</v>
      </c>
      <c r="AK26" t="s">
        <v>161</v>
      </c>
      <c r="AL26" t="s">
        <v>128</v>
      </c>
      <c r="AM26" t="s">
        <v>162</v>
      </c>
      <c r="AN26" t="s">
        <v>128</v>
      </c>
      <c r="AO26" t="s">
        <v>128</v>
      </c>
      <c r="AP26" t="s">
        <v>236</v>
      </c>
      <c r="AQ26" t="s">
        <v>530</v>
      </c>
      <c r="AR26" t="s">
        <v>302</v>
      </c>
      <c r="AS26" t="s">
        <v>131</v>
      </c>
      <c r="AT26" t="s">
        <v>1955</v>
      </c>
      <c r="AU26" t="s">
        <v>1956</v>
      </c>
      <c r="AV26" t="s">
        <v>1957</v>
      </c>
      <c r="AW26" t="s">
        <v>157</v>
      </c>
      <c r="AY26" s="1" t="s">
        <v>123</v>
      </c>
      <c r="CS26" s="1" t="s">
        <v>123</v>
      </c>
      <c r="DC26" s="1" t="s">
        <v>123</v>
      </c>
      <c r="DM26" s="1" t="s">
        <v>123</v>
      </c>
      <c r="EP26" s="1" t="s">
        <v>123</v>
      </c>
      <c r="FP26" s="1" t="s">
        <v>123</v>
      </c>
      <c r="GX26" t="s">
        <v>1958</v>
      </c>
      <c r="GY26" t="s">
        <v>1959</v>
      </c>
      <c r="GZ26" t="s">
        <v>1960</v>
      </c>
      <c r="HA26" t="s">
        <v>140</v>
      </c>
      <c r="HB26">
        <v>1986</v>
      </c>
      <c r="HC26" t="str">
        <f>VLOOKUP(AnalizaCzyste[[#This Row],[Rok urodzenia]],KategorieWiekowe[],2,1)</f>
        <v>26-35 lat</v>
      </c>
      <c r="HD26" t="s">
        <v>1630</v>
      </c>
      <c r="HF26" t="s">
        <v>1961</v>
      </c>
      <c r="HG26" t="s">
        <v>142</v>
      </c>
    </row>
    <row r="27" spans="1:216" x14ac:dyDescent="0.45">
      <c r="A27">
        <v>97</v>
      </c>
      <c r="B27">
        <f>_xlfn.IFNA(VLOOKUP(AnalizaCzyste[[#This Row],[Zakończono wypełnianie]],Zakończone[],2,0),"BRAK")</f>
        <v>60</v>
      </c>
      <c r="C27">
        <f t="shared" si="0"/>
        <v>39</v>
      </c>
      <c r="D27" t="s">
        <v>370</v>
      </c>
      <c r="E27" t="s">
        <v>118</v>
      </c>
      <c r="F27" t="s">
        <v>774</v>
      </c>
      <c r="J27" t="s">
        <v>119</v>
      </c>
      <c r="K27" t="s">
        <v>973</v>
      </c>
      <c r="L27" t="s">
        <v>974</v>
      </c>
      <c r="M27">
        <v>1963</v>
      </c>
      <c r="N27">
        <v>0</v>
      </c>
      <c r="O27" t="s">
        <v>122</v>
      </c>
      <c r="P27" s="1" t="s">
        <v>123</v>
      </c>
      <c r="AF27" s="1" t="s">
        <v>124</v>
      </c>
      <c r="AG27" t="s">
        <v>975</v>
      </c>
      <c r="AH27" t="str">
        <f>VLOOKUP(AnalizaCzyste[[#This Row],[Jak się nazywa uczelnia którą ukończyłeś? (proszę o wybranie jednej uczelni podlegającej ocenie)]],KategorieUczelni[],2,0)</f>
        <v>Publiczna</v>
      </c>
      <c r="AI27">
        <v>1996</v>
      </c>
      <c r="AJ27" t="s">
        <v>148</v>
      </c>
      <c r="AK27" t="s">
        <v>601</v>
      </c>
      <c r="AL27" t="s">
        <v>128</v>
      </c>
      <c r="AM27" t="s">
        <v>151</v>
      </c>
      <c r="AN27" t="s">
        <v>169</v>
      </c>
      <c r="AO27" t="s">
        <v>129</v>
      </c>
      <c r="AP27" t="s">
        <v>129</v>
      </c>
      <c r="AQ27" t="s">
        <v>976</v>
      </c>
      <c r="AR27" t="s">
        <v>131</v>
      </c>
      <c r="AS27" t="s">
        <v>131</v>
      </c>
      <c r="AT27" t="s">
        <v>802</v>
      </c>
      <c r="AU27" t="s">
        <v>824</v>
      </c>
      <c r="AV27" t="s">
        <v>977</v>
      </c>
      <c r="AW27" t="s">
        <v>230</v>
      </c>
      <c r="AY27" s="1" t="s">
        <v>123</v>
      </c>
      <c r="CS27" s="1" t="s">
        <v>123</v>
      </c>
      <c r="DC27" s="1" t="s">
        <v>123</v>
      </c>
      <c r="DM27" s="1" t="s">
        <v>123</v>
      </c>
      <c r="EP27" s="1" t="s">
        <v>123</v>
      </c>
      <c r="EQ27" t="s">
        <v>178</v>
      </c>
      <c r="ER27" t="s">
        <v>132</v>
      </c>
      <c r="FP27" s="1" t="s">
        <v>123</v>
      </c>
      <c r="FQ27" t="s">
        <v>132</v>
      </c>
      <c r="FS27" t="s">
        <v>132</v>
      </c>
      <c r="GX27" t="s">
        <v>978</v>
      </c>
      <c r="GY27" t="s">
        <v>819</v>
      </c>
      <c r="GZ27" t="s">
        <v>979</v>
      </c>
      <c r="HA27" t="s">
        <v>140</v>
      </c>
      <c r="HB27">
        <v>1962</v>
      </c>
      <c r="HC27" t="str">
        <f>VLOOKUP(AnalizaCzyste[[#This Row],[Rok urodzenia]],KategorieWiekowe[],2,1)</f>
        <v>56-65 lat</v>
      </c>
      <c r="HD27" t="s">
        <v>220</v>
      </c>
      <c r="HF27" t="s">
        <v>980</v>
      </c>
      <c r="HG27" t="s">
        <v>386</v>
      </c>
    </row>
    <row r="28" spans="1:216" x14ac:dyDescent="0.45">
      <c r="A28">
        <v>164</v>
      </c>
      <c r="B28">
        <f>_xlfn.IFNA(VLOOKUP(AnalizaCzyste[[#This Row],[Zakończono wypełnianie]],Zakończone[],2,0),"BRAK")</f>
        <v>94</v>
      </c>
      <c r="C28">
        <f t="shared" si="0"/>
        <v>36</v>
      </c>
      <c r="D28" t="s">
        <v>1436</v>
      </c>
      <c r="E28" t="s">
        <v>118</v>
      </c>
      <c r="J28" t="s">
        <v>119</v>
      </c>
      <c r="K28" t="s">
        <v>1437</v>
      </c>
      <c r="L28" t="s">
        <v>1438</v>
      </c>
      <c r="M28">
        <v>880</v>
      </c>
      <c r="N28">
        <v>0</v>
      </c>
      <c r="O28" t="s">
        <v>122</v>
      </c>
      <c r="P28" s="1" t="s">
        <v>123</v>
      </c>
      <c r="AF28" s="1" t="s">
        <v>124</v>
      </c>
      <c r="AG28" t="s">
        <v>1439</v>
      </c>
      <c r="AH28" t="str">
        <f>VLOOKUP(AnalizaCzyste[[#This Row],[Jak się nazywa uczelnia którą ukończyłeś? (proszę o wybranie jednej uczelni podlegającej ocenie)]],KategorieUczelni[],2,0)</f>
        <v>Niepubliczna</v>
      </c>
      <c r="AI28">
        <v>2019</v>
      </c>
      <c r="AJ28" t="s">
        <v>148</v>
      </c>
      <c r="AK28" t="s">
        <v>1440</v>
      </c>
      <c r="AL28" t="s">
        <v>128</v>
      </c>
      <c r="AM28" t="s">
        <v>128</v>
      </c>
      <c r="AN28" t="s">
        <v>150</v>
      </c>
      <c r="AO28" t="s">
        <v>169</v>
      </c>
      <c r="AP28" t="s">
        <v>169</v>
      </c>
      <c r="AQ28" t="s">
        <v>1441</v>
      </c>
      <c r="AR28" t="s">
        <v>302</v>
      </c>
      <c r="AS28" t="s">
        <v>226</v>
      </c>
      <c r="AT28" t="s">
        <v>1442</v>
      </c>
      <c r="AU28" t="s">
        <v>1443</v>
      </c>
      <c r="AV28" t="s">
        <v>1444</v>
      </c>
      <c r="AW28" t="s">
        <v>230</v>
      </c>
      <c r="AY28" s="1" t="s">
        <v>123</v>
      </c>
      <c r="CS28" s="1" t="s">
        <v>123</v>
      </c>
      <c r="DC28" s="1" t="s">
        <v>123</v>
      </c>
      <c r="DM28" s="1" t="s">
        <v>123</v>
      </c>
      <c r="EP28" s="1" t="s">
        <v>123</v>
      </c>
      <c r="EQ28" t="s">
        <v>178</v>
      </c>
      <c r="FP28" s="1" t="s">
        <v>123</v>
      </c>
      <c r="GX28" t="s">
        <v>1445</v>
      </c>
      <c r="GY28" t="s">
        <v>1446</v>
      </c>
      <c r="GZ28" t="s">
        <v>1447</v>
      </c>
      <c r="HA28" t="s">
        <v>140</v>
      </c>
      <c r="HB28">
        <v>1990</v>
      </c>
      <c r="HC28" t="str">
        <f>VLOOKUP(AnalizaCzyste[[#This Row],[Rok urodzenia]],KategorieWiekowe[],2,1)</f>
        <v>26-35 lat</v>
      </c>
      <c r="HD28" t="s">
        <v>398</v>
      </c>
      <c r="HF28" t="s">
        <v>1448</v>
      </c>
      <c r="HG28" t="s">
        <v>1449</v>
      </c>
    </row>
    <row r="29" spans="1:216" x14ac:dyDescent="0.45">
      <c r="A29">
        <v>113</v>
      </c>
      <c r="B29">
        <f>_xlfn.IFNA(VLOOKUP(AnalizaCzyste[[#This Row],[Zakończono wypełnianie]],Zakończone[],2,0),"BRAK")</f>
        <v>67</v>
      </c>
      <c r="C29">
        <f t="shared" si="0"/>
        <v>34</v>
      </c>
      <c r="D29" t="s">
        <v>1065</v>
      </c>
      <c r="E29" t="s">
        <v>118</v>
      </c>
      <c r="J29" t="s">
        <v>119</v>
      </c>
      <c r="K29" t="s">
        <v>1066</v>
      </c>
      <c r="L29" t="s">
        <v>1067</v>
      </c>
      <c r="M29">
        <v>2803</v>
      </c>
      <c r="N29">
        <v>0</v>
      </c>
      <c r="O29" t="s">
        <v>122</v>
      </c>
      <c r="P29" s="1" t="s">
        <v>123</v>
      </c>
      <c r="AF29" s="1" t="s">
        <v>124</v>
      </c>
      <c r="AG29" t="s">
        <v>1439</v>
      </c>
      <c r="AH29" t="str">
        <f>VLOOKUP(AnalizaCzyste[[#This Row],[Jak się nazywa uczelnia którą ukończyłeś? (proszę o wybranie jednej uczelni podlegającej ocenie)]],KategorieUczelni[],2,0)</f>
        <v>Niepubliczna</v>
      </c>
      <c r="AI29">
        <v>2019</v>
      </c>
      <c r="AJ29" t="s">
        <v>148</v>
      </c>
      <c r="AK29" t="s">
        <v>1069</v>
      </c>
      <c r="AL29" t="s">
        <v>128</v>
      </c>
      <c r="AM29" t="s">
        <v>151</v>
      </c>
      <c r="AN29" t="s">
        <v>128</v>
      </c>
      <c r="AO29" t="s">
        <v>129</v>
      </c>
      <c r="AP29" t="s">
        <v>132</v>
      </c>
      <c r="AQ29" t="s">
        <v>1070</v>
      </c>
      <c r="AR29" t="s">
        <v>153</v>
      </c>
      <c r="AS29" t="s">
        <v>132</v>
      </c>
      <c r="AU29" t="s">
        <v>1071</v>
      </c>
      <c r="AV29" t="s">
        <v>1072</v>
      </c>
      <c r="AW29" t="s">
        <v>892</v>
      </c>
      <c r="AY29" s="1" t="s">
        <v>123</v>
      </c>
      <c r="CS29" s="1" t="s">
        <v>123</v>
      </c>
      <c r="DC29" s="1" t="s">
        <v>123</v>
      </c>
      <c r="DM29" s="1" t="s">
        <v>123</v>
      </c>
      <c r="EP29" s="1" t="s">
        <v>123</v>
      </c>
      <c r="FP29" s="1" t="s">
        <v>123</v>
      </c>
      <c r="FQ29" t="s">
        <v>132</v>
      </c>
      <c r="GX29" t="s">
        <v>1073</v>
      </c>
      <c r="GY29" t="s">
        <v>1074</v>
      </c>
      <c r="GZ29" t="s">
        <v>1075</v>
      </c>
      <c r="HA29" t="s">
        <v>140</v>
      </c>
      <c r="HB29">
        <v>1991</v>
      </c>
      <c r="HC29" t="str">
        <f>VLOOKUP(AnalizaCzyste[[#This Row],[Rok urodzenia]],KategorieWiekowe[],2,1)</f>
        <v>26-35 lat</v>
      </c>
      <c r="HD29" t="s">
        <v>398</v>
      </c>
      <c r="HG29" t="s">
        <v>1076</v>
      </c>
    </row>
    <row r="30" spans="1:216" x14ac:dyDescent="0.45">
      <c r="A30">
        <v>238</v>
      </c>
      <c r="B30">
        <f>_xlfn.IFNA(VLOOKUP(AnalizaCzyste[[#This Row],[Zakończono wypełnianie]],Zakończone[],2,0),"BRAK")</f>
        <v>129</v>
      </c>
      <c r="C30">
        <f t="shared" si="0"/>
        <v>34</v>
      </c>
      <c r="D30" t="s">
        <v>1142</v>
      </c>
      <c r="E30" t="s">
        <v>118</v>
      </c>
      <c r="F30" t="s">
        <v>1927</v>
      </c>
      <c r="J30" t="s">
        <v>119</v>
      </c>
      <c r="K30" t="s">
        <v>1928</v>
      </c>
      <c r="L30" t="s">
        <v>1929</v>
      </c>
      <c r="M30">
        <v>1449</v>
      </c>
      <c r="N30">
        <v>0</v>
      </c>
      <c r="O30" t="s">
        <v>122</v>
      </c>
      <c r="P30" s="1" t="s">
        <v>123</v>
      </c>
      <c r="AF30" s="1" t="s">
        <v>124</v>
      </c>
      <c r="AG30" t="s">
        <v>2270</v>
      </c>
      <c r="AH30" t="str">
        <f>VLOOKUP(AnalizaCzyste[[#This Row],[Jak się nazywa uczelnia którą ukończyłeś? (proszę o wybranie jednej uczelni podlegającej ocenie)]],KategorieUczelni[],2,0)</f>
        <v>Publiczna</v>
      </c>
      <c r="AI30">
        <v>2007</v>
      </c>
      <c r="AJ30" t="s">
        <v>126</v>
      </c>
      <c r="AK30" t="s">
        <v>1931</v>
      </c>
      <c r="AL30" t="s">
        <v>162</v>
      </c>
      <c r="AM30" t="s">
        <v>162</v>
      </c>
      <c r="AN30" t="s">
        <v>169</v>
      </c>
      <c r="AO30" t="s">
        <v>169</v>
      </c>
      <c r="AP30" t="s">
        <v>169</v>
      </c>
      <c r="AQ30" t="s">
        <v>1932</v>
      </c>
      <c r="AR30" t="s">
        <v>302</v>
      </c>
      <c r="AS30" t="s">
        <v>153</v>
      </c>
      <c r="AT30" t="s">
        <v>1933</v>
      </c>
      <c r="AU30" t="s">
        <v>1934</v>
      </c>
      <c r="AV30" t="s">
        <v>1935</v>
      </c>
      <c r="AX30" t="s">
        <v>1936</v>
      </c>
      <c r="AY30" s="1" t="s">
        <v>123</v>
      </c>
      <c r="CS30" s="1" t="s">
        <v>123</v>
      </c>
      <c r="DC30" s="1" t="s">
        <v>123</v>
      </c>
      <c r="DM30" s="1" t="s">
        <v>123</v>
      </c>
      <c r="EP30" s="1" t="s">
        <v>123</v>
      </c>
      <c r="FP30" s="1" t="s">
        <v>123</v>
      </c>
      <c r="GX30" t="s">
        <v>1937</v>
      </c>
      <c r="GY30" t="s">
        <v>1938</v>
      </c>
      <c r="GZ30" t="s">
        <v>1939</v>
      </c>
      <c r="HA30" t="s">
        <v>186</v>
      </c>
      <c r="HB30" s="42">
        <v>1995</v>
      </c>
      <c r="HC30" t="str">
        <f>VLOOKUP(AnalizaCzyste[[#This Row],[Rok urodzenia]],KategorieWiekowe[],2,1)</f>
        <v>poniżej 26 lat</v>
      </c>
      <c r="HD30" t="s">
        <v>398</v>
      </c>
      <c r="HF30" t="s">
        <v>1940</v>
      </c>
    </row>
    <row r="31" spans="1:216" x14ac:dyDescent="0.45">
      <c r="A31">
        <v>167</v>
      </c>
      <c r="B31">
        <f>_xlfn.IFNA(VLOOKUP(AnalizaCzyste[[#This Row],[Zakończono wypełnianie]],Zakończone[],2,0),"BRAK")</f>
        <v>96</v>
      </c>
      <c r="C31">
        <f t="shared" si="0"/>
        <v>34</v>
      </c>
      <c r="D31" t="s">
        <v>1131</v>
      </c>
      <c r="E31" t="s">
        <v>118</v>
      </c>
      <c r="J31" t="s">
        <v>119</v>
      </c>
      <c r="K31" t="s">
        <v>1459</v>
      </c>
      <c r="L31" t="s">
        <v>1460</v>
      </c>
      <c r="M31">
        <v>665</v>
      </c>
      <c r="N31">
        <v>0</v>
      </c>
      <c r="O31" t="s">
        <v>122</v>
      </c>
      <c r="P31" s="1" t="s">
        <v>123</v>
      </c>
      <c r="AF31" s="1" t="s">
        <v>124</v>
      </c>
      <c r="AG31" t="s">
        <v>1461</v>
      </c>
      <c r="AH31" t="str">
        <f>VLOOKUP(AnalizaCzyste[[#This Row],[Jak się nazywa uczelnia którą ukończyłeś? (proszę o wybranie jednej uczelni podlegającej ocenie)]],KategorieUczelni[],2,0)</f>
        <v>Publiczna</v>
      </c>
      <c r="AI31">
        <v>2007</v>
      </c>
      <c r="AJ31" t="s">
        <v>148</v>
      </c>
      <c r="AK31" t="s">
        <v>1462</v>
      </c>
      <c r="AL31" t="s">
        <v>162</v>
      </c>
      <c r="AM31" t="s">
        <v>151</v>
      </c>
      <c r="AN31" t="s">
        <v>151</v>
      </c>
      <c r="AO31" t="s">
        <v>150</v>
      </c>
      <c r="AP31" t="s">
        <v>128</v>
      </c>
      <c r="AQ31">
        <v>2</v>
      </c>
      <c r="AR31" t="s">
        <v>302</v>
      </c>
      <c r="AS31" t="s">
        <v>302</v>
      </c>
      <c r="AT31" t="s">
        <v>1463</v>
      </c>
      <c r="AU31" t="s">
        <v>1464</v>
      </c>
      <c r="AV31" t="s">
        <v>1465</v>
      </c>
      <c r="AW31" t="s">
        <v>157</v>
      </c>
      <c r="AY31" s="1" t="s">
        <v>123</v>
      </c>
      <c r="CS31" s="1" t="s">
        <v>123</v>
      </c>
      <c r="DC31" s="1" t="s">
        <v>123</v>
      </c>
      <c r="DM31" s="1" t="s">
        <v>123</v>
      </c>
      <c r="EP31" s="1" t="s">
        <v>123</v>
      </c>
      <c r="FP31" s="1" t="s">
        <v>123</v>
      </c>
      <c r="GX31" t="s">
        <v>1466</v>
      </c>
      <c r="GY31" t="s">
        <v>1467</v>
      </c>
      <c r="GZ31" t="s">
        <v>1468</v>
      </c>
      <c r="HA31" t="s">
        <v>140</v>
      </c>
      <c r="HB31">
        <v>1982</v>
      </c>
      <c r="HC31" t="str">
        <f>VLOOKUP(AnalizaCzyste[[#This Row],[Rok urodzenia]],KategorieWiekowe[],2,1)</f>
        <v>36-45 lat</v>
      </c>
      <c r="HD31" t="s">
        <v>398</v>
      </c>
      <c r="HF31" t="s">
        <v>1469</v>
      </c>
    </row>
    <row r="32" spans="1:216" x14ac:dyDescent="0.45">
      <c r="A32">
        <v>26</v>
      </c>
      <c r="B32">
        <f>_xlfn.IFNA(VLOOKUP(AnalizaCzyste[[#This Row],[Zakończono wypełnianie]],Zakończone[],2,0),"BRAK")</f>
        <v>20</v>
      </c>
      <c r="C32">
        <f t="shared" si="0"/>
        <v>37</v>
      </c>
      <c r="D32" t="s">
        <v>425</v>
      </c>
      <c r="E32" t="s">
        <v>118</v>
      </c>
      <c r="J32" t="s">
        <v>119</v>
      </c>
      <c r="K32" t="s">
        <v>426</v>
      </c>
      <c r="L32" t="s">
        <v>427</v>
      </c>
      <c r="M32">
        <v>1039</v>
      </c>
      <c r="N32">
        <v>0</v>
      </c>
      <c r="O32" t="s">
        <v>122</v>
      </c>
      <c r="P32" s="1" t="s">
        <v>123</v>
      </c>
      <c r="AF32" s="1" t="s">
        <v>124</v>
      </c>
      <c r="AG32" t="s">
        <v>428</v>
      </c>
      <c r="AH32" t="str">
        <f>VLOOKUP(AnalizaCzyste[[#This Row],[Jak się nazywa uczelnia którą ukończyłeś? (proszę o wybranie jednej uczelni podlegającej ocenie)]],KategorieUczelni[],2,0)</f>
        <v>Publiczna</v>
      </c>
      <c r="AI32">
        <v>2011</v>
      </c>
      <c r="AJ32" t="s">
        <v>148</v>
      </c>
      <c r="AK32" t="s">
        <v>429</v>
      </c>
      <c r="AL32" t="s">
        <v>162</v>
      </c>
      <c r="AM32" t="s">
        <v>162</v>
      </c>
      <c r="AN32" t="s">
        <v>128</v>
      </c>
      <c r="AO32" t="s">
        <v>128</v>
      </c>
      <c r="AP32" t="s">
        <v>128</v>
      </c>
      <c r="AQ32">
        <v>2</v>
      </c>
      <c r="AR32" t="s">
        <v>131</v>
      </c>
      <c r="AS32" t="s">
        <v>302</v>
      </c>
      <c r="AT32" t="s">
        <v>430</v>
      </c>
      <c r="AU32" t="s">
        <v>431</v>
      </c>
      <c r="AV32" t="s">
        <v>432</v>
      </c>
      <c r="AW32" t="s">
        <v>157</v>
      </c>
      <c r="AY32" s="1" t="s">
        <v>123</v>
      </c>
      <c r="CS32" s="1" t="s">
        <v>123</v>
      </c>
      <c r="DC32" s="1" t="s">
        <v>123</v>
      </c>
      <c r="DM32" s="1" t="s">
        <v>123</v>
      </c>
      <c r="EP32" s="1" t="s">
        <v>123</v>
      </c>
      <c r="EQ32" t="s">
        <v>180</v>
      </c>
      <c r="ER32" t="s">
        <v>132</v>
      </c>
      <c r="FP32" s="1" t="s">
        <v>123</v>
      </c>
      <c r="FQ32" t="s">
        <v>132</v>
      </c>
      <c r="FS32" t="s">
        <v>132</v>
      </c>
      <c r="GX32" t="s">
        <v>433</v>
      </c>
      <c r="GY32" t="s">
        <v>434</v>
      </c>
      <c r="GZ32" t="s">
        <v>435</v>
      </c>
      <c r="HA32" t="s">
        <v>140</v>
      </c>
      <c r="HB32">
        <v>1987</v>
      </c>
      <c r="HC32" t="str">
        <f>VLOOKUP(AnalizaCzyste[[#This Row],[Rok urodzenia]],KategorieWiekowe[],2,1)</f>
        <v>26-35 lat</v>
      </c>
      <c r="HD32" t="s">
        <v>141</v>
      </c>
    </row>
    <row r="33" spans="1:216" x14ac:dyDescent="0.45">
      <c r="A33">
        <v>86</v>
      </c>
      <c r="B33">
        <f>_xlfn.IFNA(VLOOKUP(AnalizaCzyste[[#This Row],[Zakończono wypełnianie]],Zakończone[],2,0),"BRAK")</f>
        <v>51</v>
      </c>
      <c r="C33">
        <f t="shared" si="0"/>
        <v>45</v>
      </c>
      <c r="D33" t="s">
        <v>873</v>
      </c>
      <c r="E33" t="s">
        <v>118</v>
      </c>
      <c r="F33" t="s">
        <v>797</v>
      </c>
      <c r="J33" t="s">
        <v>119</v>
      </c>
      <c r="K33" t="s">
        <v>880</v>
      </c>
      <c r="L33" t="s">
        <v>881</v>
      </c>
      <c r="M33">
        <v>2138</v>
      </c>
      <c r="N33">
        <v>0</v>
      </c>
      <c r="O33" t="s">
        <v>122</v>
      </c>
      <c r="P33" s="1" t="s">
        <v>123</v>
      </c>
      <c r="AF33" s="1" t="s">
        <v>124</v>
      </c>
      <c r="AG33" t="s">
        <v>191</v>
      </c>
      <c r="AH33" t="str">
        <f>VLOOKUP(AnalizaCzyste[[#This Row],[Jak się nazywa uczelnia którą ukończyłeś? (proszę o wybranie jednej uczelni podlegającej ocenie)]],KategorieUczelni[],2,0)</f>
        <v>Publiczna</v>
      </c>
      <c r="AI33">
        <v>2005</v>
      </c>
      <c r="AJ33" t="s">
        <v>126</v>
      </c>
      <c r="AK33" t="s">
        <v>882</v>
      </c>
      <c r="AL33" t="s">
        <v>162</v>
      </c>
      <c r="AM33" t="s">
        <v>162</v>
      </c>
      <c r="AN33" t="s">
        <v>162</v>
      </c>
      <c r="AO33" t="s">
        <v>236</v>
      </c>
      <c r="AP33" t="s">
        <v>128</v>
      </c>
      <c r="AQ33" t="s">
        <v>883</v>
      </c>
      <c r="AR33" t="s">
        <v>131</v>
      </c>
      <c r="AS33" t="s">
        <v>302</v>
      </c>
      <c r="AT33" t="s">
        <v>884</v>
      </c>
      <c r="AU33" t="s">
        <v>532</v>
      </c>
      <c r="AV33" t="s">
        <v>532</v>
      </c>
      <c r="AW33" t="s">
        <v>157</v>
      </c>
      <c r="AX33" t="s">
        <v>878</v>
      </c>
      <c r="AY33" s="1" t="s">
        <v>123</v>
      </c>
      <c r="CS33" s="1" t="s">
        <v>123</v>
      </c>
      <c r="DC33" s="1" t="s">
        <v>123</v>
      </c>
      <c r="DM33" s="1" t="s">
        <v>123</v>
      </c>
      <c r="EP33" s="1" t="s">
        <v>177</v>
      </c>
      <c r="EQ33" t="s">
        <v>178</v>
      </c>
      <c r="ER33">
        <v>1</v>
      </c>
      <c r="ES33" t="s">
        <v>747</v>
      </c>
      <c r="ET33" t="s">
        <v>162</v>
      </c>
      <c r="EU33" t="s">
        <v>162</v>
      </c>
      <c r="EV33" t="s">
        <v>151</v>
      </c>
      <c r="EW33" t="s">
        <v>178</v>
      </c>
      <c r="EX33" t="s">
        <v>885</v>
      </c>
      <c r="EY33" t="s">
        <v>886</v>
      </c>
      <c r="EZ33" t="s">
        <v>173</v>
      </c>
      <c r="FP33" s="1" t="s">
        <v>123</v>
      </c>
      <c r="FQ33" t="s">
        <v>132</v>
      </c>
      <c r="GX33" t="s">
        <v>887</v>
      </c>
      <c r="GY33" t="s">
        <v>532</v>
      </c>
      <c r="GZ33" t="s">
        <v>532</v>
      </c>
      <c r="HA33" t="s">
        <v>140</v>
      </c>
      <c r="HB33">
        <v>1981</v>
      </c>
      <c r="HC33" t="str">
        <f>VLOOKUP(AnalizaCzyste[[#This Row],[Rok urodzenia]],KategorieWiekowe[],2,1)</f>
        <v>36-45 lat</v>
      </c>
      <c r="HD33" t="s">
        <v>141</v>
      </c>
    </row>
    <row r="34" spans="1:216" x14ac:dyDescent="0.45">
      <c r="A34">
        <v>145</v>
      </c>
      <c r="B34">
        <f>_xlfn.IFNA(VLOOKUP(AnalizaCzyste[[#This Row],[Zakończono wypełnianie]],Zakończone[],2,0),"BRAK")</f>
        <v>86</v>
      </c>
      <c r="C34">
        <f t="shared" si="0"/>
        <v>45</v>
      </c>
      <c r="D34" t="s">
        <v>1336</v>
      </c>
      <c r="E34" t="s">
        <v>118</v>
      </c>
      <c r="J34" t="s">
        <v>119</v>
      </c>
      <c r="K34" t="s">
        <v>1337</v>
      </c>
      <c r="L34" t="s">
        <v>1338</v>
      </c>
      <c r="M34">
        <v>516</v>
      </c>
      <c r="N34">
        <v>0</v>
      </c>
      <c r="O34" t="s">
        <v>122</v>
      </c>
      <c r="P34" s="1" t="s">
        <v>123</v>
      </c>
      <c r="AF34" s="1" t="s">
        <v>124</v>
      </c>
      <c r="AG34" t="s">
        <v>191</v>
      </c>
      <c r="AH34" t="str">
        <f>VLOOKUP(AnalizaCzyste[[#This Row],[Jak się nazywa uczelnia którą ukończyłeś? (proszę o wybranie jednej uczelni podlegającej ocenie)]],KategorieUczelni[],2,0)</f>
        <v>Publiczna</v>
      </c>
      <c r="AI34">
        <v>2007</v>
      </c>
      <c r="AJ34" t="s">
        <v>126</v>
      </c>
      <c r="AK34" t="s">
        <v>1339</v>
      </c>
      <c r="AL34" t="s">
        <v>162</v>
      </c>
      <c r="AM34" t="s">
        <v>162</v>
      </c>
      <c r="AN34" t="s">
        <v>150</v>
      </c>
      <c r="AO34" t="s">
        <v>169</v>
      </c>
      <c r="AP34" t="s">
        <v>169</v>
      </c>
      <c r="AQ34" t="s">
        <v>1340</v>
      </c>
      <c r="AR34" t="s">
        <v>131</v>
      </c>
      <c r="AS34" t="s">
        <v>759</v>
      </c>
      <c r="AT34" t="s">
        <v>1341</v>
      </c>
      <c r="AU34" t="s">
        <v>1342</v>
      </c>
      <c r="AV34" t="s">
        <v>1343</v>
      </c>
      <c r="AW34" t="s">
        <v>157</v>
      </c>
      <c r="AX34" t="s">
        <v>1344</v>
      </c>
      <c r="AY34" s="1" t="s">
        <v>123</v>
      </c>
      <c r="CS34" s="1" t="s">
        <v>123</v>
      </c>
      <c r="DC34" s="1" t="s">
        <v>123</v>
      </c>
      <c r="DM34" s="1" t="s">
        <v>123</v>
      </c>
      <c r="EP34" s="1" t="s">
        <v>177</v>
      </c>
      <c r="EQ34" t="s">
        <v>178</v>
      </c>
      <c r="ER34" t="s">
        <v>132</v>
      </c>
      <c r="ES34" t="s">
        <v>191</v>
      </c>
      <c r="ET34" t="s">
        <v>236</v>
      </c>
      <c r="EU34" t="s">
        <v>236</v>
      </c>
      <c r="EV34" t="s">
        <v>151</v>
      </c>
      <c r="EW34" t="s">
        <v>178</v>
      </c>
      <c r="EX34" t="s">
        <v>1345</v>
      </c>
      <c r="EY34" t="s">
        <v>1346</v>
      </c>
      <c r="EZ34" t="s">
        <v>173</v>
      </c>
      <c r="FP34" s="1" t="s">
        <v>123</v>
      </c>
      <c r="GX34" t="s">
        <v>1347</v>
      </c>
      <c r="GY34" t="s">
        <v>1348</v>
      </c>
      <c r="GZ34" t="s">
        <v>1349</v>
      </c>
      <c r="HA34" t="s">
        <v>186</v>
      </c>
      <c r="HB34">
        <v>1982</v>
      </c>
      <c r="HC34" t="str">
        <f>VLOOKUP(AnalizaCzyste[[#This Row],[Rok urodzenia]],KategorieWiekowe[],2,1)</f>
        <v>36-45 lat</v>
      </c>
      <c r="HD34" t="s">
        <v>141</v>
      </c>
      <c r="HF34" t="s">
        <v>1350</v>
      </c>
    </row>
    <row r="35" spans="1:216" x14ac:dyDescent="0.45">
      <c r="A35">
        <v>128</v>
      </c>
      <c r="B35">
        <f>_xlfn.IFNA(VLOOKUP(AnalizaCzyste[[#This Row],[Zakończono wypełnianie]],Zakończone[],2,0),"BRAK")</f>
        <v>77</v>
      </c>
      <c r="C35">
        <f t="shared" ref="C35:C66" si="1">COUNTA(O35:HH35)</f>
        <v>45</v>
      </c>
      <c r="D35" t="s">
        <v>1200</v>
      </c>
      <c r="E35" t="s">
        <v>118</v>
      </c>
      <c r="J35" t="s">
        <v>119</v>
      </c>
      <c r="K35" t="s">
        <v>1201</v>
      </c>
      <c r="L35" t="s">
        <v>1202</v>
      </c>
      <c r="M35">
        <v>658</v>
      </c>
      <c r="N35">
        <v>0</v>
      </c>
      <c r="O35" t="s">
        <v>122</v>
      </c>
      <c r="P35" s="1" t="s">
        <v>123</v>
      </c>
      <c r="AF35" s="1" t="s">
        <v>123</v>
      </c>
      <c r="AH35" t="e">
        <f>VLOOKUP(AnalizaCzyste[[#This Row],[Jak się nazywa uczelnia którą ukończyłeś? (proszę o wybranie jednej uczelni podlegającej ocenie)]],KategorieUczelni[],2,0)</f>
        <v>#N/A</v>
      </c>
      <c r="AY35" s="1" t="s">
        <v>123</v>
      </c>
      <c r="CS35" s="1" t="s">
        <v>123</v>
      </c>
      <c r="DC35" s="1" t="s">
        <v>214</v>
      </c>
      <c r="DD35" t="s">
        <v>191</v>
      </c>
      <c r="DE35" t="s">
        <v>308</v>
      </c>
      <c r="DF35" t="s">
        <v>162</v>
      </c>
      <c r="DG35" t="s">
        <v>162</v>
      </c>
      <c r="DH35" t="s">
        <v>150</v>
      </c>
      <c r="DI35" t="s">
        <v>150</v>
      </c>
      <c r="DJ35" t="s">
        <v>150</v>
      </c>
      <c r="DK35" t="s">
        <v>169</v>
      </c>
      <c r="DL35" t="s">
        <v>1203</v>
      </c>
      <c r="DM35" s="1" t="s">
        <v>123</v>
      </c>
      <c r="EP35" s="1" t="s">
        <v>177</v>
      </c>
      <c r="EQ35" t="s">
        <v>178</v>
      </c>
      <c r="ER35">
        <v>2</v>
      </c>
      <c r="ES35" t="s">
        <v>191</v>
      </c>
      <c r="ET35" t="s">
        <v>169</v>
      </c>
      <c r="EU35" t="s">
        <v>169</v>
      </c>
      <c r="EV35" t="s">
        <v>169</v>
      </c>
      <c r="EW35" t="s">
        <v>178</v>
      </c>
      <c r="EX35" t="s">
        <v>1204</v>
      </c>
      <c r="EY35" t="s">
        <v>1205</v>
      </c>
      <c r="EZ35" t="s">
        <v>1206</v>
      </c>
      <c r="FA35" t="s">
        <v>223</v>
      </c>
      <c r="FB35" t="s">
        <v>128</v>
      </c>
      <c r="FC35" t="s">
        <v>236</v>
      </c>
      <c r="FD35" t="s">
        <v>129</v>
      </c>
      <c r="FE35" t="s">
        <v>178</v>
      </c>
      <c r="FF35" t="s">
        <v>960</v>
      </c>
      <c r="FG35" t="s">
        <v>1207</v>
      </c>
      <c r="FH35" t="s">
        <v>173</v>
      </c>
      <c r="FP35" s="1" t="s">
        <v>123</v>
      </c>
      <c r="GX35" t="s">
        <v>1208</v>
      </c>
      <c r="GY35" t="s">
        <v>1209</v>
      </c>
      <c r="GZ35" t="s">
        <v>1210</v>
      </c>
      <c r="HA35" t="s">
        <v>186</v>
      </c>
      <c r="HB35">
        <v>1987</v>
      </c>
      <c r="HC35" t="str">
        <f>VLOOKUP(AnalizaCzyste[[#This Row],[Rok urodzenia]],KategorieWiekowe[],2,1)</f>
        <v>26-35 lat</v>
      </c>
      <c r="HD35" t="s">
        <v>141</v>
      </c>
      <c r="HF35" t="s">
        <v>191</v>
      </c>
    </row>
    <row r="36" spans="1:216" x14ac:dyDescent="0.45">
      <c r="A36">
        <v>70</v>
      </c>
      <c r="B36">
        <f>_xlfn.IFNA(VLOOKUP(AnalizaCzyste[[#This Row],[Zakończono wypełnianie]],Zakończone[],2,0),"BRAK")</f>
        <v>39</v>
      </c>
      <c r="C36">
        <f t="shared" si="1"/>
        <v>56</v>
      </c>
      <c r="D36" t="s">
        <v>714</v>
      </c>
      <c r="E36" t="s">
        <v>118</v>
      </c>
      <c r="J36" t="s">
        <v>119</v>
      </c>
      <c r="K36" t="s">
        <v>715</v>
      </c>
      <c r="L36" t="s">
        <v>716</v>
      </c>
      <c r="M36">
        <v>1868</v>
      </c>
      <c r="N36">
        <v>0</v>
      </c>
      <c r="O36" t="s">
        <v>122</v>
      </c>
      <c r="P36" s="1" t="s">
        <v>123</v>
      </c>
      <c r="AF36" s="1" t="s">
        <v>124</v>
      </c>
      <c r="AG36" t="s">
        <v>191</v>
      </c>
      <c r="AH36" t="str">
        <f>VLOOKUP(AnalizaCzyste[[#This Row],[Jak się nazywa uczelnia którą ukończyłeś? (proszę o wybranie jednej uczelni podlegającej ocenie)]],KategorieUczelni[],2,0)</f>
        <v>Publiczna</v>
      </c>
      <c r="AI36">
        <v>2008</v>
      </c>
      <c r="AJ36" t="s">
        <v>126</v>
      </c>
      <c r="AK36" t="s">
        <v>717</v>
      </c>
      <c r="AL36" t="s">
        <v>162</v>
      </c>
      <c r="AM36" t="s">
        <v>151</v>
      </c>
      <c r="AN36" t="s">
        <v>162</v>
      </c>
      <c r="AO36" t="s">
        <v>236</v>
      </c>
      <c r="AP36" t="s">
        <v>236</v>
      </c>
      <c r="AQ36" t="s">
        <v>718</v>
      </c>
      <c r="AR36" t="s">
        <v>131</v>
      </c>
      <c r="AS36" t="s">
        <v>302</v>
      </c>
      <c r="AT36" t="s">
        <v>719</v>
      </c>
      <c r="AU36" t="s">
        <v>720</v>
      </c>
      <c r="AV36" t="s">
        <v>721</v>
      </c>
      <c r="AW36" t="s">
        <v>172</v>
      </c>
      <c r="AY36" s="1" t="s">
        <v>123</v>
      </c>
      <c r="CS36" s="1" t="s">
        <v>123</v>
      </c>
      <c r="DC36" s="1" t="s">
        <v>214</v>
      </c>
      <c r="DD36" t="s">
        <v>2275</v>
      </c>
      <c r="DE36" t="s">
        <v>2276</v>
      </c>
      <c r="DF36" t="s">
        <v>150</v>
      </c>
      <c r="DG36" t="s">
        <v>162</v>
      </c>
      <c r="DH36" t="s">
        <v>151</v>
      </c>
      <c r="DI36" t="s">
        <v>162</v>
      </c>
      <c r="DJ36" t="s">
        <v>128</v>
      </c>
      <c r="DK36" t="s">
        <v>128</v>
      </c>
      <c r="DL36" t="s">
        <v>724</v>
      </c>
      <c r="DM36" s="1" t="s">
        <v>123</v>
      </c>
      <c r="EP36" s="1" t="s">
        <v>177</v>
      </c>
      <c r="EQ36" t="s">
        <v>180</v>
      </c>
      <c r="ER36">
        <v>1</v>
      </c>
      <c r="ES36" t="s">
        <v>722</v>
      </c>
      <c r="ET36" t="s">
        <v>162</v>
      </c>
      <c r="EU36" t="s">
        <v>150</v>
      </c>
      <c r="EV36" t="s">
        <v>236</v>
      </c>
      <c r="EW36" t="s">
        <v>178</v>
      </c>
      <c r="EX36" t="s">
        <v>725</v>
      </c>
      <c r="EY36" t="s">
        <v>726</v>
      </c>
      <c r="EZ36" t="s">
        <v>173</v>
      </c>
      <c r="FP36" s="1" t="s">
        <v>123</v>
      </c>
      <c r="FQ36" t="s">
        <v>132</v>
      </c>
      <c r="FS36" t="s">
        <v>132</v>
      </c>
      <c r="GX36" t="s">
        <v>727</v>
      </c>
      <c r="GY36" t="s">
        <v>728</v>
      </c>
      <c r="GZ36" t="s">
        <v>729</v>
      </c>
      <c r="HA36" t="s">
        <v>186</v>
      </c>
      <c r="HB36">
        <v>1983</v>
      </c>
      <c r="HC36" t="str">
        <f>VLOOKUP(AnalizaCzyste[[#This Row],[Rok urodzenia]],KategorieWiekowe[],2,1)</f>
        <v>36-45 lat</v>
      </c>
      <c r="HD36" t="s">
        <v>141</v>
      </c>
      <c r="HF36" t="s">
        <v>730</v>
      </c>
      <c r="HH36" t="s">
        <v>731</v>
      </c>
    </row>
    <row r="37" spans="1:216" x14ac:dyDescent="0.45">
      <c r="A37">
        <v>212</v>
      </c>
      <c r="B37">
        <f>_xlfn.IFNA(VLOOKUP(AnalizaCzyste[[#This Row],[Zakończono wypełnianie]],Zakończone[],2,0),"BRAK")</f>
        <v>116</v>
      </c>
      <c r="C37">
        <f t="shared" si="1"/>
        <v>32</v>
      </c>
      <c r="D37" t="s">
        <v>1751</v>
      </c>
      <c r="E37" t="s">
        <v>118</v>
      </c>
      <c r="J37" t="s">
        <v>119</v>
      </c>
      <c r="K37" t="s">
        <v>1752</v>
      </c>
      <c r="L37" t="s">
        <v>1753</v>
      </c>
      <c r="M37">
        <v>625</v>
      </c>
      <c r="N37">
        <v>0</v>
      </c>
      <c r="O37" t="s">
        <v>122</v>
      </c>
      <c r="P37" s="1" t="s">
        <v>123</v>
      </c>
      <c r="AF37" s="1" t="s">
        <v>124</v>
      </c>
      <c r="AG37" t="s">
        <v>191</v>
      </c>
      <c r="AH37" t="str">
        <f>VLOOKUP(AnalizaCzyste[[#This Row],[Jak się nazywa uczelnia którą ukończyłeś? (proszę o wybranie jednej uczelni podlegającej ocenie)]],KategorieUczelni[],2,0)</f>
        <v>Publiczna</v>
      </c>
      <c r="AI37">
        <v>2009</v>
      </c>
      <c r="AJ37" t="s">
        <v>126</v>
      </c>
      <c r="AK37" t="s">
        <v>192</v>
      </c>
      <c r="AL37" t="s">
        <v>162</v>
      </c>
      <c r="AM37" t="s">
        <v>150</v>
      </c>
      <c r="AN37" t="s">
        <v>169</v>
      </c>
      <c r="AO37" t="s">
        <v>169</v>
      </c>
      <c r="AP37" t="s">
        <v>169</v>
      </c>
      <c r="AQ37" t="s">
        <v>530</v>
      </c>
      <c r="AR37" t="s">
        <v>226</v>
      </c>
      <c r="AS37" t="s">
        <v>759</v>
      </c>
      <c r="AU37" t="s">
        <v>1754</v>
      </c>
      <c r="AV37" t="s">
        <v>1755</v>
      </c>
      <c r="AX37" t="s">
        <v>1756</v>
      </c>
      <c r="AY37" s="1" t="s">
        <v>123</v>
      </c>
      <c r="CS37" s="1" t="s">
        <v>123</v>
      </c>
      <c r="DC37" s="1" t="s">
        <v>123</v>
      </c>
      <c r="DM37" s="1" t="s">
        <v>123</v>
      </c>
      <c r="EP37" s="1" t="s">
        <v>123</v>
      </c>
      <c r="FP37" s="1" t="s">
        <v>123</v>
      </c>
      <c r="GX37" t="s">
        <v>1757</v>
      </c>
      <c r="GY37" t="s">
        <v>1758</v>
      </c>
      <c r="GZ37" t="s">
        <v>1759</v>
      </c>
      <c r="HA37" t="s">
        <v>186</v>
      </c>
      <c r="HB37">
        <v>1984</v>
      </c>
      <c r="HC37" t="str">
        <f>VLOOKUP(AnalizaCzyste[[#This Row],[Rok urodzenia]],KategorieWiekowe[],2,1)</f>
        <v>36-45 lat</v>
      </c>
      <c r="HD37" t="s">
        <v>141</v>
      </c>
    </row>
    <row r="38" spans="1:216" x14ac:dyDescent="0.45">
      <c r="A38">
        <v>187</v>
      </c>
      <c r="B38">
        <f>_xlfn.IFNA(VLOOKUP(AnalizaCzyste[[#This Row],[Zakończono wypełnianie]],Zakończone[],2,0),"BRAK")</f>
        <v>106</v>
      </c>
      <c r="C38">
        <f t="shared" si="1"/>
        <v>35</v>
      </c>
      <c r="D38" t="s">
        <v>1574</v>
      </c>
      <c r="E38" t="s">
        <v>118</v>
      </c>
      <c r="J38" t="s">
        <v>119</v>
      </c>
      <c r="K38" t="s">
        <v>1575</v>
      </c>
      <c r="L38" t="s">
        <v>1576</v>
      </c>
      <c r="M38">
        <v>701</v>
      </c>
      <c r="N38">
        <v>0</v>
      </c>
      <c r="O38" t="s">
        <v>122</v>
      </c>
      <c r="P38" s="1" t="s">
        <v>123</v>
      </c>
      <c r="AF38" s="1" t="s">
        <v>124</v>
      </c>
      <c r="AG38" t="s">
        <v>191</v>
      </c>
      <c r="AH38" t="str">
        <f>VLOOKUP(AnalizaCzyste[[#This Row],[Jak się nazywa uczelnia którą ukończyłeś? (proszę o wybranie jednej uczelni podlegającej ocenie)]],KategorieUczelni[],2,0)</f>
        <v>Publiczna</v>
      </c>
      <c r="AI38" s="42">
        <v>2009</v>
      </c>
      <c r="AJ38" t="s">
        <v>126</v>
      </c>
      <c r="AK38" t="s">
        <v>1578</v>
      </c>
      <c r="AL38" t="s">
        <v>162</v>
      </c>
      <c r="AM38" t="s">
        <v>162</v>
      </c>
      <c r="AN38" t="s">
        <v>151</v>
      </c>
      <c r="AO38" t="s">
        <v>162</v>
      </c>
      <c r="AP38" t="s">
        <v>151</v>
      </c>
      <c r="AQ38" t="s">
        <v>530</v>
      </c>
      <c r="AR38" t="s">
        <v>302</v>
      </c>
      <c r="AS38" t="s">
        <v>302</v>
      </c>
      <c r="AU38" t="s">
        <v>1579</v>
      </c>
      <c r="AV38" t="s">
        <v>1580</v>
      </c>
      <c r="AW38" t="s">
        <v>157</v>
      </c>
      <c r="AX38" t="s">
        <v>1581</v>
      </c>
      <c r="AY38" s="1" t="s">
        <v>123</v>
      </c>
      <c r="CS38" s="1" t="s">
        <v>123</v>
      </c>
      <c r="DC38" s="1" t="s">
        <v>123</v>
      </c>
      <c r="DM38" s="1" t="s">
        <v>123</v>
      </c>
      <c r="EP38" s="1" t="s">
        <v>123</v>
      </c>
      <c r="FP38" s="1" t="s">
        <v>123</v>
      </c>
      <c r="GX38" t="s">
        <v>1582</v>
      </c>
      <c r="GY38" t="s">
        <v>1583</v>
      </c>
      <c r="GZ38" t="s">
        <v>1584</v>
      </c>
      <c r="HA38" t="s">
        <v>140</v>
      </c>
      <c r="HB38">
        <v>1985</v>
      </c>
      <c r="HC38" t="str">
        <f>VLOOKUP(AnalizaCzyste[[#This Row],[Rok urodzenia]],KategorieWiekowe[],2,1)</f>
        <v>26-35 lat</v>
      </c>
      <c r="HD38" t="s">
        <v>220</v>
      </c>
      <c r="HF38" t="s">
        <v>1585</v>
      </c>
      <c r="HG38" t="s">
        <v>1586</v>
      </c>
    </row>
    <row r="39" spans="1:216" x14ac:dyDescent="0.45">
      <c r="A39">
        <v>156</v>
      </c>
      <c r="B39">
        <f>_xlfn.IFNA(VLOOKUP(AnalizaCzyste[[#This Row],[Zakończono wypełnianie]],Zakończone[],2,0),"BRAK")</f>
        <v>90</v>
      </c>
      <c r="C39">
        <f t="shared" si="1"/>
        <v>34</v>
      </c>
      <c r="D39" t="s">
        <v>1142</v>
      </c>
      <c r="E39" t="s">
        <v>118</v>
      </c>
      <c r="J39" t="s">
        <v>119</v>
      </c>
      <c r="K39" t="s">
        <v>1391</v>
      </c>
      <c r="L39" t="s">
        <v>1392</v>
      </c>
      <c r="M39">
        <v>415</v>
      </c>
      <c r="N39">
        <v>0</v>
      </c>
      <c r="O39" t="s">
        <v>122</v>
      </c>
      <c r="P39" s="1" t="s">
        <v>123</v>
      </c>
      <c r="AF39" s="1" t="s">
        <v>124</v>
      </c>
      <c r="AG39" t="s">
        <v>191</v>
      </c>
      <c r="AH39" t="str">
        <f>VLOOKUP(AnalizaCzyste[[#This Row],[Jak się nazywa uczelnia którą ukończyłeś? (proszę o wybranie jednej uczelni podlegającej ocenie)]],KategorieUczelni[],2,0)</f>
        <v>Publiczna</v>
      </c>
      <c r="AI39">
        <v>2012</v>
      </c>
      <c r="AJ39" t="s">
        <v>126</v>
      </c>
      <c r="AK39" t="s">
        <v>1393</v>
      </c>
      <c r="AL39" t="s">
        <v>162</v>
      </c>
      <c r="AM39" t="s">
        <v>150</v>
      </c>
      <c r="AN39" t="s">
        <v>150</v>
      </c>
      <c r="AO39" t="s">
        <v>236</v>
      </c>
      <c r="AP39" t="s">
        <v>236</v>
      </c>
      <c r="AQ39" t="s">
        <v>1340</v>
      </c>
      <c r="AR39" t="s">
        <v>302</v>
      </c>
      <c r="AS39" t="s">
        <v>153</v>
      </c>
      <c r="AT39" t="s">
        <v>1394</v>
      </c>
      <c r="AU39" t="s">
        <v>1395</v>
      </c>
      <c r="AV39" t="s">
        <v>1396</v>
      </c>
      <c r="AX39" t="s">
        <v>1397</v>
      </c>
      <c r="AY39" s="1" t="s">
        <v>123</v>
      </c>
      <c r="CS39" s="1" t="s">
        <v>123</v>
      </c>
      <c r="DC39" s="1" t="s">
        <v>123</v>
      </c>
      <c r="DM39" s="1" t="s">
        <v>123</v>
      </c>
      <c r="EP39" s="1" t="s">
        <v>123</v>
      </c>
      <c r="FP39" s="1" t="s">
        <v>123</v>
      </c>
      <c r="GX39" t="s">
        <v>1398</v>
      </c>
      <c r="GY39" t="s">
        <v>1399</v>
      </c>
      <c r="GZ39" t="s">
        <v>1400</v>
      </c>
      <c r="HA39" t="s">
        <v>140</v>
      </c>
      <c r="HB39">
        <v>1985</v>
      </c>
      <c r="HC39" t="str">
        <f>VLOOKUP(AnalizaCzyste[[#This Row],[Rok urodzenia]],KategorieWiekowe[],2,1)</f>
        <v>26-35 lat</v>
      </c>
      <c r="HD39" t="s">
        <v>141</v>
      </c>
      <c r="HF39" t="s">
        <v>1401</v>
      </c>
    </row>
    <row r="40" spans="1:216" x14ac:dyDescent="0.45">
      <c r="A40">
        <v>6</v>
      </c>
      <c r="B40">
        <f>_xlfn.IFNA(VLOOKUP(AnalizaCzyste[[#This Row],[Zakończono wypełnianie]],Zakończone[],2,0),"BRAK")</f>
        <v>6</v>
      </c>
      <c r="C40">
        <f t="shared" si="1"/>
        <v>34</v>
      </c>
      <c r="D40" t="s">
        <v>248</v>
      </c>
      <c r="E40" t="s">
        <v>118</v>
      </c>
      <c r="J40" t="s">
        <v>119</v>
      </c>
      <c r="K40" t="s">
        <v>249</v>
      </c>
      <c r="L40" t="s">
        <v>250</v>
      </c>
      <c r="M40">
        <v>902</v>
      </c>
      <c r="N40">
        <v>0</v>
      </c>
      <c r="O40" t="s">
        <v>122</v>
      </c>
      <c r="P40" s="1" t="s">
        <v>123</v>
      </c>
      <c r="AF40" s="1" t="s">
        <v>124</v>
      </c>
      <c r="AG40" t="s">
        <v>191</v>
      </c>
      <c r="AH40" t="str">
        <f>VLOOKUP(AnalizaCzyste[[#This Row],[Jak się nazywa uczelnia którą ukończyłeś? (proszę o wybranie jednej uczelni podlegającej ocenie)]],KategorieUczelni[],2,0)</f>
        <v>Publiczna</v>
      </c>
      <c r="AI40">
        <v>2013</v>
      </c>
      <c r="AJ40" t="s">
        <v>126</v>
      </c>
      <c r="AK40" t="s">
        <v>251</v>
      </c>
      <c r="AL40" t="s">
        <v>162</v>
      </c>
      <c r="AM40" t="s">
        <v>162</v>
      </c>
      <c r="AN40" t="s">
        <v>151</v>
      </c>
      <c r="AO40" t="s">
        <v>132</v>
      </c>
      <c r="AP40" t="s">
        <v>132</v>
      </c>
      <c r="AQ40" t="s">
        <v>252</v>
      </c>
      <c r="AR40" t="s">
        <v>132</v>
      </c>
      <c r="AS40" t="s">
        <v>132</v>
      </c>
      <c r="AT40" t="s">
        <v>253</v>
      </c>
      <c r="AU40" t="s">
        <v>254</v>
      </c>
      <c r="AV40" t="s">
        <v>255</v>
      </c>
      <c r="AW40" t="s">
        <v>157</v>
      </c>
      <c r="AY40" s="1" t="s">
        <v>123</v>
      </c>
      <c r="CS40" s="1" t="s">
        <v>123</v>
      </c>
      <c r="DC40" s="1" t="s">
        <v>123</v>
      </c>
      <c r="DM40" s="1" t="s">
        <v>123</v>
      </c>
      <c r="EP40" s="1" t="s">
        <v>123</v>
      </c>
      <c r="FP40" s="1" t="s">
        <v>123</v>
      </c>
      <c r="FQ40" t="s">
        <v>132</v>
      </c>
      <c r="GX40" t="s">
        <v>256</v>
      </c>
      <c r="GY40" t="s">
        <v>257</v>
      </c>
      <c r="GZ40" t="s">
        <v>258</v>
      </c>
      <c r="HA40" t="s">
        <v>140</v>
      </c>
      <c r="HB40">
        <v>1988</v>
      </c>
      <c r="HC40" t="str">
        <f>VLOOKUP(AnalizaCzyste[[#This Row],[Rok urodzenia]],KategorieWiekowe[],2,1)</f>
        <v>26-35 lat</v>
      </c>
      <c r="HD40" t="s">
        <v>141</v>
      </c>
    </row>
    <row r="41" spans="1:216" x14ac:dyDescent="0.45">
      <c r="A41">
        <v>215</v>
      </c>
      <c r="B41">
        <f>_xlfn.IFNA(VLOOKUP(AnalizaCzyste[[#This Row],[Zakończono wypełnianie]],Zakończone[],2,0),"BRAK")</f>
        <v>118</v>
      </c>
      <c r="C41">
        <f t="shared" si="1"/>
        <v>34</v>
      </c>
      <c r="D41" t="s">
        <v>1131</v>
      </c>
      <c r="E41" t="s">
        <v>118</v>
      </c>
      <c r="J41" t="s">
        <v>119</v>
      </c>
      <c r="K41" t="s">
        <v>1770</v>
      </c>
      <c r="L41" t="s">
        <v>1771</v>
      </c>
      <c r="M41">
        <v>1129</v>
      </c>
      <c r="N41">
        <v>0</v>
      </c>
      <c r="O41" t="s">
        <v>122</v>
      </c>
      <c r="P41" s="1" t="s">
        <v>123</v>
      </c>
      <c r="AF41" s="1" t="s">
        <v>124</v>
      </c>
      <c r="AG41" t="s">
        <v>191</v>
      </c>
      <c r="AH41" t="str">
        <f>VLOOKUP(AnalizaCzyste[[#This Row],[Jak się nazywa uczelnia którą ukończyłeś? (proszę o wybranie jednej uczelni podlegającej ocenie)]],KategorieUczelni[],2,0)</f>
        <v>Publiczna</v>
      </c>
      <c r="AI41">
        <v>2014</v>
      </c>
      <c r="AJ41" t="s">
        <v>126</v>
      </c>
      <c r="AK41" t="s">
        <v>1186</v>
      </c>
      <c r="AL41" t="s">
        <v>162</v>
      </c>
      <c r="AM41" t="s">
        <v>150</v>
      </c>
      <c r="AN41" t="s">
        <v>162</v>
      </c>
      <c r="AO41" t="s">
        <v>162</v>
      </c>
      <c r="AP41" t="s">
        <v>150</v>
      </c>
      <c r="AQ41">
        <v>1</v>
      </c>
      <c r="AR41" t="s">
        <v>131</v>
      </c>
      <c r="AS41" t="s">
        <v>153</v>
      </c>
      <c r="AU41" t="s">
        <v>766</v>
      </c>
      <c r="AV41" t="s">
        <v>1772</v>
      </c>
      <c r="AW41" t="s">
        <v>172</v>
      </c>
      <c r="AY41" s="1" t="s">
        <v>123</v>
      </c>
      <c r="CS41" s="1" t="s">
        <v>123</v>
      </c>
      <c r="DC41" s="1" t="s">
        <v>123</v>
      </c>
      <c r="DM41" s="1" t="s">
        <v>123</v>
      </c>
      <c r="EP41" s="1" t="s">
        <v>123</v>
      </c>
      <c r="FP41" s="1" t="s">
        <v>123</v>
      </c>
      <c r="GX41" t="s">
        <v>1773</v>
      </c>
      <c r="GY41" t="s">
        <v>1774</v>
      </c>
      <c r="GZ41" t="s">
        <v>1775</v>
      </c>
      <c r="HA41" t="s">
        <v>140</v>
      </c>
      <c r="HB41">
        <v>1990</v>
      </c>
      <c r="HC41" t="str">
        <f>VLOOKUP(AnalizaCzyste[[#This Row],[Rok urodzenia]],KategorieWiekowe[],2,1)</f>
        <v>26-35 lat</v>
      </c>
      <c r="HD41" t="s">
        <v>141</v>
      </c>
      <c r="HF41" t="s">
        <v>1776</v>
      </c>
      <c r="HG41" t="s">
        <v>1777</v>
      </c>
    </row>
    <row r="42" spans="1:216" x14ac:dyDescent="0.45">
      <c r="A42">
        <v>231</v>
      </c>
      <c r="B42">
        <f>_xlfn.IFNA(VLOOKUP(AnalizaCzyste[[#This Row],[Zakończono wypełnianie]],Zakończone[],2,0),"BRAK")</f>
        <v>124</v>
      </c>
      <c r="C42">
        <f t="shared" si="1"/>
        <v>33</v>
      </c>
      <c r="D42" t="s">
        <v>1864</v>
      </c>
      <c r="E42" t="s">
        <v>118</v>
      </c>
      <c r="F42" t="s">
        <v>359</v>
      </c>
      <c r="J42" t="s">
        <v>119</v>
      </c>
      <c r="K42" t="s">
        <v>1865</v>
      </c>
      <c r="L42" t="s">
        <v>1866</v>
      </c>
      <c r="M42">
        <v>607</v>
      </c>
      <c r="N42">
        <v>0</v>
      </c>
      <c r="O42" t="s">
        <v>122</v>
      </c>
      <c r="P42" s="1" t="s">
        <v>123</v>
      </c>
      <c r="AF42" s="1" t="s">
        <v>124</v>
      </c>
      <c r="AG42" t="s">
        <v>191</v>
      </c>
      <c r="AH42" t="str">
        <f>VLOOKUP(AnalizaCzyste[[#This Row],[Jak się nazywa uczelnia którą ukończyłeś? (proszę o wybranie jednej uczelni podlegającej ocenie)]],KategorieUczelni[],2,0)</f>
        <v>Publiczna</v>
      </c>
      <c r="AI42">
        <v>2015</v>
      </c>
      <c r="AJ42" t="s">
        <v>148</v>
      </c>
      <c r="AK42" t="s">
        <v>1867</v>
      </c>
      <c r="AL42" t="s">
        <v>162</v>
      </c>
      <c r="AM42" t="s">
        <v>150</v>
      </c>
      <c r="AN42" t="s">
        <v>169</v>
      </c>
      <c r="AO42" t="s">
        <v>151</v>
      </c>
      <c r="AP42" t="s">
        <v>162</v>
      </c>
      <c r="AQ42" t="s">
        <v>1868</v>
      </c>
      <c r="AR42" t="s">
        <v>153</v>
      </c>
      <c r="AS42" t="s">
        <v>226</v>
      </c>
      <c r="AT42" t="s">
        <v>1869</v>
      </c>
      <c r="AU42" t="s">
        <v>1870</v>
      </c>
      <c r="AV42" t="s">
        <v>1871</v>
      </c>
      <c r="AW42" t="s">
        <v>172</v>
      </c>
      <c r="AY42" s="1" t="s">
        <v>123</v>
      </c>
      <c r="CS42" s="1" t="s">
        <v>123</v>
      </c>
      <c r="DC42" s="1" t="s">
        <v>123</v>
      </c>
      <c r="DM42" s="1" t="s">
        <v>123</v>
      </c>
      <c r="EP42" s="1" t="s">
        <v>123</v>
      </c>
      <c r="FP42" s="1" t="s">
        <v>123</v>
      </c>
      <c r="GX42" t="s">
        <v>276</v>
      </c>
      <c r="GY42" t="s">
        <v>1872</v>
      </c>
      <c r="GZ42" t="s">
        <v>1873</v>
      </c>
      <c r="HA42" t="s">
        <v>186</v>
      </c>
      <c r="HB42">
        <v>1991</v>
      </c>
      <c r="HC42" t="str">
        <f>VLOOKUP(AnalizaCzyste[[#This Row],[Rok urodzenia]],KategorieWiekowe[],2,1)</f>
        <v>26-35 lat</v>
      </c>
      <c r="HD42" t="s">
        <v>398</v>
      </c>
    </row>
    <row r="43" spans="1:216" x14ac:dyDescent="0.45">
      <c r="A43">
        <v>139</v>
      </c>
      <c r="B43">
        <f>_xlfn.IFNA(VLOOKUP(AnalizaCzyste[[#This Row],[Zakończono wypełnianie]],Zakończone[],2,0),"BRAK")</f>
        <v>84</v>
      </c>
      <c r="C43">
        <f t="shared" si="1"/>
        <v>49</v>
      </c>
      <c r="D43" t="s">
        <v>1302</v>
      </c>
      <c r="E43" t="s">
        <v>118</v>
      </c>
      <c r="J43" t="s">
        <v>119</v>
      </c>
      <c r="K43" t="s">
        <v>1303</v>
      </c>
      <c r="L43" t="s">
        <v>1304</v>
      </c>
      <c r="M43">
        <v>558</v>
      </c>
      <c r="N43">
        <v>0</v>
      </c>
      <c r="O43" t="s">
        <v>122</v>
      </c>
      <c r="P43" s="1" t="s">
        <v>416</v>
      </c>
      <c r="Q43" t="s">
        <v>191</v>
      </c>
      <c r="R43" t="s">
        <v>126</v>
      </c>
      <c r="S43" t="s">
        <v>1305</v>
      </c>
      <c r="T43" t="s">
        <v>162</v>
      </c>
      <c r="U43" t="s">
        <v>128</v>
      </c>
      <c r="V43" t="s">
        <v>150</v>
      </c>
      <c r="W43" t="s">
        <v>1306</v>
      </c>
      <c r="X43" t="s">
        <v>153</v>
      </c>
      <c r="Y43" t="s">
        <v>759</v>
      </c>
      <c r="Z43" t="s">
        <v>1307</v>
      </c>
      <c r="AA43" t="s">
        <v>1308</v>
      </c>
      <c r="AB43" t="s">
        <v>1309</v>
      </c>
      <c r="AC43" t="s">
        <v>230</v>
      </c>
      <c r="AE43">
        <v>2</v>
      </c>
      <c r="AF43" s="1" t="s">
        <v>124</v>
      </c>
      <c r="AG43" t="s">
        <v>191</v>
      </c>
      <c r="AH43" t="str">
        <f>VLOOKUP(AnalizaCzyste[[#This Row],[Jak się nazywa uczelnia którą ukończyłeś? (proszę o wybranie jednej uczelni podlegającej ocenie)]],KategorieUczelni[],2,0)</f>
        <v>Publiczna</v>
      </c>
      <c r="AI43">
        <v>2015</v>
      </c>
      <c r="AJ43" t="s">
        <v>126</v>
      </c>
      <c r="AK43" t="s">
        <v>1312</v>
      </c>
      <c r="AL43" t="s">
        <v>162</v>
      </c>
      <c r="AM43" t="s">
        <v>128</v>
      </c>
      <c r="AN43" t="s">
        <v>162</v>
      </c>
      <c r="AO43" t="s">
        <v>162</v>
      </c>
      <c r="AP43" t="s">
        <v>162</v>
      </c>
      <c r="AQ43" t="s">
        <v>237</v>
      </c>
      <c r="AR43" t="s">
        <v>302</v>
      </c>
      <c r="AS43" t="s">
        <v>153</v>
      </c>
      <c r="AT43" t="s">
        <v>1313</v>
      </c>
      <c r="AU43" t="s">
        <v>1314</v>
      </c>
      <c r="AV43" t="s">
        <v>1315</v>
      </c>
      <c r="AW43" t="s">
        <v>172</v>
      </c>
      <c r="AY43" s="1" t="s">
        <v>123</v>
      </c>
      <c r="CS43" s="1" t="s">
        <v>123</v>
      </c>
      <c r="DC43" s="1" t="s">
        <v>123</v>
      </c>
      <c r="DM43" s="1" t="s">
        <v>123</v>
      </c>
      <c r="EP43" s="1" t="s">
        <v>123</v>
      </c>
      <c r="FP43" s="1" t="s">
        <v>123</v>
      </c>
      <c r="GX43" t="s">
        <v>1316</v>
      </c>
      <c r="GY43" t="s">
        <v>1317</v>
      </c>
      <c r="GZ43" t="s">
        <v>1318</v>
      </c>
      <c r="HA43" t="s">
        <v>186</v>
      </c>
      <c r="HB43">
        <v>1992</v>
      </c>
      <c r="HC43" t="str">
        <f>VLOOKUP(AnalizaCzyste[[#This Row],[Rok urodzenia]],KategorieWiekowe[],2,1)</f>
        <v>26-35 lat</v>
      </c>
      <c r="HD43" t="s">
        <v>398</v>
      </c>
      <c r="HF43" t="s">
        <v>1319</v>
      </c>
      <c r="HG43" t="s">
        <v>1320</v>
      </c>
    </row>
    <row r="44" spans="1:216" x14ac:dyDescent="0.45">
      <c r="A44">
        <v>195</v>
      </c>
      <c r="B44">
        <f>_xlfn.IFNA(VLOOKUP(AnalizaCzyste[[#This Row],[Zakończono wypełnianie]],Zakończone[],2,0),"BRAK")</f>
        <v>111</v>
      </c>
      <c r="C44">
        <f t="shared" si="1"/>
        <v>34</v>
      </c>
      <c r="D44" t="s">
        <v>1649</v>
      </c>
      <c r="E44" t="s">
        <v>118</v>
      </c>
      <c r="F44" t="s">
        <v>359</v>
      </c>
      <c r="J44" t="s">
        <v>119</v>
      </c>
      <c r="K44" t="s">
        <v>1650</v>
      </c>
      <c r="L44" t="s">
        <v>1651</v>
      </c>
      <c r="M44">
        <v>386</v>
      </c>
      <c r="N44">
        <v>0</v>
      </c>
      <c r="O44" t="s">
        <v>122</v>
      </c>
      <c r="P44" s="1" t="s">
        <v>123</v>
      </c>
      <c r="AF44" s="1" t="s">
        <v>124</v>
      </c>
      <c r="AG44" t="s">
        <v>191</v>
      </c>
      <c r="AH44" t="str">
        <f>VLOOKUP(AnalizaCzyste[[#This Row],[Jak się nazywa uczelnia którą ukończyłeś? (proszę o wybranie jednej uczelni podlegającej ocenie)]],KategorieUczelni[],2,0)</f>
        <v>Publiczna</v>
      </c>
      <c r="AI44">
        <v>2016</v>
      </c>
      <c r="AJ44" t="s">
        <v>126</v>
      </c>
      <c r="AK44" t="s">
        <v>1652</v>
      </c>
      <c r="AL44" t="s">
        <v>162</v>
      </c>
      <c r="AM44" t="s">
        <v>151</v>
      </c>
      <c r="AN44" t="s">
        <v>162</v>
      </c>
      <c r="AO44" t="s">
        <v>150</v>
      </c>
      <c r="AP44" t="s">
        <v>236</v>
      </c>
      <c r="AQ44" t="s">
        <v>530</v>
      </c>
      <c r="AR44" t="s">
        <v>153</v>
      </c>
      <c r="AS44" t="s">
        <v>153</v>
      </c>
      <c r="AT44" t="s">
        <v>1653</v>
      </c>
      <c r="AU44" t="s">
        <v>1654</v>
      </c>
      <c r="AV44" t="s">
        <v>1655</v>
      </c>
      <c r="AW44" t="s">
        <v>172</v>
      </c>
      <c r="AY44" s="1" t="s">
        <v>123</v>
      </c>
      <c r="CS44" s="1" t="s">
        <v>123</v>
      </c>
      <c r="DC44" s="1" t="s">
        <v>123</v>
      </c>
      <c r="DM44" s="1" t="s">
        <v>123</v>
      </c>
      <c r="EP44" s="1" t="s">
        <v>123</v>
      </c>
      <c r="EQ44" t="s">
        <v>178</v>
      </c>
      <c r="FP44" s="1" t="s">
        <v>123</v>
      </c>
      <c r="GX44" t="s">
        <v>1656</v>
      </c>
      <c r="GY44" t="s">
        <v>1657</v>
      </c>
      <c r="GZ44" t="s">
        <v>1658</v>
      </c>
      <c r="HA44" t="s">
        <v>140</v>
      </c>
      <c r="HB44">
        <v>1993</v>
      </c>
      <c r="HC44" t="str">
        <f>VLOOKUP(AnalizaCzyste[[#This Row],[Rok urodzenia]],KategorieWiekowe[],2,1)</f>
        <v>26-35 lat</v>
      </c>
      <c r="HD44" t="s">
        <v>220</v>
      </c>
    </row>
    <row r="45" spans="1:216" x14ac:dyDescent="0.45">
      <c r="A45">
        <v>115</v>
      </c>
      <c r="B45">
        <f>_xlfn.IFNA(VLOOKUP(AnalizaCzyste[[#This Row],[Zakończono wypełnianie]],Zakończone[],2,0),"BRAK")</f>
        <v>69</v>
      </c>
      <c r="C45">
        <f t="shared" si="1"/>
        <v>34</v>
      </c>
      <c r="D45" t="s">
        <v>1087</v>
      </c>
      <c r="E45" t="s">
        <v>118</v>
      </c>
      <c r="J45" t="s">
        <v>119</v>
      </c>
      <c r="K45" t="s">
        <v>1088</v>
      </c>
      <c r="L45" t="s">
        <v>1089</v>
      </c>
      <c r="M45">
        <v>1206</v>
      </c>
      <c r="N45">
        <v>0</v>
      </c>
      <c r="O45" t="s">
        <v>122</v>
      </c>
      <c r="P45" s="1" t="s">
        <v>123</v>
      </c>
      <c r="AF45" s="1" t="s">
        <v>124</v>
      </c>
      <c r="AG45" t="s">
        <v>1090</v>
      </c>
      <c r="AH45" t="str">
        <f>VLOOKUP(AnalizaCzyste[[#This Row],[Jak się nazywa uczelnia którą ukończyłeś? (proszę o wybranie jednej uczelni podlegającej ocenie)]],KategorieUczelni[],2,0)</f>
        <v>Publiczna</v>
      </c>
      <c r="AI45">
        <v>2004</v>
      </c>
      <c r="AJ45" t="s">
        <v>126</v>
      </c>
      <c r="AK45" t="s">
        <v>844</v>
      </c>
      <c r="AL45" t="s">
        <v>162</v>
      </c>
      <c r="AM45" t="s">
        <v>162</v>
      </c>
      <c r="AN45" t="s">
        <v>150</v>
      </c>
      <c r="AO45" t="s">
        <v>151</v>
      </c>
      <c r="AP45" t="s">
        <v>150</v>
      </c>
      <c r="AQ45" t="s">
        <v>237</v>
      </c>
      <c r="AR45" t="s">
        <v>302</v>
      </c>
      <c r="AS45" t="s">
        <v>226</v>
      </c>
      <c r="AT45" t="s">
        <v>1091</v>
      </c>
      <c r="AU45" t="s">
        <v>1092</v>
      </c>
      <c r="AV45" t="s">
        <v>1093</v>
      </c>
      <c r="AW45" t="s">
        <v>157</v>
      </c>
      <c r="AY45" s="1" t="s">
        <v>123</v>
      </c>
      <c r="CS45" s="1" t="s">
        <v>123</v>
      </c>
      <c r="DC45" s="1" t="s">
        <v>123</v>
      </c>
      <c r="DM45" s="1" t="s">
        <v>123</v>
      </c>
      <c r="EP45" s="1" t="s">
        <v>123</v>
      </c>
      <c r="FP45" s="1" t="s">
        <v>123</v>
      </c>
      <c r="FQ45" t="s">
        <v>132</v>
      </c>
      <c r="GX45" t="s">
        <v>1094</v>
      </c>
      <c r="GY45" t="s">
        <v>1095</v>
      </c>
      <c r="GZ45" t="s">
        <v>1096</v>
      </c>
      <c r="HA45" t="s">
        <v>140</v>
      </c>
      <c r="HB45">
        <v>1976</v>
      </c>
      <c r="HC45" t="str">
        <f>VLOOKUP(AnalizaCzyste[[#This Row],[Rok urodzenia]],KategorieWiekowe[],2,1)</f>
        <v>36-45 lat</v>
      </c>
      <c r="HD45" t="s">
        <v>141</v>
      </c>
    </row>
    <row r="46" spans="1:216" x14ac:dyDescent="0.45">
      <c r="A46">
        <v>137</v>
      </c>
      <c r="B46">
        <f>_xlfn.IFNA(VLOOKUP(AnalizaCzyste[[#This Row],[Zakończono wypełnianie]],Zakończone[],2,0),"BRAK")</f>
        <v>83</v>
      </c>
      <c r="C46">
        <f t="shared" si="1"/>
        <v>45</v>
      </c>
      <c r="D46" t="s">
        <v>1142</v>
      </c>
      <c r="E46" t="s">
        <v>118</v>
      </c>
      <c r="J46" t="s">
        <v>119</v>
      </c>
      <c r="K46" t="s">
        <v>1288</v>
      </c>
      <c r="L46" t="s">
        <v>1289</v>
      </c>
      <c r="M46">
        <v>1208727</v>
      </c>
      <c r="N46">
        <v>0</v>
      </c>
      <c r="O46" t="s">
        <v>122</v>
      </c>
      <c r="P46" s="1" t="s">
        <v>123</v>
      </c>
      <c r="AF46" s="1" t="s">
        <v>124</v>
      </c>
      <c r="AG46" t="s">
        <v>1290</v>
      </c>
      <c r="AH46" t="str">
        <f>VLOOKUP(AnalizaCzyste[[#This Row],[Jak się nazywa uczelnia którą ukończyłeś? (proszę o wybranie jednej uczelni podlegającej ocenie)]],KategorieUczelni[],2,0)</f>
        <v>Niepubliczna</v>
      </c>
      <c r="AI46">
        <v>2012</v>
      </c>
      <c r="AJ46" t="s">
        <v>148</v>
      </c>
      <c r="AK46" t="s">
        <v>1050</v>
      </c>
      <c r="AL46" t="s">
        <v>162</v>
      </c>
      <c r="AM46" t="s">
        <v>151</v>
      </c>
      <c r="AN46" t="s">
        <v>162</v>
      </c>
      <c r="AO46" t="s">
        <v>151</v>
      </c>
      <c r="AP46" t="s">
        <v>128</v>
      </c>
      <c r="AQ46" t="s">
        <v>237</v>
      </c>
      <c r="AR46" t="s">
        <v>132</v>
      </c>
      <c r="AS46" t="s">
        <v>132</v>
      </c>
      <c r="AT46" t="s">
        <v>1291</v>
      </c>
      <c r="AU46" t="s">
        <v>1292</v>
      </c>
      <c r="AV46" t="s">
        <v>1293</v>
      </c>
      <c r="AW46" t="s">
        <v>892</v>
      </c>
      <c r="AY46" s="1" t="s">
        <v>123</v>
      </c>
      <c r="CS46" s="1" t="s">
        <v>123</v>
      </c>
      <c r="DC46" s="1" t="s">
        <v>123</v>
      </c>
      <c r="DM46" s="1" t="s">
        <v>123</v>
      </c>
      <c r="EP46" s="1" t="s">
        <v>177</v>
      </c>
      <c r="EQ46" t="s">
        <v>178</v>
      </c>
      <c r="ER46" t="s">
        <v>132</v>
      </c>
      <c r="ES46" t="s">
        <v>191</v>
      </c>
      <c r="ET46" t="s">
        <v>162</v>
      </c>
      <c r="EU46" t="s">
        <v>151</v>
      </c>
      <c r="EV46" t="s">
        <v>128</v>
      </c>
      <c r="EW46" t="s">
        <v>178</v>
      </c>
      <c r="EX46" t="s">
        <v>1294</v>
      </c>
      <c r="EY46" t="s">
        <v>1295</v>
      </c>
      <c r="EZ46" t="s">
        <v>173</v>
      </c>
      <c r="FP46" s="1" t="s">
        <v>123</v>
      </c>
      <c r="GX46" t="s">
        <v>1296</v>
      </c>
      <c r="GY46" t="s">
        <v>1297</v>
      </c>
      <c r="GZ46" t="s">
        <v>1298</v>
      </c>
      <c r="HA46" t="s">
        <v>186</v>
      </c>
      <c r="HB46">
        <v>1987</v>
      </c>
      <c r="HC46" t="str">
        <f>VLOOKUP(AnalizaCzyste[[#This Row],[Rok urodzenia]],KategorieWiekowe[],2,1)</f>
        <v>26-35 lat</v>
      </c>
      <c r="HD46" t="s">
        <v>246</v>
      </c>
      <c r="HF46" t="s">
        <v>1299</v>
      </c>
      <c r="HG46" t="s">
        <v>1300</v>
      </c>
    </row>
    <row r="47" spans="1:216" x14ac:dyDescent="0.45">
      <c r="A47">
        <v>179</v>
      </c>
      <c r="B47">
        <f>_xlfn.IFNA(VLOOKUP(AnalizaCzyste[[#This Row],[Zakończono wypełnianie]],Zakończone[],2,0),"BRAK")</f>
        <v>101</v>
      </c>
      <c r="C47">
        <f t="shared" si="1"/>
        <v>44</v>
      </c>
      <c r="D47" t="s">
        <v>1511</v>
      </c>
      <c r="E47" t="s">
        <v>118</v>
      </c>
      <c r="J47" t="s">
        <v>119</v>
      </c>
      <c r="K47" t="s">
        <v>1512</v>
      </c>
      <c r="L47" t="s">
        <v>1513</v>
      </c>
      <c r="M47">
        <v>2685</v>
      </c>
      <c r="N47">
        <v>0</v>
      </c>
      <c r="O47" t="s">
        <v>122</v>
      </c>
      <c r="P47" s="1" t="s">
        <v>123</v>
      </c>
      <c r="AF47" s="1" t="s">
        <v>124</v>
      </c>
      <c r="AG47" t="s">
        <v>1514</v>
      </c>
      <c r="AH47" t="str">
        <f>VLOOKUP(AnalizaCzyste[[#This Row],[Jak się nazywa uczelnia którą ukończyłeś? (proszę o wybranie jednej uczelni podlegającej ocenie)]],KategorieUczelni[],2,0)</f>
        <v>Zagraniczna</v>
      </c>
      <c r="AI47">
        <v>1996</v>
      </c>
      <c r="AJ47" t="s">
        <v>148</v>
      </c>
      <c r="AK47" t="s">
        <v>1515</v>
      </c>
      <c r="AL47" t="s">
        <v>162</v>
      </c>
      <c r="AM47" t="s">
        <v>151</v>
      </c>
      <c r="AN47" t="s">
        <v>162</v>
      </c>
      <c r="AO47" t="s">
        <v>162</v>
      </c>
      <c r="AP47" t="s">
        <v>151</v>
      </c>
      <c r="AQ47" t="s">
        <v>1516</v>
      </c>
      <c r="AR47" t="s">
        <v>194</v>
      </c>
      <c r="AS47" t="s">
        <v>194</v>
      </c>
      <c r="AT47" t="s">
        <v>1517</v>
      </c>
      <c r="AU47" t="s">
        <v>1518</v>
      </c>
      <c r="AV47" t="s">
        <v>1519</v>
      </c>
      <c r="AW47" t="s">
        <v>172</v>
      </c>
      <c r="AY47" s="1" t="s">
        <v>123</v>
      </c>
      <c r="CS47" s="1" t="s">
        <v>123</v>
      </c>
      <c r="DC47" s="1" t="s">
        <v>123</v>
      </c>
      <c r="DM47" s="1" t="s">
        <v>123</v>
      </c>
      <c r="EP47" s="1" t="s">
        <v>177</v>
      </c>
      <c r="EQ47" t="s">
        <v>180</v>
      </c>
      <c r="ER47">
        <v>1</v>
      </c>
      <c r="ES47" t="s">
        <v>1520</v>
      </c>
      <c r="ET47" t="s">
        <v>150</v>
      </c>
      <c r="EU47" t="s">
        <v>162</v>
      </c>
      <c r="EV47" t="s">
        <v>162</v>
      </c>
      <c r="EW47" t="s">
        <v>178</v>
      </c>
      <c r="EX47" t="s">
        <v>1521</v>
      </c>
      <c r="EY47" t="s">
        <v>1522</v>
      </c>
      <c r="EZ47" t="s">
        <v>173</v>
      </c>
      <c r="FP47" s="1" t="s">
        <v>123</v>
      </c>
      <c r="GX47" t="s">
        <v>1523</v>
      </c>
      <c r="GY47" t="s">
        <v>1524</v>
      </c>
      <c r="GZ47" t="s">
        <v>1525</v>
      </c>
      <c r="HA47" t="s">
        <v>186</v>
      </c>
      <c r="HB47">
        <v>1974</v>
      </c>
      <c r="HC47" t="str">
        <f>VLOOKUP(AnalizaCzyste[[#This Row],[Rok urodzenia]],KategorieWiekowe[],2,1)</f>
        <v>46-55 lat</v>
      </c>
      <c r="HD47" t="s">
        <v>398</v>
      </c>
      <c r="HF47" t="s">
        <v>1526</v>
      </c>
    </row>
    <row r="48" spans="1:216" x14ac:dyDescent="0.45">
      <c r="A48">
        <v>45</v>
      </c>
      <c r="B48">
        <f>_xlfn.IFNA(VLOOKUP(AnalizaCzyste[[#This Row],[Zakończono wypełnianie]],Zakończone[],2,0),"BRAK")</f>
        <v>28</v>
      </c>
      <c r="C48">
        <f t="shared" si="1"/>
        <v>36</v>
      </c>
      <c r="D48" t="s">
        <v>550</v>
      </c>
      <c r="E48" t="s">
        <v>118</v>
      </c>
      <c r="F48" t="s">
        <v>375</v>
      </c>
      <c r="J48" t="s">
        <v>119</v>
      </c>
      <c r="K48" t="s">
        <v>551</v>
      </c>
      <c r="L48" t="s">
        <v>552</v>
      </c>
      <c r="M48">
        <v>836</v>
      </c>
      <c r="N48">
        <v>0</v>
      </c>
      <c r="O48" t="s">
        <v>122</v>
      </c>
      <c r="P48" s="1" t="s">
        <v>123</v>
      </c>
      <c r="AF48" s="1" t="s">
        <v>124</v>
      </c>
      <c r="AG48" t="s">
        <v>553</v>
      </c>
      <c r="AH48" t="str">
        <f>VLOOKUP(AnalizaCzyste[[#This Row],[Jak się nazywa uczelnia którą ukończyłeś? (proszę o wybranie jednej uczelni podlegającej ocenie)]],KategorieUczelni[],2,0)</f>
        <v>Publiczna</v>
      </c>
      <c r="AI48">
        <v>2019</v>
      </c>
      <c r="AJ48" t="s">
        <v>148</v>
      </c>
      <c r="AK48" t="s">
        <v>554</v>
      </c>
      <c r="AL48" t="s">
        <v>162</v>
      </c>
      <c r="AM48" t="s">
        <v>162</v>
      </c>
      <c r="AN48" t="s">
        <v>236</v>
      </c>
      <c r="AO48" t="s">
        <v>151</v>
      </c>
      <c r="AP48" t="s">
        <v>162</v>
      </c>
      <c r="AQ48" t="s">
        <v>237</v>
      </c>
      <c r="AR48" t="s">
        <v>132</v>
      </c>
      <c r="AS48" t="s">
        <v>132</v>
      </c>
      <c r="AT48" t="s">
        <v>555</v>
      </c>
      <c r="AU48" t="s">
        <v>556</v>
      </c>
      <c r="AV48" t="s">
        <v>557</v>
      </c>
      <c r="AW48" t="s">
        <v>230</v>
      </c>
      <c r="AY48" s="1" t="s">
        <v>123</v>
      </c>
      <c r="CS48" s="1" t="s">
        <v>123</v>
      </c>
      <c r="DC48" s="1" t="s">
        <v>123</v>
      </c>
      <c r="DM48" s="1" t="s">
        <v>123</v>
      </c>
      <c r="EP48" s="1" t="s">
        <v>123</v>
      </c>
      <c r="FP48" s="1" t="s">
        <v>123</v>
      </c>
      <c r="FQ48" t="s">
        <v>132</v>
      </c>
      <c r="GX48" t="s">
        <v>558</v>
      </c>
      <c r="GY48" t="s">
        <v>559</v>
      </c>
      <c r="GZ48" t="s">
        <v>560</v>
      </c>
      <c r="HA48" t="s">
        <v>140</v>
      </c>
      <c r="HB48">
        <v>1994</v>
      </c>
      <c r="HC48" t="str">
        <f>VLOOKUP(AnalizaCzyste[[#This Row],[Rok urodzenia]],KategorieWiekowe[],2,1)</f>
        <v>26-35 lat</v>
      </c>
      <c r="HD48" t="s">
        <v>483</v>
      </c>
      <c r="HF48" t="s">
        <v>561</v>
      </c>
      <c r="HG48" t="s">
        <v>386</v>
      </c>
    </row>
    <row r="49" spans="1:215" x14ac:dyDescent="0.45">
      <c r="A49">
        <v>5</v>
      </c>
      <c r="B49">
        <f>_xlfn.IFNA(VLOOKUP(AnalizaCzyste[[#This Row],[Zakończono wypełnianie]],Zakończone[],2,0),"BRAK")</f>
        <v>5</v>
      </c>
      <c r="C49">
        <f t="shared" si="1"/>
        <v>85</v>
      </c>
      <c r="D49" t="s">
        <v>202</v>
      </c>
      <c r="E49" t="s">
        <v>118</v>
      </c>
      <c r="J49" t="s">
        <v>119</v>
      </c>
      <c r="K49" t="s">
        <v>221</v>
      </c>
      <c r="L49" t="s">
        <v>222</v>
      </c>
      <c r="M49">
        <v>1659</v>
      </c>
      <c r="N49">
        <v>0</v>
      </c>
      <c r="O49" t="s">
        <v>122</v>
      </c>
      <c r="P49" s="1" t="s">
        <v>123</v>
      </c>
      <c r="AF49" s="1" t="s">
        <v>124</v>
      </c>
      <c r="AG49" t="s">
        <v>223</v>
      </c>
      <c r="AH49" t="str">
        <f>VLOOKUP(AnalizaCzyste[[#This Row],[Jak się nazywa uczelnia którą ukończyłeś? (proszę o wybranie jednej uczelni podlegającej ocenie)]],KategorieUczelni[],2,0)</f>
        <v>Publiczna</v>
      </c>
      <c r="AI49">
        <v>1999</v>
      </c>
      <c r="AJ49" t="s">
        <v>148</v>
      </c>
      <c r="AK49" t="s">
        <v>224</v>
      </c>
      <c r="AL49" t="s">
        <v>162</v>
      </c>
      <c r="AM49" t="s">
        <v>162</v>
      </c>
      <c r="AN49" t="s">
        <v>150</v>
      </c>
      <c r="AO49" t="s">
        <v>150</v>
      </c>
      <c r="AP49" t="s">
        <v>169</v>
      </c>
      <c r="AQ49" t="s">
        <v>225</v>
      </c>
      <c r="AR49" t="s">
        <v>153</v>
      </c>
      <c r="AS49" t="s">
        <v>226</v>
      </c>
      <c r="AT49" t="s">
        <v>227</v>
      </c>
      <c r="AU49" t="s">
        <v>228</v>
      </c>
      <c r="AV49" t="s">
        <v>229</v>
      </c>
      <c r="AW49" t="s">
        <v>230</v>
      </c>
      <c r="AY49" s="1" t="s">
        <v>159</v>
      </c>
      <c r="AZ49">
        <v>3</v>
      </c>
      <c r="BA49" t="s">
        <v>191</v>
      </c>
      <c r="BB49">
        <v>2011</v>
      </c>
      <c r="BC49" t="s">
        <v>126</v>
      </c>
      <c r="BD49" t="s">
        <v>2273</v>
      </c>
      <c r="BE49" t="s">
        <v>169</v>
      </c>
      <c r="BF49" t="s">
        <v>169</v>
      </c>
      <c r="BG49" t="s">
        <v>150</v>
      </c>
      <c r="BH49" t="s">
        <v>162</v>
      </c>
      <c r="BI49" t="s">
        <v>150</v>
      </c>
      <c r="BJ49">
        <v>1</v>
      </c>
      <c r="BK49" t="s">
        <v>232</v>
      </c>
      <c r="BL49" t="s">
        <v>157</v>
      </c>
      <c r="BN49" t="s">
        <v>233</v>
      </c>
      <c r="BO49" t="s">
        <v>166</v>
      </c>
      <c r="BP49" t="s">
        <v>234</v>
      </c>
      <c r="BQ49">
        <v>2011</v>
      </c>
      <c r="BR49" t="s">
        <v>148</v>
      </c>
      <c r="BS49" t="s">
        <v>235</v>
      </c>
      <c r="BT49" t="s">
        <v>151</v>
      </c>
      <c r="BU49" t="s">
        <v>128</v>
      </c>
      <c r="BV49" t="s">
        <v>236</v>
      </c>
      <c r="BW49" t="s">
        <v>128</v>
      </c>
      <c r="BX49" t="s">
        <v>162</v>
      </c>
      <c r="BY49" t="s">
        <v>237</v>
      </c>
      <c r="CA49" t="s">
        <v>172</v>
      </c>
      <c r="CC49" t="s">
        <v>233</v>
      </c>
      <c r="CD49" t="s">
        <v>238</v>
      </c>
      <c r="CE49" t="s">
        <v>223</v>
      </c>
      <c r="CF49">
        <v>2016</v>
      </c>
      <c r="CG49" t="s">
        <v>148</v>
      </c>
      <c r="CH49" t="s">
        <v>239</v>
      </c>
      <c r="CI49" t="s">
        <v>169</v>
      </c>
      <c r="CJ49" t="s">
        <v>169</v>
      </c>
      <c r="CK49" t="s">
        <v>169</v>
      </c>
      <c r="CL49" t="s">
        <v>150</v>
      </c>
      <c r="CM49" t="s">
        <v>150</v>
      </c>
      <c r="CN49">
        <v>1</v>
      </c>
      <c r="CO49" t="s">
        <v>240</v>
      </c>
      <c r="CP49" t="s">
        <v>157</v>
      </c>
      <c r="CR49" t="s">
        <v>233</v>
      </c>
      <c r="CS49" s="1" t="s">
        <v>123</v>
      </c>
      <c r="DC49" s="1" t="s">
        <v>214</v>
      </c>
      <c r="DD49" t="s">
        <v>234</v>
      </c>
      <c r="DE49" t="s">
        <v>241</v>
      </c>
      <c r="DF49" t="s">
        <v>162</v>
      </c>
      <c r="DG49" t="s">
        <v>169</v>
      </c>
      <c r="DH49" t="s">
        <v>169</v>
      </c>
      <c r="DI49" t="s">
        <v>151</v>
      </c>
      <c r="DJ49" t="s">
        <v>151</v>
      </c>
      <c r="DK49" t="s">
        <v>151</v>
      </c>
      <c r="DL49" t="s">
        <v>242</v>
      </c>
      <c r="DM49" s="1" t="s">
        <v>123</v>
      </c>
      <c r="EP49" s="1" t="s">
        <v>123</v>
      </c>
      <c r="FP49" s="1" t="s">
        <v>123</v>
      </c>
      <c r="FQ49" t="s">
        <v>132</v>
      </c>
      <c r="GX49" t="s">
        <v>243</v>
      </c>
      <c r="GY49" t="s">
        <v>244</v>
      </c>
      <c r="GZ49" t="s">
        <v>245</v>
      </c>
      <c r="HA49" t="s">
        <v>186</v>
      </c>
      <c r="HB49">
        <v>1961</v>
      </c>
      <c r="HC49" t="str">
        <f>VLOOKUP(AnalizaCzyste[[#This Row],[Rok urodzenia]],KategorieWiekowe[],2,1)</f>
        <v>56-65 lat</v>
      </c>
      <c r="HD49" t="s">
        <v>246</v>
      </c>
      <c r="HF49" t="s">
        <v>247</v>
      </c>
    </row>
    <row r="50" spans="1:215" x14ac:dyDescent="0.45">
      <c r="A50">
        <v>127</v>
      </c>
      <c r="B50">
        <f>_xlfn.IFNA(VLOOKUP(AnalizaCzyste[[#This Row],[Zakończono wypełnianie]],Zakończone[],2,0),"BRAK")</f>
        <v>76</v>
      </c>
      <c r="C50">
        <f t="shared" si="1"/>
        <v>44</v>
      </c>
      <c r="D50" t="s">
        <v>1192</v>
      </c>
      <c r="E50" t="s">
        <v>118</v>
      </c>
      <c r="J50" t="s">
        <v>119</v>
      </c>
      <c r="K50" t="s">
        <v>1193</v>
      </c>
      <c r="L50" t="s">
        <v>1194</v>
      </c>
      <c r="M50">
        <v>1676</v>
      </c>
      <c r="N50">
        <v>0</v>
      </c>
      <c r="O50" t="s">
        <v>122</v>
      </c>
      <c r="P50" s="1" t="s">
        <v>123</v>
      </c>
      <c r="AF50" s="1" t="s">
        <v>124</v>
      </c>
      <c r="AG50" t="s">
        <v>223</v>
      </c>
      <c r="AH50" t="str">
        <f>VLOOKUP(AnalizaCzyste[[#This Row],[Jak się nazywa uczelnia którą ukończyłeś? (proszę o wybranie jednej uczelni podlegającej ocenie)]],KategorieUczelni[],2,0)</f>
        <v>Publiczna</v>
      </c>
      <c r="AI50">
        <v>1998</v>
      </c>
      <c r="AJ50" t="s">
        <v>148</v>
      </c>
      <c r="AK50" t="s">
        <v>1195</v>
      </c>
      <c r="AL50" t="s">
        <v>162</v>
      </c>
      <c r="AM50" t="s">
        <v>151</v>
      </c>
      <c r="AN50" t="s">
        <v>151</v>
      </c>
      <c r="AO50" t="s">
        <v>236</v>
      </c>
      <c r="AP50" t="s">
        <v>151</v>
      </c>
      <c r="AQ50">
        <v>0</v>
      </c>
      <c r="AR50" t="s">
        <v>131</v>
      </c>
      <c r="AS50" t="s">
        <v>302</v>
      </c>
      <c r="AT50" t="s">
        <v>1196</v>
      </c>
      <c r="AU50" t="s">
        <v>1196</v>
      </c>
      <c r="AV50" t="s">
        <v>1197</v>
      </c>
      <c r="AW50" t="s">
        <v>157</v>
      </c>
      <c r="AY50" s="1" t="s">
        <v>123</v>
      </c>
      <c r="CS50" s="1" t="s">
        <v>123</v>
      </c>
      <c r="DC50" s="1" t="s">
        <v>123</v>
      </c>
      <c r="DM50" s="1" t="s">
        <v>123</v>
      </c>
      <c r="EP50" s="1" t="s">
        <v>177</v>
      </c>
      <c r="EQ50" t="s">
        <v>180</v>
      </c>
      <c r="ER50" t="s">
        <v>132</v>
      </c>
      <c r="ES50" t="s">
        <v>132</v>
      </c>
      <c r="ET50" t="s">
        <v>151</v>
      </c>
      <c r="EU50" t="s">
        <v>151</v>
      </c>
      <c r="EV50" t="s">
        <v>151</v>
      </c>
      <c r="EW50" t="s">
        <v>178</v>
      </c>
      <c r="EX50" t="s">
        <v>132</v>
      </c>
      <c r="EY50" t="s">
        <v>132</v>
      </c>
      <c r="EZ50" t="s">
        <v>173</v>
      </c>
      <c r="FP50" s="1" t="s">
        <v>123</v>
      </c>
      <c r="GX50" t="s">
        <v>1198</v>
      </c>
      <c r="GY50" t="s">
        <v>1199</v>
      </c>
      <c r="GZ50" t="s">
        <v>1198</v>
      </c>
      <c r="HA50" t="s">
        <v>186</v>
      </c>
      <c r="HB50">
        <v>1974</v>
      </c>
      <c r="HC50" t="str">
        <f>VLOOKUP(AnalizaCzyste[[#This Row],[Rok urodzenia]],KategorieWiekowe[],2,1)</f>
        <v>46-55 lat</v>
      </c>
      <c r="HD50" t="s">
        <v>141</v>
      </c>
      <c r="HE50" t="s">
        <v>313</v>
      </c>
    </row>
    <row r="51" spans="1:215" x14ac:dyDescent="0.45">
      <c r="A51">
        <v>32</v>
      </c>
      <c r="B51">
        <f>_xlfn.IFNA(VLOOKUP(AnalizaCzyste[[#This Row],[Zakończono wypełnianie]],Zakończone[],2,0),"BRAK")</f>
        <v>22</v>
      </c>
      <c r="C51">
        <f t="shared" si="1"/>
        <v>38</v>
      </c>
      <c r="D51" t="s">
        <v>458</v>
      </c>
      <c r="E51" t="s">
        <v>118</v>
      </c>
      <c r="F51" t="s">
        <v>359</v>
      </c>
      <c r="J51" t="s">
        <v>119</v>
      </c>
      <c r="K51" t="s">
        <v>459</v>
      </c>
      <c r="L51" t="s">
        <v>460</v>
      </c>
      <c r="M51">
        <v>490</v>
      </c>
      <c r="N51">
        <v>0</v>
      </c>
      <c r="O51" t="s">
        <v>122</v>
      </c>
      <c r="P51" s="1" t="s">
        <v>416</v>
      </c>
      <c r="Q51" t="s">
        <v>445</v>
      </c>
      <c r="R51" t="s">
        <v>148</v>
      </c>
      <c r="S51" t="s">
        <v>461</v>
      </c>
      <c r="T51" t="s">
        <v>169</v>
      </c>
      <c r="U51" t="s">
        <v>169</v>
      </c>
      <c r="V51" t="s">
        <v>169</v>
      </c>
      <c r="W51" t="s">
        <v>462</v>
      </c>
      <c r="X51" t="s">
        <v>302</v>
      </c>
      <c r="Y51" t="s">
        <v>302</v>
      </c>
      <c r="Z51" t="s">
        <v>463</v>
      </c>
      <c r="AA51" t="s">
        <v>464</v>
      </c>
      <c r="AB51" t="s">
        <v>465</v>
      </c>
      <c r="AC51" t="s">
        <v>157</v>
      </c>
      <c r="AD51" t="s">
        <v>466</v>
      </c>
      <c r="AE51">
        <v>10</v>
      </c>
      <c r="AF51" s="1" t="s">
        <v>123</v>
      </c>
      <c r="AH51" t="e">
        <f>VLOOKUP(AnalizaCzyste[[#This Row],[Jak się nazywa uczelnia którą ukończyłeś? (proszę o wybranie jednej uczelni podlegającej ocenie)]],KategorieUczelni[],2,0)</f>
        <v>#N/A</v>
      </c>
      <c r="AY51" s="1" t="s">
        <v>123</v>
      </c>
      <c r="CS51" s="1" t="s">
        <v>123</v>
      </c>
      <c r="DC51" s="1" t="s">
        <v>123</v>
      </c>
      <c r="DM51" s="1" t="s">
        <v>123</v>
      </c>
      <c r="EP51" s="1" t="s">
        <v>123</v>
      </c>
      <c r="EQ51" t="s">
        <v>180</v>
      </c>
      <c r="ER51" t="s">
        <v>132</v>
      </c>
      <c r="FP51" s="1" t="s">
        <v>123</v>
      </c>
      <c r="FQ51" t="s">
        <v>132</v>
      </c>
      <c r="FS51" t="s">
        <v>132</v>
      </c>
      <c r="GX51" t="s">
        <v>468</v>
      </c>
      <c r="GY51" t="s">
        <v>469</v>
      </c>
      <c r="GZ51" t="s">
        <v>142</v>
      </c>
      <c r="HA51" t="s">
        <v>140</v>
      </c>
      <c r="HB51">
        <v>1996</v>
      </c>
      <c r="HC51" t="str">
        <f>VLOOKUP(AnalizaCzyste[[#This Row],[Rok urodzenia]],KategorieWiekowe[],2,1)</f>
        <v>poniżej 26 lat</v>
      </c>
      <c r="HD51" t="s">
        <v>141</v>
      </c>
      <c r="HF51" t="s">
        <v>470</v>
      </c>
      <c r="HG51" t="s">
        <v>471</v>
      </c>
    </row>
    <row r="52" spans="1:215" x14ac:dyDescent="0.45">
      <c r="A52">
        <v>223</v>
      </c>
      <c r="B52">
        <f>_xlfn.IFNA(VLOOKUP(AnalizaCzyste[[#This Row],[Zakończono wypełnianie]],Zakończone[],2,0),"BRAK")</f>
        <v>122</v>
      </c>
      <c r="C52">
        <f t="shared" si="1"/>
        <v>43</v>
      </c>
      <c r="D52" t="s">
        <v>1827</v>
      </c>
      <c r="E52" t="s">
        <v>118</v>
      </c>
      <c r="J52" t="s">
        <v>119</v>
      </c>
      <c r="K52" t="s">
        <v>1828</v>
      </c>
      <c r="L52" t="s">
        <v>1829</v>
      </c>
      <c r="M52">
        <v>673</v>
      </c>
      <c r="N52">
        <v>0</v>
      </c>
      <c r="O52" t="s">
        <v>122</v>
      </c>
      <c r="P52" s="1" t="s">
        <v>123</v>
      </c>
      <c r="AF52" s="1" t="s">
        <v>124</v>
      </c>
      <c r="AG52" t="s">
        <v>223</v>
      </c>
      <c r="AH52" t="str">
        <f>VLOOKUP(AnalizaCzyste[[#This Row],[Jak się nazywa uczelnia którą ukończyłeś? (proszę o wybranie jednej uczelni podlegającej ocenie)]],KategorieUczelni[],2,0)</f>
        <v>Publiczna</v>
      </c>
      <c r="AI52">
        <v>2005</v>
      </c>
      <c r="AJ52" t="s">
        <v>148</v>
      </c>
      <c r="AK52" t="s">
        <v>1831</v>
      </c>
      <c r="AL52" t="s">
        <v>162</v>
      </c>
      <c r="AM52" t="s">
        <v>169</v>
      </c>
      <c r="AN52" t="s">
        <v>169</v>
      </c>
      <c r="AO52" t="s">
        <v>128</v>
      </c>
      <c r="AP52" t="s">
        <v>162</v>
      </c>
      <c r="AQ52" t="s">
        <v>237</v>
      </c>
      <c r="AR52" t="s">
        <v>302</v>
      </c>
      <c r="AS52" t="s">
        <v>153</v>
      </c>
      <c r="AT52" t="s">
        <v>1832</v>
      </c>
      <c r="AU52" t="s">
        <v>1833</v>
      </c>
      <c r="AV52" t="s">
        <v>1834</v>
      </c>
      <c r="AX52" t="s">
        <v>158</v>
      </c>
      <c r="AY52" s="1" t="s">
        <v>123</v>
      </c>
      <c r="CS52" s="1" t="s">
        <v>123</v>
      </c>
      <c r="DC52" s="1" t="s">
        <v>214</v>
      </c>
      <c r="DD52" t="s">
        <v>191</v>
      </c>
      <c r="DE52" t="s">
        <v>2277</v>
      </c>
      <c r="DF52" t="s">
        <v>150</v>
      </c>
      <c r="DG52" t="s">
        <v>150</v>
      </c>
      <c r="DH52" t="s">
        <v>151</v>
      </c>
      <c r="DI52" t="s">
        <v>150</v>
      </c>
      <c r="DJ52" t="s">
        <v>169</v>
      </c>
      <c r="DK52" t="s">
        <v>169</v>
      </c>
      <c r="DL52" t="s">
        <v>1836</v>
      </c>
      <c r="DM52" s="1" t="s">
        <v>123</v>
      </c>
      <c r="EP52" s="1" t="s">
        <v>123</v>
      </c>
      <c r="FP52" s="1" t="s">
        <v>123</v>
      </c>
      <c r="GX52" t="s">
        <v>1837</v>
      </c>
      <c r="GY52" t="s">
        <v>1838</v>
      </c>
      <c r="GZ52" t="s">
        <v>1839</v>
      </c>
      <c r="HA52" t="s">
        <v>140</v>
      </c>
      <c r="HB52">
        <v>1981</v>
      </c>
      <c r="HC52" t="str">
        <f>VLOOKUP(AnalizaCzyste[[#This Row],[Rok urodzenia]],KategorieWiekowe[],2,1)</f>
        <v>36-45 lat</v>
      </c>
      <c r="HD52" t="s">
        <v>141</v>
      </c>
      <c r="HF52" t="s">
        <v>1840</v>
      </c>
    </row>
    <row r="53" spans="1:215" x14ac:dyDescent="0.45">
      <c r="A53">
        <v>133</v>
      </c>
      <c r="B53">
        <f>_xlfn.IFNA(VLOOKUP(AnalizaCzyste[[#This Row],[Zakończono wypełnianie]],Zakończone[],2,0),"BRAK")</f>
        <v>81</v>
      </c>
      <c r="C53">
        <f t="shared" si="1"/>
        <v>43</v>
      </c>
      <c r="D53" t="s">
        <v>1251</v>
      </c>
      <c r="E53" t="s">
        <v>118</v>
      </c>
      <c r="J53" t="s">
        <v>119</v>
      </c>
      <c r="K53" t="s">
        <v>1252</v>
      </c>
      <c r="L53" t="s">
        <v>1253</v>
      </c>
      <c r="M53">
        <v>367</v>
      </c>
      <c r="N53">
        <v>0</v>
      </c>
      <c r="O53" t="s">
        <v>122</v>
      </c>
      <c r="P53" s="1" t="s">
        <v>123</v>
      </c>
      <c r="AF53" s="1" t="s">
        <v>124</v>
      </c>
      <c r="AG53" t="s">
        <v>223</v>
      </c>
      <c r="AH53" t="str">
        <f>VLOOKUP(AnalizaCzyste[[#This Row],[Jak się nazywa uczelnia którą ukończyłeś? (proszę o wybranie jednej uczelni podlegającej ocenie)]],KategorieUczelni[],2,0)</f>
        <v>Publiczna</v>
      </c>
      <c r="AI53">
        <v>2006</v>
      </c>
      <c r="AJ53" t="s">
        <v>148</v>
      </c>
      <c r="AK53" t="s">
        <v>1050</v>
      </c>
      <c r="AL53" t="s">
        <v>162</v>
      </c>
      <c r="AM53" t="s">
        <v>162</v>
      </c>
      <c r="AN53" t="s">
        <v>169</v>
      </c>
      <c r="AO53" t="s">
        <v>236</v>
      </c>
      <c r="AP53" t="s">
        <v>151</v>
      </c>
      <c r="AQ53">
        <v>3</v>
      </c>
      <c r="AR53" t="s">
        <v>131</v>
      </c>
      <c r="AS53" t="s">
        <v>302</v>
      </c>
      <c r="AT53" t="s">
        <v>1254</v>
      </c>
      <c r="AU53" t="s">
        <v>1255</v>
      </c>
      <c r="AV53" t="s">
        <v>1256</v>
      </c>
      <c r="AW53" t="s">
        <v>157</v>
      </c>
      <c r="AX53" t="s">
        <v>1257</v>
      </c>
      <c r="AY53" s="1" t="s">
        <v>123</v>
      </c>
      <c r="CS53" s="1" t="s">
        <v>123</v>
      </c>
      <c r="DC53" s="1" t="s">
        <v>214</v>
      </c>
      <c r="DD53" t="s">
        <v>191</v>
      </c>
      <c r="DE53" t="s">
        <v>308</v>
      </c>
      <c r="DF53" t="s">
        <v>169</v>
      </c>
      <c r="DG53" t="s">
        <v>150</v>
      </c>
      <c r="DH53" t="s">
        <v>150</v>
      </c>
      <c r="DI53" t="s">
        <v>169</v>
      </c>
      <c r="DJ53" t="s">
        <v>162</v>
      </c>
      <c r="DK53" t="s">
        <v>162</v>
      </c>
      <c r="DL53" t="s">
        <v>1258</v>
      </c>
      <c r="DM53" s="1" t="s">
        <v>123</v>
      </c>
      <c r="EP53" s="1" t="s">
        <v>123</v>
      </c>
      <c r="FP53" s="1" t="s">
        <v>123</v>
      </c>
      <c r="GX53" t="s">
        <v>1259</v>
      </c>
      <c r="GY53" t="s">
        <v>1260</v>
      </c>
      <c r="GZ53" t="s">
        <v>1261</v>
      </c>
      <c r="HA53" t="s">
        <v>186</v>
      </c>
      <c r="HB53">
        <v>1982</v>
      </c>
      <c r="HC53" t="str">
        <f>VLOOKUP(AnalizaCzyste[[#This Row],[Rok urodzenia]],KategorieWiekowe[],2,1)</f>
        <v>36-45 lat</v>
      </c>
      <c r="HD53" t="s">
        <v>141</v>
      </c>
    </row>
    <row r="54" spans="1:215" x14ac:dyDescent="0.45">
      <c r="A54">
        <v>153</v>
      </c>
      <c r="B54">
        <f>_xlfn.IFNA(VLOOKUP(AnalizaCzyste[[#This Row],[Zakończono wypełnianie]],Zakończone[],2,0),"BRAK")</f>
        <v>88</v>
      </c>
      <c r="C54">
        <f t="shared" si="1"/>
        <v>35</v>
      </c>
      <c r="D54" t="s">
        <v>1352</v>
      </c>
      <c r="E54" t="s">
        <v>118</v>
      </c>
      <c r="J54" t="s">
        <v>119</v>
      </c>
      <c r="K54" t="s">
        <v>1376</v>
      </c>
      <c r="L54" t="s">
        <v>1377</v>
      </c>
      <c r="M54">
        <v>352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 t="str">
        <f>VLOOKUP(AnalizaCzyste[[#This Row],[Jak się nazywa uczelnia którą ukończyłeś? (proszę o wybranie jednej uczelni podlegającej ocenie)]],KategorieUczelni[],2,0)</f>
        <v>Publiczna</v>
      </c>
      <c r="AI54">
        <v>2000</v>
      </c>
      <c r="AJ54" t="s">
        <v>148</v>
      </c>
      <c r="AK54" t="s">
        <v>161</v>
      </c>
      <c r="AL54" t="s">
        <v>162</v>
      </c>
      <c r="AM54" t="s">
        <v>162</v>
      </c>
      <c r="AN54" t="s">
        <v>150</v>
      </c>
      <c r="AO54" t="s">
        <v>129</v>
      </c>
      <c r="AP54" t="s">
        <v>128</v>
      </c>
      <c r="AQ54">
        <v>5</v>
      </c>
      <c r="AR54" t="s">
        <v>302</v>
      </c>
      <c r="AS54" t="s">
        <v>302</v>
      </c>
      <c r="AT54" t="s">
        <v>1378</v>
      </c>
      <c r="AU54" t="s">
        <v>1379</v>
      </c>
      <c r="AV54" t="s">
        <v>1380</v>
      </c>
      <c r="AW54" t="s">
        <v>172</v>
      </c>
      <c r="AY54" s="1" t="s">
        <v>123</v>
      </c>
      <c r="CS54" s="1" t="s">
        <v>123</v>
      </c>
      <c r="DC54" s="1" t="s">
        <v>123</v>
      </c>
      <c r="DM54" s="1" t="s">
        <v>123</v>
      </c>
      <c r="EP54" s="1" t="s">
        <v>123</v>
      </c>
      <c r="FP54" s="1" t="s">
        <v>123</v>
      </c>
      <c r="GX54" t="s">
        <v>1381</v>
      </c>
      <c r="GY54" t="s">
        <v>1382</v>
      </c>
      <c r="GZ54" t="s">
        <v>1383</v>
      </c>
      <c r="HA54" t="s">
        <v>140</v>
      </c>
      <c r="HB54">
        <v>1982</v>
      </c>
      <c r="HC54" t="str">
        <f>VLOOKUP(AnalizaCzyste[[#This Row],[Rok urodzenia]],KategorieWiekowe[],2,1)</f>
        <v>36-45 lat</v>
      </c>
      <c r="HD54" t="s">
        <v>246</v>
      </c>
      <c r="HF54" t="s">
        <v>386</v>
      </c>
      <c r="HG54" t="s">
        <v>386</v>
      </c>
    </row>
    <row r="55" spans="1:215" x14ac:dyDescent="0.45">
      <c r="A55">
        <v>189</v>
      </c>
      <c r="B55">
        <f>_xlfn.IFNA(VLOOKUP(AnalizaCzyste[[#This Row],[Zakończono wypełnianie]],Zakończone[],2,0),"BRAK")</f>
        <v>108</v>
      </c>
      <c r="C55">
        <f t="shared" si="1"/>
        <v>36</v>
      </c>
      <c r="D55" t="s">
        <v>1352</v>
      </c>
      <c r="E55" t="s">
        <v>118</v>
      </c>
      <c r="J55" t="s">
        <v>119</v>
      </c>
      <c r="K55" t="s">
        <v>1608</v>
      </c>
      <c r="L55" t="s">
        <v>1609</v>
      </c>
      <c r="M55">
        <v>4906</v>
      </c>
      <c r="N55">
        <v>0</v>
      </c>
      <c r="O55" t="s">
        <v>122</v>
      </c>
      <c r="P55" s="1" t="s">
        <v>123</v>
      </c>
      <c r="AF55" s="1" t="s">
        <v>124</v>
      </c>
      <c r="AG55" t="s">
        <v>223</v>
      </c>
      <c r="AH55" t="str">
        <f>VLOOKUP(AnalizaCzyste[[#This Row],[Jak się nazywa uczelnia którą ukończyłeś? (proszę o wybranie jednej uczelni podlegającej ocenie)]],KategorieUczelni[],2,0)</f>
        <v>Publiczna</v>
      </c>
      <c r="AI55">
        <v>2009</v>
      </c>
      <c r="AJ55" t="s">
        <v>148</v>
      </c>
      <c r="AK55" t="s">
        <v>554</v>
      </c>
      <c r="AL55" t="s">
        <v>162</v>
      </c>
      <c r="AM55" t="s">
        <v>162</v>
      </c>
      <c r="AN55" t="s">
        <v>162</v>
      </c>
      <c r="AO55" t="s">
        <v>162</v>
      </c>
      <c r="AP55" t="s">
        <v>162</v>
      </c>
      <c r="AQ55" t="s">
        <v>1610</v>
      </c>
      <c r="AR55" t="s">
        <v>302</v>
      </c>
      <c r="AS55" t="s">
        <v>153</v>
      </c>
      <c r="AU55" t="s">
        <v>1611</v>
      </c>
      <c r="AV55" t="s">
        <v>1612</v>
      </c>
      <c r="AX55" t="s">
        <v>1613</v>
      </c>
      <c r="AY55" s="1" t="s">
        <v>123</v>
      </c>
      <c r="CS55" s="1" t="s">
        <v>123</v>
      </c>
      <c r="DC55" s="1" t="s">
        <v>123</v>
      </c>
      <c r="DM55" s="1" t="s">
        <v>123</v>
      </c>
      <c r="EP55" s="1" t="s">
        <v>123</v>
      </c>
      <c r="EQ55" t="s">
        <v>180</v>
      </c>
      <c r="ER55" t="s">
        <v>132</v>
      </c>
      <c r="FP55" s="1" t="s">
        <v>123</v>
      </c>
      <c r="GX55" t="s">
        <v>1614</v>
      </c>
      <c r="GY55" t="s">
        <v>1247</v>
      </c>
      <c r="GZ55" t="s">
        <v>1247</v>
      </c>
      <c r="HA55" t="s">
        <v>140</v>
      </c>
      <c r="HB55">
        <v>1983</v>
      </c>
      <c r="HC55" t="str">
        <f>VLOOKUP(AnalizaCzyste[[#This Row],[Rok urodzenia]],KategorieWiekowe[],2,1)</f>
        <v>36-45 lat</v>
      </c>
      <c r="HD55" t="s">
        <v>220</v>
      </c>
      <c r="HF55" t="s">
        <v>1615</v>
      </c>
      <c r="HG55" t="s">
        <v>1615</v>
      </c>
    </row>
    <row r="56" spans="1:215" x14ac:dyDescent="0.45">
      <c r="A56">
        <v>235</v>
      </c>
      <c r="B56">
        <f>_xlfn.IFNA(VLOOKUP(AnalizaCzyste[[#This Row],[Zakończono wypełnianie]],Zakończone[],2,0),"BRAK")</f>
        <v>127</v>
      </c>
      <c r="C56">
        <f t="shared" si="1"/>
        <v>35</v>
      </c>
      <c r="D56" t="s">
        <v>1899</v>
      </c>
      <c r="E56" t="s">
        <v>118</v>
      </c>
      <c r="F56" t="s">
        <v>359</v>
      </c>
      <c r="J56" t="s">
        <v>119</v>
      </c>
      <c r="K56" t="s">
        <v>1900</v>
      </c>
      <c r="L56" t="s">
        <v>1901</v>
      </c>
      <c r="M56">
        <v>650</v>
      </c>
      <c r="N56">
        <v>0</v>
      </c>
      <c r="O56" t="s">
        <v>122</v>
      </c>
      <c r="P56" s="1" t="s">
        <v>123</v>
      </c>
      <c r="AF56" s="1" t="s">
        <v>124</v>
      </c>
      <c r="AG56" t="s">
        <v>223</v>
      </c>
      <c r="AH56" t="str">
        <f>VLOOKUP(AnalizaCzyste[[#This Row],[Jak się nazywa uczelnia którą ukończyłeś? (proszę o wybranie jednej uczelni podlegającej ocenie)]],KategorieUczelni[],2,0)</f>
        <v>Publiczna</v>
      </c>
      <c r="AI56">
        <v>2009</v>
      </c>
      <c r="AJ56" t="s">
        <v>148</v>
      </c>
      <c r="AK56" t="s">
        <v>1666</v>
      </c>
      <c r="AL56" t="s">
        <v>162</v>
      </c>
      <c r="AM56" t="s">
        <v>151</v>
      </c>
      <c r="AN56" t="s">
        <v>236</v>
      </c>
      <c r="AO56" t="s">
        <v>236</v>
      </c>
      <c r="AP56" t="s">
        <v>128</v>
      </c>
      <c r="AQ56">
        <v>9</v>
      </c>
      <c r="AR56" t="s">
        <v>131</v>
      </c>
      <c r="AS56" t="s">
        <v>153</v>
      </c>
      <c r="AT56" t="s">
        <v>1902</v>
      </c>
      <c r="AU56" t="s">
        <v>1903</v>
      </c>
      <c r="AV56" t="s">
        <v>1904</v>
      </c>
      <c r="AX56" t="s">
        <v>1905</v>
      </c>
      <c r="AY56" s="1" t="s">
        <v>123</v>
      </c>
      <c r="CS56" s="1" t="s">
        <v>123</v>
      </c>
      <c r="DC56" s="1" t="s">
        <v>123</v>
      </c>
      <c r="DM56" s="1" t="s">
        <v>123</v>
      </c>
      <c r="EP56" s="1" t="s">
        <v>123</v>
      </c>
      <c r="FP56" s="1" t="s">
        <v>123</v>
      </c>
      <c r="GX56" t="s">
        <v>1906</v>
      </c>
      <c r="GY56" t="s">
        <v>1907</v>
      </c>
      <c r="GZ56" t="s">
        <v>1908</v>
      </c>
      <c r="HA56" t="s">
        <v>140</v>
      </c>
      <c r="HB56">
        <v>1985</v>
      </c>
      <c r="HC56" t="str">
        <f>VLOOKUP(AnalizaCzyste[[#This Row],[Rok urodzenia]],KategorieWiekowe[],2,1)</f>
        <v>26-35 lat</v>
      </c>
      <c r="HD56" t="s">
        <v>141</v>
      </c>
      <c r="HF56" t="s">
        <v>142</v>
      </c>
      <c r="HG56" t="s">
        <v>1909</v>
      </c>
    </row>
    <row r="57" spans="1:215" x14ac:dyDescent="0.45">
      <c r="A57">
        <v>227</v>
      </c>
      <c r="B57">
        <f>_xlfn.IFNA(VLOOKUP(AnalizaCzyste[[#This Row],[Zakończono wypełnianie]],Zakończone[],2,0),"BRAK")</f>
        <v>123</v>
      </c>
      <c r="C57">
        <f t="shared" si="1"/>
        <v>35</v>
      </c>
      <c r="D57" t="s">
        <v>1845</v>
      </c>
      <c r="E57" t="s">
        <v>118</v>
      </c>
      <c r="J57" t="s">
        <v>119</v>
      </c>
      <c r="K57" t="s">
        <v>1846</v>
      </c>
      <c r="L57" t="s">
        <v>1847</v>
      </c>
      <c r="M57">
        <v>790</v>
      </c>
      <c r="N57">
        <v>0</v>
      </c>
      <c r="O57" t="s">
        <v>122</v>
      </c>
      <c r="P57" s="1" t="s">
        <v>123</v>
      </c>
      <c r="AF57" s="1" t="s">
        <v>124</v>
      </c>
      <c r="AG57" t="s">
        <v>223</v>
      </c>
      <c r="AH57" t="str">
        <f>VLOOKUP(AnalizaCzyste[[#This Row],[Jak się nazywa uczelnia którą ukończyłeś? (proszę o wybranie jednej uczelni podlegającej ocenie)]],KategorieUczelni[],2,0)</f>
        <v>Publiczna</v>
      </c>
      <c r="AI57">
        <v>2018</v>
      </c>
      <c r="AJ57" t="s">
        <v>148</v>
      </c>
      <c r="AK57" t="s">
        <v>461</v>
      </c>
      <c r="AL57" t="s">
        <v>162</v>
      </c>
      <c r="AM57" t="s">
        <v>162</v>
      </c>
      <c r="AN57" t="s">
        <v>150</v>
      </c>
      <c r="AO57" t="s">
        <v>169</v>
      </c>
      <c r="AP57" t="s">
        <v>132</v>
      </c>
      <c r="AQ57" t="s">
        <v>1848</v>
      </c>
      <c r="AR57" t="s">
        <v>302</v>
      </c>
      <c r="AS57" t="s">
        <v>132</v>
      </c>
      <c r="AT57" t="s">
        <v>1849</v>
      </c>
      <c r="AU57" t="s">
        <v>1850</v>
      </c>
      <c r="AV57" t="s">
        <v>1851</v>
      </c>
      <c r="AW57" t="s">
        <v>157</v>
      </c>
      <c r="AY57" s="1" t="s">
        <v>123</v>
      </c>
      <c r="CS57" s="1" t="s">
        <v>123</v>
      </c>
      <c r="DC57" s="1" t="s">
        <v>123</v>
      </c>
      <c r="DM57" s="1" t="s">
        <v>123</v>
      </c>
      <c r="EP57" s="1" t="s">
        <v>123</v>
      </c>
      <c r="FP57" s="1" t="s">
        <v>123</v>
      </c>
      <c r="GX57" t="s">
        <v>1852</v>
      </c>
      <c r="GY57" t="s">
        <v>1853</v>
      </c>
      <c r="GZ57" t="s">
        <v>1854</v>
      </c>
      <c r="HA57" t="s">
        <v>140</v>
      </c>
      <c r="HB57">
        <v>1994</v>
      </c>
      <c r="HC57" t="str">
        <f>VLOOKUP(AnalizaCzyste[[#This Row],[Rok urodzenia]],KategorieWiekowe[],2,1)</f>
        <v>26-35 lat</v>
      </c>
      <c r="HD57" t="s">
        <v>141</v>
      </c>
      <c r="HE57" t="s">
        <v>1855</v>
      </c>
      <c r="HF57" t="s">
        <v>1856</v>
      </c>
    </row>
    <row r="58" spans="1:215" x14ac:dyDescent="0.45">
      <c r="A58">
        <v>37</v>
      </c>
      <c r="B58">
        <f>_xlfn.IFNA(VLOOKUP(AnalizaCzyste[[#This Row],[Zakończono wypełnianie]],Zakończone[],2,0),"BRAK")</f>
        <v>25</v>
      </c>
      <c r="C58">
        <f t="shared" si="1"/>
        <v>39</v>
      </c>
      <c r="D58" t="s">
        <v>500</v>
      </c>
      <c r="E58" t="s">
        <v>118</v>
      </c>
      <c r="F58" t="s">
        <v>375</v>
      </c>
      <c r="J58" t="s">
        <v>119</v>
      </c>
      <c r="K58" t="s">
        <v>499</v>
      </c>
      <c r="L58" t="s">
        <v>501</v>
      </c>
      <c r="M58">
        <v>394</v>
      </c>
      <c r="N58">
        <v>0</v>
      </c>
      <c r="O58" t="s">
        <v>122</v>
      </c>
      <c r="P58" s="1" t="s">
        <v>123</v>
      </c>
      <c r="AF58" s="1" t="s">
        <v>124</v>
      </c>
      <c r="AG58" t="s">
        <v>445</v>
      </c>
      <c r="AH58" t="str">
        <f>VLOOKUP(AnalizaCzyste[[#This Row],[Jak się nazywa uczelnia którą ukończyłeś? (proszę o wybranie jednej uczelni podlegającej ocenie)]],KategorieUczelni[],2,0)</f>
        <v>Publiczna</v>
      </c>
      <c r="AI58">
        <v>2019</v>
      </c>
      <c r="AJ58" t="s">
        <v>148</v>
      </c>
      <c r="AK58" t="s">
        <v>502</v>
      </c>
      <c r="AL58" t="s">
        <v>162</v>
      </c>
      <c r="AM58" t="s">
        <v>162</v>
      </c>
      <c r="AN58" t="s">
        <v>162</v>
      </c>
      <c r="AO58" t="s">
        <v>150</v>
      </c>
      <c r="AP58" t="s">
        <v>132</v>
      </c>
      <c r="AQ58">
        <v>0</v>
      </c>
      <c r="AR58" t="s">
        <v>153</v>
      </c>
      <c r="AS58" t="s">
        <v>132</v>
      </c>
      <c r="AT58" t="s">
        <v>503</v>
      </c>
      <c r="AU58" t="s">
        <v>504</v>
      </c>
      <c r="AV58" t="s">
        <v>505</v>
      </c>
      <c r="AW58" t="s">
        <v>157</v>
      </c>
      <c r="AY58" s="1" t="s">
        <v>123</v>
      </c>
      <c r="CS58" s="1" t="s">
        <v>123</v>
      </c>
      <c r="DC58" s="1" t="s">
        <v>123</v>
      </c>
      <c r="DM58" s="1" t="s">
        <v>123</v>
      </c>
      <c r="EP58" s="1" t="s">
        <v>123</v>
      </c>
      <c r="EQ58" t="s">
        <v>180</v>
      </c>
      <c r="ER58" t="s">
        <v>132</v>
      </c>
      <c r="FP58" s="1" t="s">
        <v>123</v>
      </c>
      <c r="FQ58" t="s">
        <v>132</v>
      </c>
      <c r="FS58" t="s">
        <v>132</v>
      </c>
      <c r="GX58" t="s">
        <v>506</v>
      </c>
      <c r="GY58" t="s">
        <v>507</v>
      </c>
      <c r="GZ58" t="s">
        <v>508</v>
      </c>
      <c r="HA58" t="s">
        <v>140</v>
      </c>
      <c r="HB58">
        <v>1994</v>
      </c>
      <c r="HC58" t="str">
        <f>VLOOKUP(AnalizaCzyste[[#This Row],[Rok urodzenia]],KategorieWiekowe[],2,1)</f>
        <v>26-35 lat</v>
      </c>
      <c r="HD58" t="s">
        <v>220</v>
      </c>
      <c r="HF58" t="s">
        <v>509</v>
      </c>
      <c r="HG58" t="s">
        <v>510</v>
      </c>
    </row>
    <row r="59" spans="1:215" x14ac:dyDescent="0.45">
      <c r="A59">
        <v>34</v>
      </c>
      <c r="B59">
        <f>_xlfn.IFNA(VLOOKUP(AnalizaCzyste[[#This Row],[Zakończono wypełnianie]],Zakończone[],2,0),"BRAK")</f>
        <v>24</v>
      </c>
      <c r="C59">
        <f t="shared" si="1"/>
        <v>38</v>
      </c>
      <c r="D59" t="s">
        <v>484</v>
      </c>
      <c r="E59" t="s">
        <v>118</v>
      </c>
      <c r="F59" t="s">
        <v>359</v>
      </c>
      <c r="J59" t="s">
        <v>119</v>
      </c>
      <c r="K59" t="s">
        <v>485</v>
      </c>
      <c r="L59" t="s">
        <v>486</v>
      </c>
      <c r="M59">
        <v>709</v>
      </c>
      <c r="N59">
        <v>0</v>
      </c>
      <c r="O59" t="s">
        <v>122</v>
      </c>
      <c r="P59" s="1" t="s">
        <v>123</v>
      </c>
      <c r="AF59" s="1" t="s">
        <v>124</v>
      </c>
      <c r="AG59" t="s">
        <v>445</v>
      </c>
      <c r="AH59" t="str">
        <f>VLOOKUP(AnalizaCzyste[[#This Row],[Jak się nazywa uczelnia którą ukończyłeś? (proszę o wybranie jednej uczelni podlegającej ocenie)]],KategorieUczelni[],2,0)</f>
        <v>Publiczna</v>
      </c>
      <c r="AI59">
        <v>2018</v>
      </c>
      <c r="AJ59" t="s">
        <v>148</v>
      </c>
      <c r="AK59" t="s">
        <v>487</v>
      </c>
      <c r="AL59" t="s">
        <v>162</v>
      </c>
      <c r="AM59" t="s">
        <v>162</v>
      </c>
      <c r="AN59" t="s">
        <v>151</v>
      </c>
      <c r="AO59" t="s">
        <v>129</v>
      </c>
      <c r="AP59" t="s">
        <v>151</v>
      </c>
      <c r="AQ59">
        <v>2</v>
      </c>
      <c r="AR59" t="s">
        <v>131</v>
      </c>
      <c r="AS59" t="s">
        <v>153</v>
      </c>
      <c r="AT59" t="s">
        <v>488</v>
      </c>
      <c r="AU59" t="s">
        <v>489</v>
      </c>
      <c r="AV59" t="s">
        <v>490</v>
      </c>
      <c r="AW59" t="s">
        <v>157</v>
      </c>
      <c r="AY59" s="1" t="s">
        <v>123</v>
      </c>
      <c r="CS59" s="1" t="s">
        <v>123</v>
      </c>
      <c r="DC59" s="1" t="s">
        <v>123</v>
      </c>
      <c r="DM59" s="1" t="s">
        <v>123</v>
      </c>
      <c r="EP59" s="1" t="s">
        <v>123</v>
      </c>
      <c r="EQ59" t="s">
        <v>180</v>
      </c>
      <c r="FP59" s="1" t="s">
        <v>123</v>
      </c>
      <c r="FQ59" t="s">
        <v>132</v>
      </c>
      <c r="FS59" t="s">
        <v>132</v>
      </c>
      <c r="GX59" t="s">
        <v>491</v>
      </c>
      <c r="GY59" t="s">
        <v>492</v>
      </c>
      <c r="GZ59" t="s">
        <v>493</v>
      </c>
      <c r="HA59" t="s">
        <v>186</v>
      </c>
      <c r="HB59">
        <v>1994</v>
      </c>
      <c r="HC59" t="str">
        <f>VLOOKUP(AnalizaCzyste[[#This Row],[Rok urodzenia]],KategorieWiekowe[],2,1)</f>
        <v>26-35 lat</v>
      </c>
      <c r="HD59" t="s">
        <v>483</v>
      </c>
      <c r="HF59" t="s">
        <v>494</v>
      </c>
      <c r="HG59" t="s">
        <v>495</v>
      </c>
    </row>
    <row r="60" spans="1:215" x14ac:dyDescent="0.45">
      <c r="A60">
        <v>61</v>
      </c>
      <c r="B60">
        <f>_xlfn.IFNA(VLOOKUP(AnalizaCzyste[[#This Row],[Zakończono wypełnianie]],Zakończone[],2,0),"BRAK")</f>
        <v>36</v>
      </c>
      <c r="C60">
        <f t="shared" si="1"/>
        <v>37</v>
      </c>
      <c r="D60" t="s">
        <v>668</v>
      </c>
      <c r="E60" t="s">
        <v>118</v>
      </c>
      <c r="F60" t="s">
        <v>359</v>
      </c>
      <c r="J60" t="s">
        <v>119</v>
      </c>
      <c r="K60" t="s">
        <v>669</v>
      </c>
      <c r="L60" t="s">
        <v>670</v>
      </c>
      <c r="M60">
        <v>463</v>
      </c>
      <c r="N60">
        <v>0</v>
      </c>
      <c r="O60" t="s">
        <v>122</v>
      </c>
      <c r="P60" s="1" t="s">
        <v>123</v>
      </c>
      <c r="AF60" s="1" t="s">
        <v>124</v>
      </c>
      <c r="AG60" t="s">
        <v>445</v>
      </c>
      <c r="AH60" t="str">
        <f>VLOOKUP(AnalizaCzyste[[#This Row],[Jak się nazywa uczelnia którą ukończyłeś? (proszę o wybranie jednej uczelni podlegającej ocenie)]],KategorieUczelni[],2,0)</f>
        <v>Publiczna</v>
      </c>
      <c r="AI60">
        <v>2019</v>
      </c>
      <c r="AJ60" t="s">
        <v>148</v>
      </c>
      <c r="AK60" t="s">
        <v>601</v>
      </c>
      <c r="AL60" t="s">
        <v>162</v>
      </c>
      <c r="AM60" t="s">
        <v>162</v>
      </c>
      <c r="AN60" t="s">
        <v>129</v>
      </c>
      <c r="AO60" t="s">
        <v>129</v>
      </c>
      <c r="AP60" t="s">
        <v>129</v>
      </c>
      <c r="AQ60">
        <v>4</v>
      </c>
      <c r="AR60" t="s">
        <v>152</v>
      </c>
      <c r="AS60" t="s">
        <v>131</v>
      </c>
      <c r="AT60" t="s">
        <v>671</v>
      </c>
      <c r="AU60" t="s">
        <v>672</v>
      </c>
      <c r="AV60" t="s">
        <v>673</v>
      </c>
      <c r="AW60" t="s">
        <v>157</v>
      </c>
      <c r="AY60" s="1" t="s">
        <v>123</v>
      </c>
      <c r="CS60" s="1" t="s">
        <v>123</v>
      </c>
      <c r="DC60" s="1" t="s">
        <v>123</v>
      </c>
      <c r="DM60" s="1" t="s">
        <v>123</v>
      </c>
      <c r="EP60" s="1" t="s">
        <v>123</v>
      </c>
      <c r="EQ60" t="s">
        <v>180</v>
      </c>
      <c r="ER60" t="s">
        <v>132</v>
      </c>
      <c r="FP60" s="1" t="s">
        <v>123</v>
      </c>
      <c r="FQ60" t="s">
        <v>132</v>
      </c>
      <c r="FS60" t="s">
        <v>132</v>
      </c>
      <c r="GX60" t="s">
        <v>674</v>
      </c>
      <c r="GY60" t="s">
        <v>675</v>
      </c>
      <c r="GZ60" t="s">
        <v>676</v>
      </c>
      <c r="HA60" t="s">
        <v>140</v>
      </c>
      <c r="HB60">
        <v>1994</v>
      </c>
      <c r="HC60" t="str">
        <f>VLOOKUP(AnalizaCzyste[[#This Row],[Rok urodzenia]],KategorieWiekowe[],2,1)</f>
        <v>26-35 lat</v>
      </c>
      <c r="HD60" t="s">
        <v>483</v>
      </c>
    </row>
    <row r="61" spans="1:215" x14ac:dyDescent="0.45">
      <c r="A61">
        <v>80</v>
      </c>
      <c r="B61">
        <f>_xlfn.IFNA(VLOOKUP(AnalizaCzyste[[#This Row],[Zakończono wypełnianie]],Zakończone[],2,0),"BRAK")</f>
        <v>45</v>
      </c>
      <c r="C61">
        <f t="shared" si="1"/>
        <v>37</v>
      </c>
      <c r="D61" t="s">
        <v>370</v>
      </c>
      <c r="E61" t="s">
        <v>118</v>
      </c>
      <c r="F61" t="s">
        <v>774</v>
      </c>
      <c r="J61" t="s">
        <v>119</v>
      </c>
      <c r="K61" t="s">
        <v>811</v>
      </c>
      <c r="L61" t="s">
        <v>812</v>
      </c>
      <c r="M61">
        <v>1671</v>
      </c>
      <c r="N61">
        <v>0</v>
      </c>
      <c r="O61" t="s">
        <v>122</v>
      </c>
      <c r="P61" s="1" t="s">
        <v>123</v>
      </c>
      <c r="AF61" s="1" t="s">
        <v>124</v>
      </c>
      <c r="AG61" t="s">
        <v>813</v>
      </c>
      <c r="AH61" t="str">
        <f>VLOOKUP(AnalizaCzyste[[#This Row],[Jak się nazywa uczelnia którą ukończyłeś? (proszę o wybranie jednej uczelni podlegającej ocenie)]],KategorieUczelni[],2,0)</f>
        <v>Publiczna</v>
      </c>
      <c r="AI61">
        <v>1956</v>
      </c>
      <c r="AJ61" t="s">
        <v>148</v>
      </c>
      <c r="AK61" t="s">
        <v>601</v>
      </c>
      <c r="AL61" t="s">
        <v>162</v>
      </c>
      <c r="AM61" t="s">
        <v>162</v>
      </c>
      <c r="AN61" t="s">
        <v>150</v>
      </c>
      <c r="AO61" t="s">
        <v>236</v>
      </c>
      <c r="AP61" t="s">
        <v>236</v>
      </c>
      <c r="AQ61" t="s">
        <v>814</v>
      </c>
      <c r="AR61" t="s">
        <v>131</v>
      </c>
      <c r="AS61" t="s">
        <v>131</v>
      </c>
      <c r="AU61" t="s">
        <v>815</v>
      </c>
      <c r="AV61" t="s">
        <v>816</v>
      </c>
      <c r="AW61" t="s">
        <v>172</v>
      </c>
      <c r="AX61" t="s">
        <v>817</v>
      </c>
      <c r="AY61" s="1" t="s">
        <v>123</v>
      </c>
      <c r="CS61" s="1" t="s">
        <v>123</v>
      </c>
      <c r="DC61" s="1" t="s">
        <v>123</v>
      </c>
      <c r="DM61" s="1" t="s">
        <v>123</v>
      </c>
      <c r="EP61" s="1" t="s">
        <v>123</v>
      </c>
      <c r="EQ61" t="s">
        <v>180</v>
      </c>
      <c r="ER61" t="s">
        <v>132</v>
      </c>
      <c r="FP61" s="1" t="s">
        <v>123</v>
      </c>
      <c r="FQ61" t="s">
        <v>132</v>
      </c>
      <c r="FS61" t="s">
        <v>132</v>
      </c>
      <c r="GX61" t="s">
        <v>818</v>
      </c>
      <c r="GY61" t="s">
        <v>819</v>
      </c>
      <c r="GZ61" t="s">
        <v>820</v>
      </c>
      <c r="HA61" t="s">
        <v>140</v>
      </c>
      <c r="HB61">
        <v>1933</v>
      </c>
      <c r="HC61" t="str">
        <f>VLOOKUP(AnalizaCzyste[[#This Row],[Rok urodzenia]],KategorieWiekowe[],2,1)</f>
        <v>powyżej 65 lat</v>
      </c>
      <c r="HD61" t="s">
        <v>220</v>
      </c>
    </row>
    <row r="62" spans="1:215" x14ac:dyDescent="0.45">
      <c r="A62">
        <v>205</v>
      </c>
      <c r="B62">
        <f>_xlfn.IFNA(VLOOKUP(AnalizaCzyste[[#This Row],[Zakończono wypełnianie]],Zakończone[],2,0),"BRAK")</f>
        <v>114</v>
      </c>
      <c r="C62">
        <f t="shared" si="1"/>
        <v>35</v>
      </c>
      <c r="D62" t="s">
        <v>1709</v>
      </c>
      <c r="E62" t="s">
        <v>118</v>
      </c>
      <c r="J62" t="s">
        <v>119</v>
      </c>
      <c r="K62" t="s">
        <v>1710</v>
      </c>
      <c r="L62" t="s">
        <v>1711</v>
      </c>
      <c r="M62">
        <v>588</v>
      </c>
      <c r="N62">
        <v>0</v>
      </c>
      <c r="O62" t="s">
        <v>122</v>
      </c>
      <c r="P62" s="1" t="s">
        <v>123</v>
      </c>
      <c r="AF62" s="1" t="s">
        <v>124</v>
      </c>
      <c r="AG62" t="s">
        <v>1712</v>
      </c>
      <c r="AH62" t="str">
        <f>VLOOKUP(AnalizaCzyste[[#This Row],[Jak się nazywa uczelnia którą ukończyłeś? (proszę o wybranie jednej uczelni podlegającej ocenie)]],KategorieUczelni[],2,0)</f>
        <v>Publiczna</v>
      </c>
      <c r="AI62">
        <v>2012</v>
      </c>
      <c r="AJ62" t="s">
        <v>148</v>
      </c>
      <c r="AK62" t="s">
        <v>1713</v>
      </c>
      <c r="AL62" t="s">
        <v>162</v>
      </c>
      <c r="AM62" t="s">
        <v>162</v>
      </c>
      <c r="AN62" t="s">
        <v>169</v>
      </c>
      <c r="AO62" t="s">
        <v>129</v>
      </c>
      <c r="AP62" t="s">
        <v>129</v>
      </c>
      <c r="AQ62" t="s">
        <v>1714</v>
      </c>
      <c r="AR62" t="s">
        <v>131</v>
      </c>
      <c r="AS62" t="s">
        <v>131</v>
      </c>
      <c r="AT62" t="s">
        <v>1715</v>
      </c>
      <c r="AU62" t="s">
        <v>1716</v>
      </c>
      <c r="AV62" t="s">
        <v>1717</v>
      </c>
      <c r="AW62" t="s">
        <v>157</v>
      </c>
      <c r="AY62" s="1" t="s">
        <v>123</v>
      </c>
      <c r="CS62" s="1" t="s">
        <v>123</v>
      </c>
      <c r="DC62" s="1" t="s">
        <v>123</v>
      </c>
      <c r="DM62" s="1" t="s">
        <v>123</v>
      </c>
      <c r="EP62" s="1" t="s">
        <v>123</v>
      </c>
      <c r="FP62" s="1" t="s">
        <v>123</v>
      </c>
      <c r="GX62" t="s">
        <v>1718</v>
      </c>
      <c r="GY62" t="s">
        <v>1719</v>
      </c>
      <c r="GZ62" t="s">
        <v>1720</v>
      </c>
      <c r="HA62" t="s">
        <v>140</v>
      </c>
      <c r="HB62">
        <v>1985</v>
      </c>
      <c r="HC62" t="str">
        <f>VLOOKUP(AnalizaCzyste[[#This Row],[Rok urodzenia]],KategorieWiekowe[],2,1)</f>
        <v>26-35 lat</v>
      </c>
      <c r="HD62" t="s">
        <v>246</v>
      </c>
      <c r="HF62" t="s">
        <v>1721</v>
      </c>
      <c r="HG62" t="s">
        <v>532</v>
      </c>
    </row>
    <row r="63" spans="1:215" x14ac:dyDescent="0.45">
      <c r="A63">
        <v>67</v>
      </c>
      <c r="B63">
        <f>_xlfn.IFNA(VLOOKUP(AnalizaCzyste[[#This Row],[Zakończono wypełnianie]],Zakończone[],2,0),"BRAK")</f>
        <v>38</v>
      </c>
      <c r="C63">
        <f t="shared" si="1"/>
        <v>37</v>
      </c>
      <c r="D63" t="s">
        <v>698</v>
      </c>
      <c r="E63" t="s">
        <v>118</v>
      </c>
      <c r="F63" t="s">
        <v>359</v>
      </c>
      <c r="J63" t="s">
        <v>119</v>
      </c>
      <c r="K63" t="s">
        <v>699</v>
      </c>
      <c r="L63" t="s">
        <v>700</v>
      </c>
      <c r="M63">
        <v>1910</v>
      </c>
      <c r="N63">
        <v>0</v>
      </c>
      <c r="O63" t="s">
        <v>122</v>
      </c>
      <c r="P63" s="1" t="s">
        <v>123</v>
      </c>
      <c r="AF63" s="1" t="s">
        <v>124</v>
      </c>
      <c r="AG63" t="s">
        <v>701</v>
      </c>
      <c r="AH63" t="str">
        <f>VLOOKUP(AnalizaCzyste[[#This Row],[Jak się nazywa uczelnia którą ukończyłeś? (proszę o wybranie jednej uczelni podlegającej ocenie)]],KategorieUczelni[],2,0)</f>
        <v>Publiczna</v>
      </c>
      <c r="AI63">
        <v>2020</v>
      </c>
      <c r="AJ63" t="s">
        <v>148</v>
      </c>
      <c r="AK63" t="s">
        <v>702</v>
      </c>
      <c r="AL63" t="s">
        <v>162</v>
      </c>
      <c r="AM63" t="s">
        <v>162</v>
      </c>
      <c r="AN63" t="s">
        <v>236</v>
      </c>
      <c r="AO63" t="s">
        <v>236</v>
      </c>
      <c r="AP63" t="s">
        <v>132</v>
      </c>
      <c r="AQ63" t="s">
        <v>703</v>
      </c>
      <c r="AR63" t="s">
        <v>131</v>
      </c>
      <c r="AS63" t="s">
        <v>132</v>
      </c>
      <c r="AT63" t="s">
        <v>704</v>
      </c>
      <c r="AU63" t="s">
        <v>705</v>
      </c>
      <c r="AV63" t="s">
        <v>706</v>
      </c>
      <c r="AW63" t="s">
        <v>157</v>
      </c>
      <c r="AY63" s="1" t="s">
        <v>123</v>
      </c>
      <c r="CS63" s="1" t="s">
        <v>123</v>
      </c>
      <c r="DC63" s="1" t="s">
        <v>123</v>
      </c>
      <c r="DM63" s="1" t="s">
        <v>123</v>
      </c>
      <c r="EP63" s="1" t="s">
        <v>123</v>
      </c>
      <c r="EQ63" t="s">
        <v>180</v>
      </c>
      <c r="ER63" t="s">
        <v>132</v>
      </c>
      <c r="FP63" s="1" t="s">
        <v>123</v>
      </c>
      <c r="FQ63" t="s">
        <v>132</v>
      </c>
      <c r="FS63" t="s">
        <v>132</v>
      </c>
      <c r="GX63" t="s">
        <v>707</v>
      </c>
      <c r="GY63" t="s">
        <v>708</v>
      </c>
      <c r="GZ63" t="s">
        <v>709</v>
      </c>
      <c r="HA63" t="s">
        <v>140</v>
      </c>
      <c r="HB63">
        <v>1994</v>
      </c>
      <c r="HC63" t="str">
        <f>VLOOKUP(AnalizaCzyste[[#This Row],[Rok urodzenia]],KategorieWiekowe[],2,1)</f>
        <v>26-35 lat</v>
      </c>
      <c r="HD63" t="s">
        <v>220</v>
      </c>
    </row>
    <row r="64" spans="1:215" x14ac:dyDescent="0.45">
      <c r="A64">
        <v>214</v>
      </c>
      <c r="B64">
        <f>_xlfn.IFNA(VLOOKUP(AnalizaCzyste[[#This Row],[Zakończono wypełnianie]],Zakończone[],2,0),"BRAK")</f>
        <v>117</v>
      </c>
      <c r="C64">
        <f t="shared" si="1"/>
        <v>35</v>
      </c>
      <c r="D64" t="s">
        <v>1762</v>
      </c>
      <c r="E64" t="s">
        <v>118</v>
      </c>
      <c r="J64" t="s">
        <v>119</v>
      </c>
      <c r="K64" t="s">
        <v>1763</v>
      </c>
      <c r="L64" t="s">
        <v>1764</v>
      </c>
      <c r="M64">
        <v>336</v>
      </c>
      <c r="N64">
        <v>0</v>
      </c>
      <c r="O64" t="s">
        <v>122</v>
      </c>
      <c r="P64" s="1" t="s">
        <v>123</v>
      </c>
      <c r="AF64" s="1" t="s">
        <v>124</v>
      </c>
      <c r="AG64" t="s">
        <v>191</v>
      </c>
      <c r="AH64" t="str">
        <f>VLOOKUP(AnalizaCzyste[[#This Row],[Jak się nazywa uczelnia którą ukończyłeś? (proszę o wybranie jednej uczelni podlegającej ocenie)]],KategorieUczelni[],2,0)</f>
        <v>Publiczna</v>
      </c>
      <c r="AI64">
        <v>2002</v>
      </c>
      <c r="AJ64" t="s">
        <v>126</v>
      </c>
      <c r="AK64" t="s">
        <v>1176</v>
      </c>
      <c r="AL64" t="s">
        <v>129</v>
      </c>
      <c r="AM64" t="s">
        <v>129</v>
      </c>
      <c r="AN64" t="s">
        <v>129</v>
      </c>
      <c r="AO64" t="s">
        <v>129</v>
      </c>
      <c r="AP64" t="s">
        <v>129</v>
      </c>
      <c r="AQ64" t="s">
        <v>1765</v>
      </c>
      <c r="AR64" t="s">
        <v>302</v>
      </c>
      <c r="AS64" t="s">
        <v>226</v>
      </c>
      <c r="AU64" t="s">
        <v>1766</v>
      </c>
      <c r="AV64" t="s">
        <v>386</v>
      </c>
      <c r="AW64" t="s">
        <v>157</v>
      </c>
      <c r="AX64" t="s">
        <v>1767</v>
      </c>
      <c r="AY64" s="1" t="s">
        <v>123</v>
      </c>
      <c r="CS64" s="1" t="s">
        <v>123</v>
      </c>
      <c r="DC64" s="1" t="s">
        <v>123</v>
      </c>
      <c r="DM64" s="1" t="s">
        <v>123</v>
      </c>
      <c r="EP64" s="1" t="s">
        <v>123</v>
      </c>
      <c r="FP64" s="1" t="s">
        <v>123</v>
      </c>
      <c r="GX64" t="s">
        <v>1768</v>
      </c>
      <c r="GY64" t="s">
        <v>1769</v>
      </c>
      <c r="GZ64" t="s">
        <v>1769</v>
      </c>
      <c r="HA64" t="s">
        <v>186</v>
      </c>
      <c r="HB64">
        <v>1977</v>
      </c>
      <c r="HC64" t="str">
        <f>VLOOKUP(AnalizaCzyste[[#This Row],[Rok urodzenia]],KategorieWiekowe[],2,1)</f>
        <v>36-45 lat</v>
      </c>
      <c r="HD64" t="s">
        <v>141</v>
      </c>
      <c r="HF64" t="s">
        <v>386</v>
      </c>
      <c r="HG64" t="s">
        <v>386</v>
      </c>
    </row>
    <row r="65" spans="1:216" x14ac:dyDescent="0.45">
      <c r="A65">
        <v>99</v>
      </c>
      <c r="B65">
        <f>_xlfn.IFNA(VLOOKUP(AnalizaCzyste[[#This Row],[Zakończono wypełnianie]],Zakończone[],2,0),"BRAK")</f>
        <v>61</v>
      </c>
      <c r="C65">
        <f t="shared" si="1"/>
        <v>33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 t="str">
        <f>VLOOKUP(AnalizaCzyste[[#This Row],[Jak się nazywa uczelnia którą ukończyłeś? (proszę o wybranie jednej uczelni podlegającej ocenie)]],KategorieUczelni[],2,0)</f>
        <v>Niepubliczna</v>
      </c>
      <c r="AI65">
        <v>2015</v>
      </c>
      <c r="AJ65" t="s">
        <v>148</v>
      </c>
      <c r="AK65" t="s">
        <v>988</v>
      </c>
      <c r="AL65" t="s">
        <v>169</v>
      </c>
      <c r="AM65" t="s">
        <v>150</v>
      </c>
      <c r="AN65" t="s">
        <v>151</v>
      </c>
      <c r="AO65" t="s">
        <v>151</v>
      </c>
      <c r="AP65" t="s">
        <v>151</v>
      </c>
      <c r="AQ65" t="s">
        <v>883</v>
      </c>
      <c r="AR65" t="s">
        <v>131</v>
      </c>
      <c r="AS65" t="s">
        <v>302</v>
      </c>
      <c r="AU65" t="s">
        <v>989</v>
      </c>
      <c r="AV65" t="s">
        <v>990</v>
      </c>
      <c r="AW65" t="s">
        <v>157</v>
      </c>
      <c r="AY65" s="1" t="s">
        <v>123</v>
      </c>
      <c r="CS65" s="1" t="s">
        <v>123</v>
      </c>
      <c r="DC65" s="1" t="s">
        <v>123</v>
      </c>
      <c r="DM65" s="1" t="s">
        <v>123</v>
      </c>
      <c r="EP65" s="1" t="s">
        <v>123</v>
      </c>
      <c r="FP65" s="1" t="s">
        <v>123</v>
      </c>
      <c r="FQ65" t="s">
        <v>132</v>
      </c>
      <c r="GX65" t="s">
        <v>786</v>
      </c>
      <c r="GY65" t="s">
        <v>991</v>
      </c>
      <c r="GZ65" t="s">
        <v>820</v>
      </c>
      <c r="HA65" t="s">
        <v>140</v>
      </c>
      <c r="HB65">
        <v>1991</v>
      </c>
      <c r="HC65" t="str">
        <f>VLOOKUP(AnalizaCzyste[[#This Row],[Rok urodzenia]],KategorieWiekowe[],2,1)</f>
        <v>26-35 lat</v>
      </c>
      <c r="HD65" t="s">
        <v>220</v>
      </c>
    </row>
    <row r="66" spans="1:216" x14ac:dyDescent="0.45">
      <c r="A66">
        <v>258</v>
      </c>
      <c r="B66">
        <f>_xlfn.IFNA(VLOOKUP(AnalizaCzyste[[#This Row],[Zakończono wypełnianie]],Zakończone[],2,0),"BRAK")</f>
        <v>135</v>
      </c>
      <c r="C66">
        <f t="shared" si="1"/>
        <v>57</v>
      </c>
      <c r="D66" t="s">
        <v>2014</v>
      </c>
      <c r="E66" t="s">
        <v>118</v>
      </c>
      <c r="J66" t="s">
        <v>119</v>
      </c>
      <c r="K66" t="s">
        <v>2028</v>
      </c>
      <c r="L66" t="s">
        <v>2029</v>
      </c>
      <c r="M66">
        <v>721</v>
      </c>
      <c r="N66">
        <v>0</v>
      </c>
      <c r="O66" t="s">
        <v>122</v>
      </c>
      <c r="P66" s="1" t="s">
        <v>123</v>
      </c>
      <c r="AF66" s="1" t="s">
        <v>124</v>
      </c>
      <c r="AG66" t="s">
        <v>234</v>
      </c>
      <c r="AH66" t="str">
        <f>VLOOKUP(AnalizaCzyste[[#This Row],[Jak się nazywa uczelnia którą ukończyłeś? (proszę o wybranie jednej uczelni podlegającej ocenie)]],KategorieUczelni[],2,0)</f>
        <v>Publiczna</v>
      </c>
      <c r="AI66">
        <v>1985</v>
      </c>
      <c r="AJ66" t="s">
        <v>148</v>
      </c>
      <c r="AK66" t="s">
        <v>2030</v>
      </c>
      <c r="AL66" t="s">
        <v>169</v>
      </c>
      <c r="AM66" t="s">
        <v>169</v>
      </c>
      <c r="AN66" t="s">
        <v>150</v>
      </c>
      <c r="AO66" t="s">
        <v>128</v>
      </c>
      <c r="AP66" t="s">
        <v>128</v>
      </c>
      <c r="AQ66">
        <v>4</v>
      </c>
      <c r="AR66" t="s">
        <v>131</v>
      </c>
      <c r="AS66" t="s">
        <v>131</v>
      </c>
      <c r="AT66" t="s">
        <v>2031</v>
      </c>
      <c r="AU66" t="s">
        <v>1229</v>
      </c>
      <c r="AV66" t="s">
        <v>1229</v>
      </c>
      <c r="AW66" t="s">
        <v>157</v>
      </c>
      <c r="AX66" t="s">
        <v>2032</v>
      </c>
      <c r="AY66" s="1" t="s">
        <v>123</v>
      </c>
      <c r="CS66" s="1" t="s">
        <v>123</v>
      </c>
      <c r="DC66" s="1" t="s">
        <v>123</v>
      </c>
      <c r="DM66" s="1" t="s">
        <v>174</v>
      </c>
      <c r="DN66" t="s">
        <v>394</v>
      </c>
      <c r="DR66" t="s">
        <v>234</v>
      </c>
      <c r="DS66" t="s">
        <v>162</v>
      </c>
      <c r="DT66" t="s">
        <v>162</v>
      </c>
      <c r="DU66" t="s">
        <v>162</v>
      </c>
      <c r="DV66" t="s">
        <v>132</v>
      </c>
      <c r="DW66" t="s">
        <v>132</v>
      </c>
      <c r="DX66" t="s">
        <v>132</v>
      </c>
      <c r="DY66" t="s">
        <v>162</v>
      </c>
      <c r="DZ66">
        <v>20</v>
      </c>
      <c r="EA66">
        <v>60</v>
      </c>
      <c r="EB66">
        <v>0</v>
      </c>
      <c r="EC66">
        <v>0</v>
      </c>
      <c r="ED66">
        <v>0</v>
      </c>
      <c r="EE66">
        <v>20</v>
      </c>
      <c r="EF66">
        <v>0</v>
      </c>
      <c r="EH66">
        <v>20</v>
      </c>
      <c r="EI66">
        <v>60</v>
      </c>
      <c r="EJ66">
        <v>0</v>
      </c>
      <c r="EK66">
        <v>0</v>
      </c>
      <c r="EL66">
        <v>0</v>
      </c>
      <c r="EM66">
        <v>20</v>
      </c>
      <c r="EN66">
        <v>0</v>
      </c>
      <c r="EP66" s="1" t="s">
        <v>123</v>
      </c>
      <c r="FP66" s="1" t="s">
        <v>123</v>
      </c>
      <c r="GX66" t="s">
        <v>2033</v>
      </c>
      <c r="GY66" t="s">
        <v>1229</v>
      </c>
      <c r="GZ66" t="s">
        <v>1229</v>
      </c>
      <c r="HA66" t="s">
        <v>186</v>
      </c>
      <c r="HB66">
        <v>1961</v>
      </c>
      <c r="HC66" t="str">
        <f>VLOOKUP(AnalizaCzyste[[#This Row],[Rok urodzenia]],KategorieWiekowe[],2,1)</f>
        <v>56-65 lat</v>
      </c>
      <c r="HD66" t="s">
        <v>141</v>
      </c>
    </row>
    <row r="67" spans="1:216" x14ac:dyDescent="0.45">
      <c r="A67">
        <v>21</v>
      </c>
      <c r="B67">
        <f>_xlfn.IFNA(VLOOKUP(AnalizaCzyste[[#This Row],[Zakończono wypełnianie]],Zakończone[],2,0),"BRAK")</f>
        <v>18</v>
      </c>
      <c r="C67">
        <f t="shared" ref="C67:C98" si="2">COUNTA(O67:HH67)</f>
        <v>78</v>
      </c>
      <c r="D67" t="s">
        <v>378</v>
      </c>
      <c r="E67" t="s">
        <v>118</v>
      </c>
      <c r="J67" t="s">
        <v>119</v>
      </c>
      <c r="K67" t="s">
        <v>379</v>
      </c>
      <c r="L67" t="s">
        <v>380</v>
      </c>
      <c r="M67">
        <v>5438</v>
      </c>
      <c r="N67">
        <v>0</v>
      </c>
      <c r="O67" t="s">
        <v>122</v>
      </c>
      <c r="P67" s="1" t="s">
        <v>123</v>
      </c>
      <c r="AF67" s="1" t="s">
        <v>124</v>
      </c>
      <c r="AG67" t="s">
        <v>2268</v>
      </c>
      <c r="AH67" t="str">
        <f>VLOOKUP(AnalizaCzyste[[#This Row],[Jak się nazywa uczelnia którą ukończyłeś? (proszę o wybranie jednej uczelni podlegającej ocenie)]],KategorieUczelni[],2,0)</f>
        <v>Publiczna</v>
      </c>
      <c r="AI67">
        <v>1985</v>
      </c>
      <c r="AJ67" t="s">
        <v>148</v>
      </c>
      <c r="AK67" t="s">
        <v>382</v>
      </c>
      <c r="AL67" t="s">
        <v>169</v>
      </c>
      <c r="AM67" t="s">
        <v>169</v>
      </c>
      <c r="AN67" t="s">
        <v>128</v>
      </c>
      <c r="AO67" t="s">
        <v>236</v>
      </c>
      <c r="AP67" t="s">
        <v>236</v>
      </c>
      <c r="AQ67" t="s">
        <v>383</v>
      </c>
      <c r="AR67" t="s">
        <v>152</v>
      </c>
      <c r="AS67" t="s">
        <v>152</v>
      </c>
      <c r="AT67" t="s">
        <v>384</v>
      </c>
      <c r="AU67" t="s">
        <v>385</v>
      </c>
      <c r="AV67" t="s">
        <v>386</v>
      </c>
      <c r="AW67" t="s">
        <v>172</v>
      </c>
      <c r="AY67" s="1" t="s">
        <v>123</v>
      </c>
      <c r="CS67" s="1" t="s">
        <v>387</v>
      </c>
      <c r="CT67" t="s">
        <v>388</v>
      </c>
      <c r="CU67" t="s">
        <v>389</v>
      </c>
      <c r="CV67" t="s">
        <v>169</v>
      </c>
      <c r="CW67" t="s">
        <v>169</v>
      </c>
      <c r="CX67" t="s">
        <v>169</v>
      </c>
      <c r="CY67" t="s">
        <v>169</v>
      </c>
      <c r="CZ67" t="s">
        <v>169</v>
      </c>
      <c r="DA67" t="s">
        <v>169</v>
      </c>
      <c r="DB67" t="s">
        <v>390</v>
      </c>
      <c r="DC67" s="1" t="s">
        <v>214</v>
      </c>
      <c r="DD67" t="s">
        <v>388</v>
      </c>
      <c r="DE67" t="s">
        <v>2274</v>
      </c>
      <c r="DF67" t="s">
        <v>169</v>
      </c>
      <c r="DG67" t="s">
        <v>169</v>
      </c>
      <c r="DH67" t="s">
        <v>169</v>
      </c>
      <c r="DI67" t="s">
        <v>169</v>
      </c>
      <c r="DJ67" t="s">
        <v>169</v>
      </c>
      <c r="DK67" t="s">
        <v>169</v>
      </c>
      <c r="DL67" t="s">
        <v>393</v>
      </c>
      <c r="DM67" s="1" t="s">
        <v>174</v>
      </c>
      <c r="DN67" t="s">
        <v>394</v>
      </c>
      <c r="DR67" t="s">
        <v>391</v>
      </c>
      <c r="DS67" t="s">
        <v>169</v>
      </c>
      <c r="DT67" t="s">
        <v>169</v>
      </c>
      <c r="DU67" t="s">
        <v>169</v>
      </c>
      <c r="DV67" t="s">
        <v>169</v>
      </c>
      <c r="DW67" t="s">
        <v>169</v>
      </c>
      <c r="DX67" t="s">
        <v>169</v>
      </c>
      <c r="DY67" t="s">
        <v>169</v>
      </c>
      <c r="DZ67">
        <v>20</v>
      </c>
      <c r="EA67">
        <v>20</v>
      </c>
      <c r="EB67">
        <v>0</v>
      </c>
      <c r="EC67">
        <v>15</v>
      </c>
      <c r="ED67">
        <v>30</v>
      </c>
      <c r="EE67">
        <v>0</v>
      </c>
      <c r="EF67">
        <v>15</v>
      </c>
      <c r="EH67">
        <v>30</v>
      </c>
      <c r="EI67">
        <v>20</v>
      </c>
      <c r="EJ67">
        <v>0</v>
      </c>
      <c r="EK67">
        <v>10</v>
      </c>
      <c r="EL67">
        <v>25</v>
      </c>
      <c r="EM67">
        <v>0</v>
      </c>
      <c r="EN67">
        <v>15</v>
      </c>
      <c r="EP67" s="1" t="s">
        <v>123</v>
      </c>
      <c r="EQ67" t="s">
        <v>178</v>
      </c>
      <c r="ER67" t="s">
        <v>132</v>
      </c>
      <c r="FP67" s="1" t="s">
        <v>123</v>
      </c>
      <c r="FQ67" t="s">
        <v>132</v>
      </c>
      <c r="FS67" t="s">
        <v>132</v>
      </c>
      <c r="GX67" t="s">
        <v>395</v>
      </c>
      <c r="GY67" t="s">
        <v>396</v>
      </c>
      <c r="GZ67" t="s">
        <v>397</v>
      </c>
      <c r="HA67" t="s">
        <v>186</v>
      </c>
      <c r="HB67">
        <v>1960</v>
      </c>
      <c r="HC67" t="str">
        <f>VLOOKUP(AnalizaCzyste[[#This Row],[Rok urodzenia]],KategorieWiekowe[],2,1)</f>
        <v>56-65 lat</v>
      </c>
      <c r="HD67" t="s">
        <v>398</v>
      </c>
    </row>
    <row r="68" spans="1:216" x14ac:dyDescent="0.45">
      <c r="A68">
        <v>100</v>
      </c>
      <c r="B68">
        <f>_xlfn.IFNA(VLOOKUP(AnalizaCzyste[[#This Row],[Zakończono wypełnianie]],Zakończone[],2,0),"BRAK")</f>
        <v>62</v>
      </c>
      <c r="C68">
        <f t="shared" si="2"/>
        <v>39</v>
      </c>
      <c r="D68" t="s">
        <v>984</v>
      </c>
      <c r="E68" t="s">
        <v>118</v>
      </c>
      <c r="F68" t="s">
        <v>992</v>
      </c>
      <c r="J68" t="s">
        <v>119</v>
      </c>
      <c r="K68" t="s">
        <v>993</v>
      </c>
      <c r="L68" t="s">
        <v>994</v>
      </c>
      <c r="M68">
        <v>1026</v>
      </c>
      <c r="N68">
        <v>0</v>
      </c>
      <c r="O68" t="s">
        <v>122</v>
      </c>
      <c r="P68" s="1" t="s">
        <v>123</v>
      </c>
      <c r="AF68" s="1" t="s">
        <v>124</v>
      </c>
      <c r="AG68" t="s">
        <v>995</v>
      </c>
      <c r="AH68" t="str">
        <f>VLOOKUP(AnalizaCzyste[[#This Row],[Jak się nazywa uczelnia którą ukończyłeś? (proszę o wybranie jednej uczelni podlegającej ocenie)]],KategorieUczelni[],2,0)</f>
        <v>Publiczna</v>
      </c>
      <c r="AI68">
        <v>2010</v>
      </c>
      <c r="AJ68" t="s">
        <v>148</v>
      </c>
      <c r="AK68" t="s">
        <v>429</v>
      </c>
      <c r="AL68" t="s">
        <v>169</v>
      </c>
      <c r="AM68" t="s">
        <v>169</v>
      </c>
      <c r="AN68" t="s">
        <v>150</v>
      </c>
      <c r="AO68" t="s">
        <v>236</v>
      </c>
      <c r="AP68" t="s">
        <v>128</v>
      </c>
      <c r="AQ68" t="s">
        <v>883</v>
      </c>
      <c r="AR68" t="s">
        <v>152</v>
      </c>
      <c r="AS68" t="s">
        <v>131</v>
      </c>
      <c r="AT68" t="s">
        <v>996</v>
      </c>
      <c r="AU68" t="s">
        <v>794</v>
      </c>
      <c r="AV68" t="s">
        <v>780</v>
      </c>
      <c r="AW68" t="s">
        <v>230</v>
      </c>
      <c r="AY68" s="1" t="s">
        <v>123</v>
      </c>
      <c r="CS68" s="1" t="s">
        <v>123</v>
      </c>
      <c r="DC68" s="1" t="s">
        <v>123</v>
      </c>
      <c r="DM68" s="1" t="s">
        <v>123</v>
      </c>
      <c r="EP68" s="1" t="s">
        <v>123</v>
      </c>
      <c r="EQ68" t="s">
        <v>180</v>
      </c>
      <c r="ER68" t="s">
        <v>132</v>
      </c>
      <c r="FP68" s="1" t="s">
        <v>123</v>
      </c>
      <c r="FQ68" t="s">
        <v>132</v>
      </c>
      <c r="FS68" t="s">
        <v>132</v>
      </c>
      <c r="GX68" t="s">
        <v>786</v>
      </c>
      <c r="GY68" t="s">
        <v>819</v>
      </c>
      <c r="GZ68" t="s">
        <v>820</v>
      </c>
      <c r="HA68" t="s">
        <v>186</v>
      </c>
      <c r="HB68">
        <v>1986</v>
      </c>
      <c r="HC68" t="str">
        <f>VLOOKUP(AnalizaCzyste[[#This Row],[Rok urodzenia]],KategorieWiekowe[],2,1)</f>
        <v>26-35 lat</v>
      </c>
      <c r="HD68" t="s">
        <v>483</v>
      </c>
      <c r="HF68" t="s">
        <v>386</v>
      </c>
      <c r="HG68" t="s">
        <v>386</v>
      </c>
    </row>
    <row r="69" spans="1:216" x14ac:dyDescent="0.45">
      <c r="A69">
        <v>83</v>
      </c>
      <c r="B69">
        <f>_xlfn.IFNA(VLOOKUP(AnalizaCzyste[[#This Row],[Zakończono wypełnianie]],Zakończone[],2,0),"BRAK")</f>
        <v>48</v>
      </c>
      <c r="C69">
        <f t="shared" si="2"/>
        <v>77</v>
      </c>
      <c r="D69" t="s">
        <v>837</v>
      </c>
      <c r="E69" t="s">
        <v>118</v>
      </c>
      <c r="J69" t="s">
        <v>119</v>
      </c>
      <c r="K69" t="s">
        <v>838</v>
      </c>
      <c r="L69" t="s">
        <v>839</v>
      </c>
      <c r="M69">
        <v>3312</v>
      </c>
      <c r="N69">
        <v>0</v>
      </c>
      <c r="O69" t="s">
        <v>122</v>
      </c>
      <c r="P69" s="1" t="s">
        <v>123</v>
      </c>
      <c r="AF69" s="1" t="s">
        <v>124</v>
      </c>
      <c r="AG69" s="20" t="s">
        <v>191</v>
      </c>
      <c r="AH69" s="20" t="str">
        <f>VLOOKUP(AnalizaCzyste[[#This Row],[Jak się nazywa uczelnia którą ukończyłeś? (proszę o wybranie jednej uczelni podlegającej ocenie)]],KategorieUczelni[],2,0)</f>
        <v>Publiczna</v>
      </c>
      <c r="AI69">
        <v>1978</v>
      </c>
      <c r="AJ69" t="s">
        <v>126</v>
      </c>
      <c r="AK69" t="s">
        <v>841</v>
      </c>
      <c r="AL69" t="s">
        <v>169</v>
      </c>
      <c r="AM69" t="s">
        <v>169</v>
      </c>
      <c r="AN69" t="s">
        <v>151</v>
      </c>
      <c r="AO69" t="s">
        <v>150</v>
      </c>
      <c r="AP69" t="s">
        <v>150</v>
      </c>
      <c r="AQ69">
        <v>2</v>
      </c>
      <c r="AR69" t="s">
        <v>302</v>
      </c>
      <c r="AS69" t="s">
        <v>226</v>
      </c>
      <c r="AT69" t="s">
        <v>842</v>
      </c>
      <c r="AU69" t="s">
        <v>843</v>
      </c>
      <c r="AV69" t="s">
        <v>386</v>
      </c>
      <c r="AW69" t="s">
        <v>157</v>
      </c>
      <c r="AY69" s="1" t="s">
        <v>159</v>
      </c>
      <c r="AZ69">
        <v>2</v>
      </c>
      <c r="BA69" t="s">
        <v>191</v>
      </c>
      <c r="BB69">
        <v>2005</v>
      </c>
      <c r="BC69" t="s">
        <v>126</v>
      </c>
      <c r="BD69" t="s">
        <v>844</v>
      </c>
      <c r="BE69" t="s">
        <v>150</v>
      </c>
      <c r="BF69" t="s">
        <v>150</v>
      </c>
      <c r="BG69" t="s">
        <v>169</v>
      </c>
      <c r="BH69" t="s">
        <v>162</v>
      </c>
      <c r="BI69" t="s">
        <v>162</v>
      </c>
      <c r="BJ69">
        <v>3</v>
      </c>
      <c r="BK69" t="s">
        <v>845</v>
      </c>
      <c r="BL69" t="s">
        <v>157</v>
      </c>
      <c r="BN69" t="s">
        <v>148</v>
      </c>
      <c r="BO69" t="s">
        <v>166</v>
      </c>
      <c r="BP69" t="s">
        <v>191</v>
      </c>
      <c r="BQ69">
        <v>2007</v>
      </c>
      <c r="BR69" t="s">
        <v>126</v>
      </c>
      <c r="BS69" t="s">
        <v>844</v>
      </c>
      <c r="BT69" t="s">
        <v>150</v>
      </c>
      <c r="BU69" t="s">
        <v>150</v>
      </c>
      <c r="BV69" t="s">
        <v>150</v>
      </c>
      <c r="BW69" t="s">
        <v>162</v>
      </c>
      <c r="BX69" t="s">
        <v>162</v>
      </c>
      <c r="BY69">
        <v>3</v>
      </c>
      <c r="BZ69" t="s">
        <v>148</v>
      </c>
      <c r="CA69" t="s">
        <v>157</v>
      </c>
      <c r="CC69" t="s">
        <v>148</v>
      </c>
      <c r="CD69" t="s">
        <v>173</v>
      </c>
      <c r="CS69" s="1" t="s">
        <v>123</v>
      </c>
      <c r="DC69" s="1" t="s">
        <v>214</v>
      </c>
      <c r="DD69" t="s">
        <v>2275</v>
      </c>
      <c r="DE69" t="s">
        <v>2276</v>
      </c>
      <c r="DF69" t="s">
        <v>150</v>
      </c>
      <c r="DG69" t="s">
        <v>150</v>
      </c>
      <c r="DH69" t="s">
        <v>150</v>
      </c>
      <c r="DI69" t="s">
        <v>150</v>
      </c>
      <c r="DJ69" t="s">
        <v>150</v>
      </c>
      <c r="DK69" t="s">
        <v>162</v>
      </c>
      <c r="DL69" t="s">
        <v>848</v>
      </c>
      <c r="DM69" s="1" t="s">
        <v>123</v>
      </c>
      <c r="EP69" s="1" t="s">
        <v>123</v>
      </c>
      <c r="EQ69" t="s">
        <v>180</v>
      </c>
      <c r="ER69" t="s">
        <v>132</v>
      </c>
      <c r="FP69" s="1" t="s">
        <v>123</v>
      </c>
      <c r="FQ69" t="s">
        <v>132</v>
      </c>
      <c r="FS69" t="s">
        <v>132</v>
      </c>
      <c r="GX69" t="s">
        <v>849</v>
      </c>
      <c r="GY69" t="s">
        <v>850</v>
      </c>
      <c r="GZ69" t="s">
        <v>851</v>
      </c>
      <c r="HA69" t="s">
        <v>186</v>
      </c>
      <c r="HB69">
        <v>1954</v>
      </c>
      <c r="HC69" t="str">
        <f>VLOOKUP(AnalizaCzyste[[#This Row],[Rok urodzenia]],KategorieWiekowe[],2,1)</f>
        <v>powyżej 65 lat</v>
      </c>
      <c r="HD69" t="s">
        <v>141</v>
      </c>
      <c r="HF69" t="s">
        <v>852</v>
      </c>
      <c r="HG69" t="s">
        <v>853</v>
      </c>
    </row>
    <row r="70" spans="1:216" x14ac:dyDescent="0.45">
      <c r="A70">
        <v>135</v>
      </c>
      <c r="B70">
        <f>_xlfn.IFNA(VLOOKUP(AnalizaCzyste[[#This Row],[Zakończono wypełnianie]],Zakończone[],2,0),"BRAK")</f>
        <v>82</v>
      </c>
      <c r="C70">
        <f t="shared" si="2"/>
        <v>69</v>
      </c>
      <c r="D70" t="s">
        <v>1264</v>
      </c>
      <c r="E70" t="s">
        <v>118</v>
      </c>
      <c r="F70" t="s">
        <v>1265</v>
      </c>
      <c r="J70" t="s">
        <v>119</v>
      </c>
      <c r="K70" t="s">
        <v>1266</v>
      </c>
      <c r="L70" t="s">
        <v>1267</v>
      </c>
      <c r="M70">
        <v>2127</v>
      </c>
      <c r="N70">
        <v>0</v>
      </c>
      <c r="O70" t="s">
        <v>122</v>
      </c>
      <c r="P70" s="1" t="s">
        <v>123</v>
      </c>
      <c r="AF70" s="1" t="s">
        <v>124</v>
      </c>
      <c r="AG70" t="s">
        <v>191</v>
      </c>
      <c r="AH70" t="str">
        <f>VLOOKUP(AnalizaCzyste[[#This Row],[Jak się nazywa uczelnia którą ukończyłeś? (proszę o wybranie jednej uczelni podlegającej ocenie)]],KategorieUczelni[],2,0)</f>
        <v>Publiczna</v>
      </c>
      <c r="AI70">
        <v>1982</v>
      </c>
      <c r="AJ70" t="s">
        <v>126</v>
      </c>
      <c r="AK70" t="s">
        <v>1268</v>
      </c>
      <c r="AL70" t="s">
        <v>169</v>
      </c>
      <c r="AM70" t="s">
        <v>169</v>
      </c>
      <c r="AN70" t="s">
        <v>169</v>
      </c>
      <c r="AO70" t="s">
        <v>169</v>
      </c>
      <c r="AP70" t="s">
        <v>169</v>
      </c>
      <c r="AQ70">
        <v>0</v>
      </c>
      <c r="AR70" t="s">
        <v>153</v>
      </c>
      <c r="AS70" t="s">
        <v>759</v>
      </c>
      <c r="AT70" t="s">
        <v>1269</v>
      </c>
      <c r="AU70" t="s">
        <v>1270</v>
      </c>
      <c r="AV70" t="s">
        <v>386</v>
      </c>
      <c r="AX70" t="s">
        <v>1271</v>
      </c>
      <c r="AY70" s="1" t="s">
        <v>159</v>
      </c>
      <c r="AZ70">
        <v>1</v>
      </c>
      <c r="BA70" t="s">
        <v>1290</v>
      </c>
      <c r="BB70">
        <v>2011</v>
      </c>
      <c r="BC70" t="s">
        <v>148</v>
      </c>
      <c r="BD70" t="s">
        <v>1050</v>
      </c>
      <c r="BE70" t="s">
        <v>169</v>
      </c>
      <c r="BF70" t="s">
        <v>169</v>
      </c>
      <c r="BG70" t="s">
        <v>169</v>
      </c>
      <c r="BH70" t="s">
        <v>169</v>
      </c>
      <c r="BI70" t="s">
        <v>169</v>
      </c>
      <c r="BJ70" t="s">
        <v>1273</v>
      </c>
      <c r="BK70" t="s">
        <v>1274</v>
      </c>
      <c r="BL70" t="s">
        <v>157</v>
      </c>
      <c r="BN70" t="s">
        <v>1275</v>
      </c>
      <c r="BO70" t="s">
        <v>173</v>
      </c>
      <c r="CS70" s="1" t="s">
        <v>123</v>
      </c>
      <c r="DC70" s="1" t="s">
        <v>214</v>
      </c>
      <c r="DD70" t="s">
        <v>191</v>
      </c>
      <c r="DE70" t="s">
        <v>1276</v>
      </c>
      <c r="DF70" t="s">
        <v>169</v>
      </c>
      <c r="DG70" t="s">
        <v>169</v>
      </c>
      <c r="DH70" t="s">
        <v>169</v>
      </c>
      <c r="DI70" t="s">
        <v>150</v>
      </c>
      <c r="DJ70" t="s">
        <v>169</v>
      </c>
      <c r="DK70" t="s">
        <v>169</v>
      </c>
      <c r="DL70" t="s">
        <v>1277</v>
      </c>
      <c r="DM70" s="1" t="s">
        <v>123</v>
      </c>
      <c r="EP70" s="1" t="s">
        <v>177</v>
      </c>
      <c r="EQ70" t="s">
        <v>178</v>
      </c>
      <c r="ER70">
        <v>1</v>
      </c>
      <c r="ES70" t="s">
        <v>747</v>
      </c>
      <c r="ET70" t="s">
        <v>169</v>
      </c>
      <c r="EU70" t="s">
        <v>169</v>
      </c>
      <c r="EV70" t="s">
        <v>151</v>
      </c>
      <c r="EW70" t="s">
        <v>178</v>
      </c>
      <c r="EX70" t="s">
        <v>1278</v>
      </c>
      <c r="EY70" t="s">
        <v>1279</v>
      </c>
      <c r="EZ70" t="s">
        <v>173</v>
      </c>
      <c r="FP70" s="1" t="s">
        <v>123</v>
      </c>
      <c r="GX70" t="s">
        <v>1280</v>
      </c>
      <c r="GY70" t="s">
        <v>1281</v>
      </c>
      <c r="GZ70" t="s">
        <v>1282</v>
      </c>
      <c r="HA70" t="s">
        <v>186</v>
      </c>
      <c r="HB70" s="42">
        <v>1956</v>
      </c>
      <c r="HC70" s="42" t="str">
        <f>VLOOKUP(AnalizaCzyste[[#This Row],[Rok urodzenia]],KategorieWiekowe[],2,1)</f>
        <v>56-65 lat</v>
      </c>
      <c r="HD70" t="s">
        <v>398</v>
      </c>
      <c r="HF70" t="s">
        <v>1284</v>
      </c>
      <c r="HG70" t="s">
        <v>1285</v>
      </c>
    </row>
    <row r="71" spans="1:216" x14ac:dyDescent="0.45">
      <c r="A71">
        <v>198</v>
      </c>
      <c r="B71">
        <f>_xlfn.IFNA(VLOOKUP(AnalizaCzyste[[#This Row],[Zakończono wypełnianie]],Zakończone[],2,0),"BRAK")</f>
        <v>113</v>
      </c>
      <c r="C71">
        <f t="shared" si="2"/>
        <v>33</v>
      </c>
      <c r="D71" t="s">
        <v>1674</v>
      </c>
      <c r="E71" t="s">
        <v>118</v>
      </c>
      <c r="J71" t="s">
        <v>119</v>
      </c>
      <c r="K71" t="s">
        <v>1675</v>
      </c>
      <c r="L71" t="s">
        <v>1676</v>
      </c>
      <c r="M71">
        <v>445</v>
      </c>
      <c r="N71">
        <v>0</v>
      </c>
      <c r="O71" t="s">
        <v>122</v>
      </c>
      <c r="P71" s="1" t="s">
        <v>123</v>
      </c>
      <c r="AF71" s="1" t="s">
        <v>124</v>
      </c>
      <c r="AG71" t="s">
        <v>191</v>
      </c>
      <c r="AH71" t="str">
        <f>VLOOKUP(AnalizaCzyste[[#This Row],[Jak się nazywa uczelnia którą ukończyłeś? (proszę o wybranie jednej uczelni podlegającej ocenie)]],KategorieUczelni[],2,0)</f>
        <v>Publiczna</v>
      </c>
      <c r="AI71">
        <v>2014</v>
      </c>
      <c r="AJ71" t="s">
        <v>126</v>
      </c>
      <c r="AK71" t="s">
        <v>192</v>
      </c>
      <c r="AL71" t="s">
        <v>169</v>
      </c>
      <c r="AM71" t="s">
        <v>169</v>
      </c>
      <c r="AN71" t="s">
        <v>162</v>
      </c>
      <c r="AO71" t="s">
        <v>151</v>
      </c>
      <c r="AP71" t="s">
        <v>151</v>
      </c>
      <c r="AQ71" t="s">
        <v>237</v>
      </c>
      <c r="AR71" t="s">
        <v>226</v>
      </c>
      <c r="AS71" t="s">
        <v>1428</v>
      </c>
      <c r="AT71" t="s">
        <v>1677</v>
      </c>
      <c r="AU71" t="s">
        <v>1678</v>
      </c>
      <c r="AV71" t="s">
        <v>1679</v>
      </c>
      <c r="AW71" t="s">
        <v>157</v>
      </c>
      <c r="AY71" s="1" t="s">
        <v>123</v>
      </c>
      <c r="CS71" s="1" t="s">
        <v>123</v>
      </c>
      <c r="DC71" s="1" t="s">
        <v>123</v>
      </c>
      <c r="DM71" s="1" t="s">
        <v>123</v>
      </c>
      <c r="EP71" s="1" t="s">
        <v>123</v>
      </c>
      <c r="FP71" s="1" t="s">
        <v>123</v>
      </c>
      <c r="GX71" t="s">
        <v>532</v>
      </c>
      <c r="GY71" t="s">
        <v>1680</v>
      </c>
      <c r="GZ71" t="s">
        <v>1681</v>
      </c>
      <c r="HA71" t="s">
        <v>186</v>
      </c>
      <c r="HB71">
        <v>1984</v>
      </c>
      <c r="HC71" t="str">
        <f>VLOOKUP(AnalizaCzyste[[#This Row],[Rok urodzenia]],KategorieWiekowe[],2,1)</f>
        <v>36-45 lat</v>
      </c>
      <c r="HD71" t="s">
        <v>398</v>
      </c>
    </row>
    <row r="72" spans="1:216" x14ac:dyDescent="0.45">
      <c r="A72">
        <v>13</v>
      </c>
      <c r="B72">
        <f>_xlfn.IFNA(VLOOKUP(AnalizaCzyste[[#This Row],[Zakończono wypełnianie]],Zakończone[],2,0),"BRAK")</f>
        <v>12</v>
      </c>
      <c r="C72">
        <f t="shared" si="2"/>
        <v>37</v>
      </c>
      <c r="D72" t="s">
        <v>326</v>
      </c>
      <c r="E72" t="s">
        <v>118</v>
      </c>
      <c r="J72" t="s">
        <v>119</v>
      </c>
      <c r="K72" t="s">
        <v>327</v>
      </c>
      <c r="L72" t="s">
        <v>328</v>
      </c>
      <c r="M72">
        <v>1387173</v>
      </c>
      <c r="N72">
        <v>0</v>
      </c>
      <c r="O72" t="s">
        <v>122</v>
      </c>
      <c r="P72" s="1" t="s">
        <v>123</v>
      </c>
      <c r="AF72" s="1" t="s">
        <v>124</v>
      </c>
      <c r="AG72" t="s">
        <v>191</v>
      </c>
      <c r="AH72" t="str">
        <f>VLOOKUP(AnalizaCzyste[[#This Row],[Jak się nazywa uczelnia którą ukończyłeś? (proszę o wybranie jednej uczelni podlegającej ocenie)]],KategorieUczelni[],2,0)</f>
        <v>Publiczna</v>
      </c>
      <c r="AI72">
        <v>2011</v>
      </c>
      <c r="AJ72" t="s">
        <v>126</v>
      </c>
      <c r="AK72" t="s">
        <v>330</v>
      </c>
      <c r="AL72" t="s">
        <v>169</v>
      </c>
      <c r="AM72" t="s">
        <v>169</v>
      </c>
      <c r="AN72" t="s">
        <v>150</v>
      </c>
      <c r="AO72" t="s">
        <v>162</v>
      </c>
      <c r="AP72" t="s">
        <v>169</v>
      </c>
      <c r="AQ72" t="s">
        <v>331</v>
      </c>
      <c r="AR72" t="s">
        <v>302</v>
      </c>
      <c r="AS72" t="s">
        <v>226</v>
      </c>
      <c r="AT72" t="s">
        <v>332</v>
      </c>
      <c r="AU72" t="s">
        <v>333</v>
      </c>
      <c r="AV72" t="s">
        <v>334</v>
      </c>
      <c r="AW72" t="s">
        <v>157</v>
      </c>
      <c r="AX72" t="s">
        <v>335</v>
      </c>
      <c r="AY72" s="1" t="s">
        <v>123</v>
      </c>
      <c r="CS72" s="1" t="s">
        <v>123</v>
      </c>
      <c r="DC72" s="1" t="s">
        <v>123</v>
      </c>
      <c r="DM72" s="1" t="s">
        <v>123</v>
      </c>
      <c r="EP72" s="1" t="s">
        <v>123</v>
      </c>
      <c r="FP72" s="1" t="s">
        <v>123</v>
      </c>
      <c r="FQ72" t="s">
        <v>132</v>
      </c>
      <c r="GX72" t="s">
        <v>336</v>
      </c>
      <c r="GY72" t="s">
        <v>337</v>
      </c>
      <c r="GZ72" t="s">
        <v>338</v>
      </c>
      <c r="HA72" t="s">
        <v>186</v>
      </c>
      <c r="HB72">
        <v>1987</v>
      </c>
      <c r="HC72" t="str">
        <f>VLOOKUP(AnalizaCzyste[[#This Row],[Rok urodzenia]],KategorieWiekowe[],2,1)</f>
        <v>26-35 lat</v>
      </c>
      <c r="HD72" t="s">
        <v>246</v>
      </c>
      <c r="HF72" t="s">
        <v>339</v>
      </c>
      <c r="HG72" t="s">
        <v>340</v>
      </c>
    </row>
    <row r="73" spans="1:216" x14ac:dyDescent="0.45">
      <c r="A73">
        <v>7</v>
      </c>
      <c r="B73">
        <f>_xlfn.IFNA(VLOOKUP(AnalizaCzyste[[#This Row],[Zakończono wypełnianie]],Zakończone[],2,0),"BRAK")</f>
        <v>7</v>
      </c>
      <c r="C73">
        <f t="shared" si="2"/>
        <v>39</v>
      </c>
      <c r="D73" t="s">
        <v>259</v>
      </c>
      <c r="E73" t="s">
        <v>118</v>
      </c>
      <c r="F73" t="s">
        <v>260</v>
      </c>
      <c r="J73" t="s">
        <v>119</v>
      </c>
      <c r="K73" t="s">
        <v>261</v>
      </c>
      <c r="L73" t="s">
        <v>262</v>
      </c>
      <c r="M73">
        <v>422</v>
      </c>
      <c r="N73">
        <v>0</v>
      </c>
      <c r="O73" t="s">
        <v>122</v>
      </c>
      <c r="P73" s="1" t="s">
        <v>123</v>
      </c>
      <c r="AF73" s="1" t="s">
        <v>124</v>
      </c>
      <c r="AG73" t="s">
        <v>191</v>
      </c>
      <c r="AH73" t="str">
        <f>VLOOKUP(AnalizaCzyste[[#This Row],[Jak się nazywa uczelnia którą ukończyłeś? (proszę o wybranie jednej uczelni podlegającej ocenie)]],KategorieUczelni[],2,0)</f>
        <v>Publiczna</v>
      </c>
      <c r="AI73">
        <v>2013</v>
      </c>
      <c r="AJ73" t="s">
        <v>126</v>
      </c>
      <c r="AK73" t="s">
        <v>263</v>
      </c>
      <c r="AL73" t="s">
        <v>169</v>
      </c>
      <c r="AM73" t="s">
        <v>150</v>
      </c>
      <c r="AN73" t="s">
        <v>169</v>
      </c>
      <c r="AO73" t="s">
        <v>169</v>
      </c>
      <c r="AP73" t="s">
        <v>169</v>
      </c>
      <c r="AQ73">
        <v>4</v>
      </c>
      <c r="AR73" t="s">
        <v>153</v>
      </c>
      <c r="AS73" t="s">
        <v>153</v>
      </c>
      <c r="AT73" t="s">
        <v>264</v>
      </c>
      <c r="AU73" t="s">
        <v>265</v>
      </c>
      <c r="AV73" t="s">
        <v>266</v>
      </c>
      <c r="AW73" t="s">
        <v>157</v>
      </c>
      <c r="AY73" s="1" t="s">
        <v>123</v>
      </c>
      <c r="CS73" s="1" t="s">
        <v>123</v>
      </c>
      <c r="DC73" s="1" t="s">
        <v>123</v>
      </c>
      <c r="DM73" s="1" t="s">
        <v>123</v>
      </c>
      <c r="EP73" s="1" t="s">
        <v>123</v>
      </c>
      <c r="EQ73" t="s">
        <v>180</v>
      </c>
      <c r="ER73" t="s">
        <v>132</v>
      </c>
      <c r="FP73" s="1" t="s">
        <v>123</v>
      </c>
      <c r="FQ73" t="s">
        <v>132</v>
      </c>
      <c r="FS73" t="s">
        <v>132</v>
      </c>
      <c r="GX73" t="s">
        <v>267</v>
      </c>
      <c r="GY73" t="s">
        <v>267</v>
      </c>
      <c r="GZ73" t="s">
        <v>267</v>
      </c>
      <c r="HA73" t="s">
        <v>186</v>
      </c>
      <c r="HB73">
        <v>1988</v>
      </c>
      <c r="HC73" t="str">
        <f>VLOOKUP(AnalizaCzyste[[#This Row],[Rok urodzenia]],KategorieWiekowe[],2,1)</f>
        <v>26-35 lat</v>
      </c>
      <c r="HD73" t="s">
        <v>220</v>
      </c>
      <c r="HF73" t="s">
        <v>268</v>
      </c>
      <c r="HG73" t="s">
        <v>268</v>
      </c>
    </row>
    <row r="74" spans="1:216" x14ac:dyDescent="0.45">
      <c r="A74">
        <v>125</v>
      </c>
      <c r="B74">
        <f>_xlfn.IFNA(VLOOKUP(AnalizaCzyste[[#This Row],[Zakończono wypełnianie]],Zakończone[],2,0),"BRAK")</f>
        <v>74</v>
      </c>
      <c r="C74">
        <f t="shared" si="2"/>
        <v>81</v>
      </c>
      <c r="D74" t="s">
        <v>1163</v>
      </c>
      <c r="E74" t="s">
        <v>118</v>
      </c>
      <c r="J74" t="s">
        <v>119</v>
      </c>
      <c r="K74" t="s">
        <v>1164</v>
      </c>
      <c r="L74" t="s">
        <v>1165</v>
      </c>
      <c r="M74">
        <v>982</v>
      </c>
      <c r="N74">
        <v>0</v>
      </c>
      <c r="O74" t="s">
        <v>122</v>
      </c>
      <c r="P74" s="1" t="s">
        <v>123</v>
      </c>
      <c r="AF74" s="1" t="s">
        <v>124</v>
      </c>
      <c r="AG74" t="s">
        <v>191</v>
      </c>
      <c r="AH74" t="str">
        <f>VLOOKUP(AnalizaCzyste[[#This Row],[Jak się nazywa uczelnia którą ukończyłeś? (proszę o wybranie jednej uczelni podlegającej ocenie)]],KategorieUczelni[],2,0)</f>
        <v>Publiczna</v>
      </c>
      <c r="AI74">
        <v>1978</v>
      </c>
      <c r="AJ74" t="s">
        <v>148</v>
      </c>
      <c r="AK74" t="s">
        <v>1167</v>
      </c>
      <c r="AL74" t="s">
        <v>169</v>
      </c>
      <c r="AM74" t="s">
        <v>169</v>
      </c>
      <c r="AN74" t="s">
        <v>169</v>
      </c>
      <c r="AO74" t="s">
        <v>150</v>
      </c>
      <c r="AP74" t="s">
        <v>150</v>
      </c>
      <c r="AQ74" t="s">
        <v>1168</v>
      </c>
      <c r="AR74" t="s">
        <v>132</v>
      </c>
      <c r="AS74" t="s">
        <v>132</v>
      </c>
      <c r="AT74" t="s">
        <v>1169</v>
      </c>
      <c r="AU74" t="s">
        <v>1170</v>
      </c>
      <c r="AV74" t="s">
        <v>132</v>
      </c>
      <c r="AX74" t="s">
        <v>1171</v>
      </c>
      <c r="AY74" s="1" t="s">
        <v>159</v>
      </c>
      <c r="AZ74">
        <v>1</v>
      </c>
      <c r="BA74" t="s">
        <v>1290</v>
      </c>
      <c r="BB74">
        <v>2020</v>
      </c>
      <c r="BC74" t="s">
        <v>148</v>
      </c>
      <c r="BD74" t="s">
        <v>1050</v>
      </c>
      <c r="BE74" t="s">
        <v>132</v>
      </c>
      <c r="BF74" t="s">
        <v>132</v>
      </c>
      <c r="BG74" t="s">
        <v>132</v>
      </c>
      <c r="BH74" t="s">
        <v>132</v>
      </c>
      <c r="BI74" t="s">
        <v>132</v>
      </c>
      <c r="BJ74" t="s">
        <v>1173</v>
      </c>
      <c r="BK74" t="s">
        <v>1174</v>
      </c>
      <c r="BL74" t="s">
        <v>230</v>
      </c>
      <c r="BN74" t="s">
        <v>1175</v>
      </c>
      <c r="BO74" t="s">
        <v>173</v>
      </c>
      <c r="CS74" s="1" t="s">
        <v>123</v>
      </c>
      <c r="DC74" s="1" t="s">
        <v>214</v>
      </c>
      <c r="DD74" t="s">
        <v>191</v>
      </c>
      <c r="DE74" t="s">
        <v>308</v>
      </c>
      <c r="DF74" t="s">
        <v>169</v>
      </c>
      <c r="DG74" t="s">
        <v>162</v>
      </c>
      <c r="DH74" t="s">
        <v>150</v>
      </c>
      <c r="DI74" t="s">
        <v>169</v>
      </c>
      <c r="DJ74" t="s">
        <v>150</v>
      </c>
      <c r="DK74" t="s">
        <v>150</v>
      </c>
      <c r="DL74" t="s">
        <v>1177</v>
      </c>
      <c r="DM74" s="1" t="s">
        <v>174</v>
      </c>
      <c r="DP74" t="s">
        <v>1178</v>
      </c>
      <c r="DR74" t="s">
        <v>747</v>
      </c>
      <c r="DS74" t="s">
        <v>150</v>
      </c>
      <c r="DT74" t="s">
        <v>150</v>
      </c>
      <c r="DU74" t="s">
        <v>150</v>
      </c>
      <c r="DV74" t="s">
        <v>150</v>
      </c>
      <c r="DW74" t="s">
        <v>162</v>
      </c>
      <c r="DX74" t="s">
        <v>162</v>
      </c>
      <c r="DY74" t="s">
        <v>162</v>
      </c>
      <c r="DZ74">
        <v>25</v>
      </c>
      <c r="EA74">
        <v>10</v>
      </c>
      <c r="EB74">
        <v>0</v>
      </c>
      <c r="EC74">
        <v>10</v>
      </c>
      <c r="ED74">
        <v>25</v>
      </c>
      <c r="EE74">
        <v>15</v>
      </c>
      <c r="EF74">
        <v>15</v>
      </c>
      <c r="EH74">
        <v>10</v>
      </c>
      <c r="EI74">
        <v>10</v>
      </c>
      <c r="EJ74">
        <v>0</v>
      </c>
      <c r="EK74">
        <v>10</v>
      </c>
      <c r="EL74">
        <v>50</v>
      </c>
      <c r="EM74">
        <v>10</v>
      </c>
      <c r="EN74">
        <v>10</v>
      </c>
      <c r="EP74" s="1" t="s">
        <v>123</v>
      </c>
      <c r="FP74" s="1" t="s">
        <v>123</v>
      </c>
      <c r="GX74" t="s">
        <v>1179</v>
      </c>
      <c r="GY74" t="s">
        <v>1180</v>
      </c>
      <c r="GZ74" t="s">
        <v>1181</v>
      </c>
      <c r="HA74" t="s">
        <v>186</v>
      </c>
      <c r="HB74" s="20" t="s">
        <v>1473</v>
      </c>
      <c r="HC74" s="20" t="e">
        <f>VLOOKUP(AnalizaCzyste[[#This Row],[Rok urodzenia]],KategorieWiekowe[],2,1)</f>
        <v>#N/A</v>
      </c>
      <c r="HD74" t="s">
        <v>141</v>
      </c>
      <c r="HF74" t="s">
        <v>1183</v>
      </c>
    </row>
    <row r="75" spans="1:216" x14ac:dyDescent="0.45">
      <c r="A75">
        <v>233</v>
      </c>
      <c r="B75">
        <f>_xlfn.IFNA(VLOOKUP(AnalizaCzyste[[#This Row],[Zakończono wypełnianie]],Zakończone[],2,0),"BRAK")</f>
        <v>125</v>
      </c>
      <c r="C75">
        <f t="shared" si="2"/>
        <v>46</v>
      </c>
      <c r="D75" t="s">
        <v>1880</v>
      </c>
      <c r="E75" t="s">
        <v>118</v>
      </c>
      <c r="F75" t="s">
        <v>359</v>
      </c>
      <c r="J75" t="s">
        <v>119</v>
      </c>
      <c r="K75" t="s">
        <v>1881</v>
      </c>
      <c r="L75" t="s">
        <v>1882</v>
      </c>
      <c r="M75">
        <v>627</v>
      </c>
      <c r="N75">
        <v>0</v>
      </c>
      <c r="O75" t="s">
        <v>122</v>
      </c>
      <c r="P75" s="1" t="s">
        <v>123</v>
      </c>
      <c r="AF75" s="1" t="s">
        <v>124</v>
      </c>
      <c r="AG75" s="20" t="s">
        <v>191</v>
      </c>
      <c r="AH75" s="20" t="str">
        <f>VLOOKUP(AnalizaCzyste[[#This Row],[Jak się nazywa uczelnia którą ukończyłeś? (proszę o wybranie jednej uczelni podlegającej ocenie)]],KategorieUczelni[],2,0)</f>
        <v>Publiczna</v>
      </c>
      <c r="AI75">
        <v>2011</v>
      </c>
      <c r="AJ75" t="s">
        <v>126</v>
      </c>
      <c r="AK75" t="s">
        <v>1883</v>
      </c>
      <c r="AL75" t="s">
        <v>169</v>
      </c>
      <c r="AM75" t="s">
        <v>169</v>
      </c>
      <c r="AN75" t="s">
        <v>169</v>
      </c>
      <c r="AO75" t="s">
        <v>151</v>
      </c>
      <c r="AP75" t="s">
        <v>150</v>
      </c>
      <c r="AQ75" t="s">
        <v>1884</v>
      </c>
      <c r="AR75" t="s">
        <v>131</v>
      </c>
      <c r="AS75" t="s">
        <v>153</v>
      </c>
      <c r="AT75" t="s">
        <v>1885</v>
      </c>
      <c r="AU75" t="s">
        <v>1886</v>
      </c>
      <c r="AV75" t="s">
        <v>1887</v>
      </c>
      <c r="AW75" t="s">
        <v>157</v>
      </c>
      <c r="AX75" t="s">
        <v>1888</v>
      </c>
      <c r="AY75" s="1" t="s">
        <v>123</v>
      </c>
      <c r="CS75" s="1" t="s">
        <v>123</v>
      </c>
      <c r="DC75" s="1" t="s">
        <v>123</v>
      </c>
      <c r="DM75" s="1" t="s">
        <v>123</v>
      </c>
      <c r="EP75" s="1" t="s">
        <v>177</v>
      </c>
      <c r="EQ75" t="s">
        <v>180</v>
      </c>
      <c r="ER75" t="s">
        <v>132</v>
      </c>
      <c r="ES75" t="s">
        <v>1889</v>
      </c>
      <c r="ET75" t="s">
        <v>132</v>
      </c>
      <c r="EU75" t="s">
        <v>132</v>
      </c>
      <c r="EV75" t="s">
        <v>132</v>
      </c>
      <c r="EW75" t="s">
        <v>180</v>
      </c>
      <c r="EX75" t="s">
        <v>1889</v>
      </c>
      <c r="EY75" t="s">
        <v>1889</v>
      </c>
      <c r="EZ75" t="s">
        <v>173</v>
      </c>
      <c r="FP75" s="1" t="s">
        <v>123</v>
      </c>
      <c r="GX75" t="s">
        <v>1889</v>
      </c>
      <c r="GY75" t="s">
        <v>1889</v>
      </c>
      <c r="GZ75" t="s">
        <v>1889</v>
      </c>
      <c r="HA75" t="s">
        <v>140</v>
      </c>
      <c r="HB75">
        <v>1987</v>
      </c>
      <c r="HC75" t="str">
        <f>VLOOKUP(AnalizaCzyste[[#This Row],[Rok urodzenia]],KategorieWiekowe[],2,1)</f>
        <v>26-35 lat</v>
      </c>
      <c r="HD75" t="s">
        <v>220</v>
      </c>
      <c r="HF75" t="s">
        <v>1889</v>
      </c>
      <c r="HG75" t="s">
        <v>1889</v>
      </c>
    </row>
    <row r="76" spans="1:216" x14ac:dyDescent="0.45">
      <c r="A76">
        <v>159</v>
      </c>
      <c r="B76">
        <f>_xlfn.IFNA(VLOOKUP(AnalizaCzyste[[#This Row],[Zakończono wypełnianie]],Zakończone[],2,0),"BRAK")</f>
        <v>92</v>
      </c>
      <c r="C76">
        <f t="shared" si="2"/>
        <v>35</v>
      </c>
      <c r="D76" t="s">
        <v>1412</v>
      </c>
      <c r="E76" t="s">
        <v>118</v>
      </c>
      <c r="J76" t="s">
        <v>119</v>
      </c>
      <c r="K76" t="s">
        <v>1413</v>
      </c>
      <c r="L76" t="s">
        <v>1414</v>
      </c>
      <c r="M76">
        <v>1007</v>
      </c>
      <c r="N76">
        <v>0</v>
      </c>
      <c r="O76" t="s">
        <v>122</v>
      </c>
      <c r="P76" s="1" t="s">
        <v>123</v>
      </c>
      <c r="AF76" s="1" t="s">
        <v>124</v>
      </c>
      <c r="AG76" t="s">
        <v>1415</v>
      </c>
      <c r="AH76" t="str">
        <f>VLOOKUP(AnalizaCzyste[[#This Row],[Jak się nazywa uczelnia którą ukończyłeś? (proszę o wybranie jednej uczelni podlegającej ocenie)]],KategorieUczelni[],2,0)</f>
        <v>Publiczna</v>
      </c>
      <c r="AI76">
        <v>2006</v>
      </c>
      <c r="AJ76" t="s">
        <v>148</v>
      </c>
      <c r="AK76" t="s">
        <v>263</v>
      </c>
      <c r="AL76" t="s">
        <v>169</v>
      </c>
      <c r="AM76" t="s">
        <v>169</v>
      </c>
      <c r="AN76" t="s">
        <v>169</v>
      </c>
      <c r="AO76" t="s">
        <v>150</v>
      </c>
      <c r="AP76" t="s">
        <v>169</v>
      </c>
      <c r="AQ76" t="s">
        <v>1416</v>
      </c>
      <c r="AR76" t="s">
        <v>131</v>
      </c>
      <c r="AS76" t="s">
        <v>153</v>
      </c>
      <c r="AT76" t="s">
        <v>1417</v>
      </c>
      <c r="AU76" t="s">
        <v>1418</v>
      </c>
      <c r="AV76" t="s">
        <v>1419</v>
      </c>
      <c r="AX76" t="s">
        <v>1420</v>
      </c>
      <c r="AY76" s="1" t="s">
        <v>123</v>
      </c>
      <c r="CS76" s="1" t="s">
        <v>123</v>
      </c>
      <c r="DC76" s="1" t="s">
        <v>123</v>
      </c>
      <c r="DM76" s="1" t="s">
        <v>123</v>
      </c>
      <c r="EP76" s="1" t="s">
        <v>123</v>
      </c>
      <c r="FP76" s="1" t="s">
        <v>123</v>
      </c>
      <c r="GX76" t="s">
        <v>1421</v>
      </c>
      <c r="GY76" t="s">
        <v>1422</v>
      </c>
      <c r="GZ76" t="s">
        <v>142</v>
      </c>
      <c r="HA76" t="s">
        <v>140</v>
      </c>
      <c r="HB76">
        <v>1983</v>
      </c>
      <c r="HC76" t="str">
        <f>VLOOKUP(AnalizaCzyste[[#This Row],[Rok urodzenia]],KategorieWiekowe[],2,1)</f>
        <v>36-45 lat</v>
      </c>
      <c r="HD76" t="s">
        <v>141</v>
      </c>
      <c r="HF76" t="s">
        <v>1423</v>
      </c>
      <c r="HG76" t="s">
        <v>132</v>
      </c>
    </row>
    <row r="77" spans="1:216" x14ac:dyDescent="0.45">
      <c r="A77">
        <v>169</v>
      </c>
      <c r="B77">
        <f>_xlfn.IFNA(VLOOKUP(AnalizaCzyste[[#This Row],[Zakończono wypełnianie]],Zakończone[],2,0),"BRAK")</f>
        <v>97</v>
      </c>
      <c r="C77">
        <f t="shared" si="2"/>
        <v>35</v>
      </c>
      <c r="D77" t="s">
        <v>1352</v>
      </c>
      <c r="E77" t="s">
        <v>118</v>
      </c>
      <c r="J77" t="s">
        <v>119</v>
      </c>
      <c r="K77" t="s">
        <v>1470</v>
      </c>
      <c r="L77" t="s">
        <v>1471</v>
      </c>
      <c r="M77">
        <v>495</v>
      </c>
      <c r="N77">
        <v>0</v>
      </c>
      <c r="O77" t="s">
        <v>122</v>
      </c>
      <c r="P77" s="1" t="s">
        <v>123</v>
      </c>
      <c r="AF77" s="1" t="s">
        <v>124</v>
      </c>
      <c r="AG77" t="s">
        <v>1472</v>
      </c>
      <c r="AH77" t="str">
        <f>VLOOKUP(AnalizaCzyste[[#This Row],[Jak się nazywa uczelnia którą ukończyłeś? (proszę o wybranie jednej uczelni podlegającej ocenie)]],KategorieUczelni[],2,0)</f>
        <v>Publiczna</v>
      </c>
      <c r="AJ77" t="s">
        <v>148</v>
      </c>
      <c r="AK77" t="s">
        <v>1474</v>
      </c>
      <c r="AL77" t="s">
        <v>169</v>
      </c>
      <c r="AM77" t="s">
        <v>169</v>
      </c>
      <c r="AN77" t="s">
        <v>151</v>
      </c>
      <c r="AO77" t="s">
        <v>162</v>
      </c>
      <c r="AP77" t="s">
        <v>162</v>
      </c>
      <c r="AQ77" t="s">
        <v>1475</v>
      </c>
      <c r="AR77" t="s">
        <v>132</v>
      </c>
      <c r="AS77" t="s">
        <v>132</v>
      </c>
      <c r="AT77" t="s">
        <v>1476</v>
      </c>
      <c r="AU77" t="s">
        <v>1477</v>
      </c>
      <c r="AV77" t="s">
        <v>1473</v>
      </c>
      <c r="AW77" t="s">
        <v>157</v>
      </c>
      <c r="AY77" s="1" t="s">
        <v>123</v>
      </c>
      <c r="CS77" s="1" t="s">
        <v>123</v>
      </c>
      <c r="DC77" s="1" t="s">
        <v>123</v>
      </c>
      <c r="DM77" s="1" t="s">
        <v>123</v>
      </c>
      <c r="EP77" s="1" t="s">
        <v>123</v>
      </c>
      <c r="FP77" s="1" t="s">
        <v>123</v>
      </c>
      <c r="GX77" t="s">
        <v>1478</v>
      </c>
      <c r="GY77" t="s">
        <v>1478</v>
      </c>
      <c r="GZ77" t="s">
        <v>1473</v>
      </c>
      <c r="HA77" t="s">
        <v>140</v>
      </c>
      <c r="HB77" t="s">
        <v>1473</v>
      </c>
      <c r="HC77" t="e">
        <f>VLOOKUP(AnalizaCzyste[[#This Row],[Rok urodzenia]],KategorieWiekowe[],2,1)</f>
        <v>#N/A</v>
      </c>
      <c r="HD77" t="s">
        <v>398</v>
      </c>
      <c r="HF77" t="s">
        <v>1479</v>
      </c>
      <c r="HG77" t="s">
        <v>1473</v>
      </c>
      <c r="HH77" t="s">
        <v>1473</v>
      </c>
    </row>
    <row r="78" spans="1:216" x14ac:dyDescent="0.45">
      <c r="A78">
        <v>91</v>
      </c>
      <c r="B78">
        <f>_xlfn.IFNA(VLOOKUP(AnalizaCzyste[[#This Row],[Zakończono wypełnianie]],Zakończone[],2,0),"BRAK")</f>
        <v>55</v>
      </c>
      <c r="C78">
        <f t="shared" si="2"/>
        <v>79</v>
      </c>
      <c r="D78" t="s">
        <v>915</v>
      </c>
      <c r="E78" t="s">
        <v>118</v>
      </c>
      <c r="J78" t="s">
        <v>119</v>
      </c>
      <c r="K78" t="s">
        <v>916</v>
      </c>
      <c r="L78" t="s">
        <v>917</v>
      </c>
      <c r="M78">
        <v>76609</v>
      </c>
      <c r="N78">
        <v>0</v>
      </c>
      <c r="O78" t="s">
        <v>122</v>
      </c>
      <c r="P78" s="1" t="s">
        <v>123</v>
      </c>
      <c r="AF78" s="1" t="s">
        <v>124</v>
      </c>
      <c r="AG78" t="s">
        <v>223</v>
      </c>
      <c r="AH78" t="str">
        <f>VLOOKUP(AnalizaCzyste[[#This Row],[Jak się nazywa uczelnia którą ukończyłeś? (proszę o wybranie jednej uczelni podlegającej ocenie)]],KategorieUczelni[],2,0)</f>
        <v>Publiczna</v>
      </c>
      <c r="AI78">
        <v>1980</v>
      </c>
      <c r="AJ78" t="s">
        <v>148</v>
      </c>
      <c r="AK78" t="s">
        <v>919</v>
      </c>
      <c r="AL78" t="s">
        <v>169</v>
      </c>
      <c r="AM78" t="s">
        <v>169</v>
      </c>
      <c r="AN78" t="s">
        <v>150</v>
      </c>
      <c r="AO78" t="s">
        <v>128</v>
      </c>
      <c r="AP78" t="s">
        <v>128</v>
      </c>
      <c r="AQ78" t="s">
        <v>920</v>
      </c>
      <c r="AR78" t="s">
        <v>302</v>
      </c>
      <c r="AS78" t="s">
        <v>302</v>
      </c>
      <c r="AT78" t="s">
        <v>921</v>
      </c>
      <c r="AU78" t="s">
        <v>922</v>
      </c>
      <c r="AV78" t="s">
        <v>923</v>
      </c>
      <c r="AW78" t="s">
        <v>157</v>
      </c>
      <c r="AY78" s="1" t="s">
        <v>159</v>
      </c>
      <c r="AZ78">
        <v>2</v>
      </c>
      <c r="BA78" t="s">
        <v>223</v>
      </c>
      <c r="BB78">
        <v>2009</v>
      </c>
      <c r="BC78" t="s">
        <v>148</v>
      </c>
      <c r="BD78" t="s">
        <v>743</v>
      </c>
      <c r="BE78" t="s">
        <v>169</v>
      </c>
      <c r="BF78" t="s">
        <v>169</v>
      </c>
      <c r="BG78" t="s">
        <v>169</v>
      </c>
      <c r="BH78" t="s">
        <v>128</v>
      </c>
      <c r="BI78" t="s">
        <v>128</v>
      </c>
      <c r="BJ78" t="s">
        <v>925</v>
      </c>
      <c r="BK78" t="s">
        <v>926</v>
      </c>
      <c r="BL78" t="s">
        <v>157</v>
      </c>
      <c r="BN78" t="s">
        <v>927</v>
      </c>
      <c r="BO78" t="s">
        <v>173</v>
      </c>
      <c r="CS78" s="1" t="s">
        <v>387</v>
      </c>
      <c r="CT78" t="s">
        <v>223</v>
      </c>
      <c r="CU78" t="s">
        <v>928</v>
      </c>
      <c r="CV78" t="s">
        <v>169</v>
      </c>
      <c r="CW78" t="s">
        <v>162</v>
      </c>
      <c r="CX78" t="s">
        <v>128</v>
      </c>
      <c r="CY78" t="s">
        <v>169</v>
      </c>
      <c r="CZ78" t="s">
        <v>169</v>
      </c>
      <c r="DA78" t="s">
        <v>169</v>
      </c>
      <c r="DB78" t="s">
        <v>929</v>
      </c>
      <c r="DC78" s="1" t="s">
        <v>214</v>
      </c>
      <c r="DD78" t="s">
        <v>223</v>
      </c>
      <c r="DE78" t="s">
        <v>928</v>
      </c>
      <c r="DF78" t="s">
        <v>169</v>
      </c>
      <c r="DG78" t="s">
        <v>162</v>
      </c>
      <c r="DH78" t="s">
        <v>128</v>
      </c>
      <c r="DI78" t="s">
        <v>169</v>
      </c>
      <c r="DJ78" t="s">
        <v>169</v>
      </c>
      <c r="DK78" t="s">
        <v>150</v>
      </c>
      <c r="DL78" t="s">
        <v>930</v>
      </c>
      <c r="DM78" s="1" t="s">
        <v>123</v>
      </c>
      <c r="EP78" s="1" t="s">
        <v>177</v>
      </c>
      <c r="EQ78" t="s">
        <v>180</v>
      </c>
      <c r="ER78">
        <v>1</v>
      </c>
      <c r="ES78" t="s">
        <v>223</v>
      </c>
      <c r="ET78" t="s">
        <v>169</v>
      </c>
      <c r="EU78" t="s">
        <v>169</v>
      </c>
      <c r="EV78" t="s">
        <v>236</v>
      </c>
      <c r="EW78" t="s">
        <v>180</v>
      </c>
      <c r="EX78" t="s">
        <v>931</v>
      </c>
      <c r="EY78" t="s">
        <v>932</v>
      </c>
      <c r="EZ78" t="s">
        <v>173</v>
      </c>
      <c r="FP78" s="1" t="s">
        <v>123</v>
      </c>
      <c r="FQ78" t="s">
        <v>132</v>
      </c>
      <c r="FS78" t="s">
        <v>132</v>
      </c>
      <c r="GX78" t="s">
        <v>933</v>
      </c>
      <c r="GY78" t="s">
        <v>934</v>
      </c>
      <c r="GZ78" t="s">
        <v>935</v>
      </c>
      <c r="HA78" t="s">
        <v>140</v>
      </c>
      <c r="HB78">
        <v>1957</v>
      </c>
      <c r="HC78" t="str">
        <f>VLOOKUP(AnalizaCzyste[[#This Row],[Rok urodzenia]],KategorieWiekowe[],2,1)</f>
        <v>56-65 lat</v>
      </c>
      <c r="HD78" t="s">
        <v>141</v>
      </c>
      <c r="HF78" t="s">
        <v>936</v>
      </c>
    </row>
    <row r="79" spans="1:216" x14ac:dyDescent="0.45">
      <c r="A79">
        <v>60</v>
      </c>
      <c r="B79">
        <f>_xlfn.IFNA(VLOOKUP(AnalizaCzyste[[#This Row],[Zakończono wypełnianie]],Zakończone[],2,0),"BRAK")</f>
        <v>35</v>
      </c>
      <c r="C79">
        <f t="shared" si="2"/>
        <v>42</v>
      </c>
      <c r="D79" t="s">
        <v>656</v>
      </c>
      <c r="E79" t="s">
        <v>118</v>
      </c>
      <c r="F79" t="s">
        <v>359</v>
      </c>
      <c r="J79" t="s">
        <v>119</v>
      </c>
      <c r="K79" t="s">
        <v>657</v>
      </c>
      <c r="L79" t="s">
        <v>658</v>
      </c>
      <c r="M79">
        <v>770</v>
      </c>
      <c r="N79">
        <v>0</v>
      </c>
      <c r="O79" t="s">
        <v>122</v>
      </c>
      <c r="P79" s="1" t="s">
        <v>123</v>
      </c>
      <c r="AF79" s="1" t="s">
        <v>124</v>
      </c>
      <c r="AG79" t="s">
        <v>445</v>
      </c>
      <c r="AH79" t="str">
        <f>VLOOKUP(AnalizaCzyste[[#This Row],[Jak się nazywa uczelnia którą ukończyłeś? (proszę o wybranie jednej uczelni podlegającej ocenie)]],KategorieUczelni[],2,0)</f>
        <v>Publiczna</v>
      </c>
      <c r="AI79" t="s">
        <v>659</v>
      </c>
      <c r="AJ79" t="s">
        <v>148</v>
      </c>
      <c r="AK79" t="s">
        <v>660</v>
      </c>
      <c r="AL79" t="s">
        <v>169</v>
      </c>
      <c r="AM79" t="s">
        <v>169</v>
      </c>
      <c r="AN79" t="s">
        <v>169</v>
      </c>
      <c r="AO79" t="s">
        <v>150</v>
      </c>
      <c r="AP79" t="s">
        <v>132</v>
      </c>
      <c r="AQ79" t="s">
        <v>661</v>
      </c>
      <c r="AR79" t="s">
        <v>302</v>
      </c>
      <c r="AS79" t="s">
        <v>132</v>
      </c>
      <c r="AU79" t="s">
        <v>662</v>
      </c>
      <c r="AV79" t="s">
        <v>663</v>
      </c>
      <c r="AW79" t="s">
        <v>157</v>
      </c>
      <c r="AX79" t="s">
        <v>664</v>
      </c>
      <c r="AY79" s="1" t="s">
        <v>123</v>
      </c>
      <c r="CS79" s="1" t="s">
        <v>123</v>
      </c>
      <c r="DC79" s="1" t="s">
        <v>214</v>
      </c>
      <c r="DD79" t="s">
        <v>445</v>
      </c>
      <c r="DE79" t="s">
        <v>518</v>
      </c>
      <c r="DF79" t="s">
        <v>169</v>
      </c>
      <c r="DG79" t="s">
        <v>169</v>
      </c>
      <c r="DH79" t="s">
        <v>169</v>
      </c>
      <c r="DI79" t="s">
        <v>169</v>
      </c>
      <c r="DJ79" t="s">
        <v>169</v>
      </c>
      <c r="DK79" t="s">
        <v>150</v>
      </c>
      <c r="DM79" s="1" t="s">
        <v>123</v>
      </c>
      <c r="EP79" s="1" t="s">
        <v>123</v>
      </c>
      <c r="FP79" s="1" t="s">
        <v>123</v>
      </c>
      <c r="FQ79" t="s">
        <v>132</v>
      </c>
      <c r="GX79" t="s">
        <v>665</v>
      </c>
      <c r="GY79" t="s">
        <v>666</v>
      </c>
      <c r="GZ79" t="s">
        <v>667</v>
      </c>
      <c r="HA79" t="s">
        <v>140</v>
      </c>
      <c r="HB79">
        <v>1989</v>
      </c>
      <c r="HC79" t="str">
        <f>VLOOKUP(AnalizaCzyste[[#This Row],[Rok urodzenia]],KategorieWiekowe[],2,1)</f>
        <v>26-35 lat</v>
      </c>
      <c r="HD79" t="s">
        <v>141</v>
      </c>
    </row>
    <row r="80" spans="1:216" x14ac:dyDescent="0.45">
      <c r="A80">
        <v>63</v>
      </c>
      <c r="B80">
        <f>_xlfn.IFNA(VLOOKUP(AnalizaCzyste[[#This Row],[Zakończono wypełnianie]],Zakończone[],2,0),"BRAK")</f>
        <v>37</v>
      </c>
      <c r="C80">
        <f t="shared" si="2"/>
        <v>39</v>
      </c>
      <c r="D80" t="s">
        <v>679</v>
      </c>
      <c r="E80" t="s">
        <v>118</v>
      </c>
      <c r="F80" t="s">
        <v>359</v>
      </c>
      <c r="J80" t="s">
        <v>119</v>
      </c>
      <c r="K80" t="s">
        <v>680</v>
      </c>
      <c r="L80" t="s">
        <v>681</v>
      </c>
      <c r="M80">
        <v>770</v>
      </c>
      <c r="N80">
        <v>0</v>
      </c>
      <c r="O80" t="s">
        <v>122</v>
      </c>
      <c r="P80" s="1" t="s">
        <v>123</v>
      </c>
      <c r="AF80" s="1" t="s">
        <v>124</v>
      </c>
      <c r="AG80" s="20" t="s">
        <v>445</v>
      </c>
      <c r="AH80" s="20" t="str">
        <f>VLOOKUP(AnalizaCzyste[[#This Row],[Jak się nazywa uczelnia którą ukończyłeś? (proszę o wybranie jednej uczelni podlegającej ocenie)]],KategorieUczelni[],2,0)</f>
        <v>Publiczna</v>
      </c>
      <c r="AI80">
        <v>2017</v>
      </c>
      <c r="AJ80" t="s">
        <v>148</v>
      </c>
      <c r="AK80" t="s">
        <v>601</v>
      </c>
      <c r="AL80" t="s">
        <v>169</v>
      </c>
      <c r="AM80" t="s">
        <v>169</v>
      </c>
      <c r="AN80" t="s">
        <v>150</v>
      </c>
      <c r="AO80" t="s">
        <v>236</v>
      </c>
      <c r="AP80" t="s">
        <v>169</v>
      </c>
      <c r="AQ80" t="s">
        <v>683</v>
      </c>
      <c r="AR80" t="s">
        <v>131</v>
      </c>
      <c r="AS80" t="s">
        <v>153</v>
      </c>
      <c r="AT80" t="s">
        <v>684</v>
      </c>
      <c r="AU80" t="s">
        <v>685</v>
      </c>
      <c r="AV80" t="s">
        <v>686</v>
      </c>
      <c r="AW80" t="s">
        <v>157</v>
      </c>
      <c r="AY80" s="1" t="s">
        <v>123</v>
      </c>
      <c r="CS80" s="1" t="s">
        <v>123</v>
      </c>
      <c r="DC80" s="1" t="s">
        <v>123</v>
      </c>
      <c r="DM80" s="1" t="s">
        <v>123</v>
      </c>
      <c r="EP80" s="1" t="s">
        <v>123</v>
      </c>
      <c r="EQ80" t="s">
        <v>180</v>
      </c>
      <c r="ER80" t="s">
        <v>132</v>
      </c>
      <c r="FP80" s="1" t="s">
        <v>123</v>
      </c>
      <c r="FQ80" t="s">
        <v>132</v>
      </c>
      <c r="FS80" t="s">
        <v>132</v>
      </c>
      <c r="GX80" t="s">
        <v>687</v>
      </c>
      <c r="GY80" t="s">
        <v>688</v>
      </c>
      <c r="GZ80" t="s">
        <v>689</v>
      </c>
      <c r="HA80" t="s">
        <v>140</v>
      </c>
      <c r="HB80">
        <v>1994</v>
      </c>
      <c r="HC80" t="str">
        <f>VLOOKUP(AnalizaCzyste[[#This Row],[Rok urodzenia]],KategorieWiekowe[],2,1)</f>
        <v>26-35 lat</v>
      </c>
      <c r="HD80" t="s">
        <v>246</v>
      </c>
      <c r="HF80" t="s">
        <v>142</v>
      </c>
      <c r="HG80" t="s">
        <v>142</v>
      </c>
    </row>
    <row r="81" spans="1:216" x14ac:dyDescent="0.45">
      <c r="A81">
        <v>8</v>
      </c>
      <c r="B81">
        <f>_xlfn.IFNA(VLOOKUP(AnalizaCzyste[[#This Row],[Zakończono wypełnianie]],Zakończone[],2,0),"BRAK")</f>
        <v>8</v>
      </c>
      <c r="C81">
        <f t="shared" si="2"/>
        <v>60</v>
      </c>
      <c r="D81" t="s">
        <v>269</v>
      </c>
      <c r="E81" t="s">
        <v>118</v>
      </c>
      <c r="J81" t="s">
        <v>119</v>
      </c>
      <c r="K81" t="s">
        <v>270</v>
      </c>
      <c r="L81" t="s">
        <v>271</v>
      </c>
      <c r="M81">
        <v>768</v>
      </c>
      <c r="N81">
        <v>0</v>
      </c>
      <c r="O81" t="s">
        <v>122</v>
      </c>
      <c r="P81" s="1" t="s">
        <v>123</v>
      </c>
      <c r="AF81" s="1" t="s">
        <v>124</v>
      </c>
      <c r="AG81" t="s">
        <v>160</v>
      </c>
      <c r="AH81" t="str">
        <f>VLOOKUP(AnalizaCzyste[[#This Row],[Jak się nazywa uczelnia którą ukończyłeś? (proszę o wybranie jednej uczelni podlegającej ocenie)]],KategorieUczelni[],2,0)</f>
        <v>Publiczna</v>
      </c>
      <c r="AI81">
        <v>1973</v>
      </c>
      <c r="AJ81" t="s">
        <v>148</v>
      </c>
      <c r="AK81" t="s">
        <v>272</v>
      </c>
      <c r="AL81" t="s">
        <v>169</v>
      </c>
      <c r="AM81" s="20" t="s">
        <v>169</v>
      </c>
      <c r="AN81" t="s">
        <v>150</v>
      </c>
      <c r="AO81" t="s">
        <v>129</v>
      </c>
      <c r="AP81" t="s">
        <v>129</v>
      </c>
      <c r="AQ81">
        <v>0</v>
      </c>
      <c r="AR81" t="s">
        <v>152</v>
      </c>
      <c r="AS81" t="s">
        <v>152</v>
      </c>
      <c r="AT81" t="s">
        <v>273</v>
      </c>
      <c r="AU81" t="s">
        <v>274</v>
      </c>
      <c r="AV81" t="s">
        <v>275</v>
      </c>
      <c r="AW81" t="s">
        <v>172</v>
      </c>
      <c r="AY81" s="1" t="s">
        <v>159</v>
      </c>
      <c r="AZ81">
        <v>3</v>
      </c>
      <c r="BA81" t="s">
        <v>160</v>
      </c>
      <c r="BB81" t="s">
        <v>276</v>
      </c>
      <c r="BC81" t="s">
        <v>148</v>
      </c>
      <c r="BD81" t="s">
        <v>277</v>
      </c>
      <c r="BE81" t="s">
        <v>169</v>
      </c>
      <c r="BF81" t="s">
        <v>169</v>
      </c>
      <c r="BG81" t="s">
        <v>236</v>
      </c>
      <c r="BH81" t="s">
        <v>236</v>
      </c>
      <c r="BI81" t="s">
        <v>236</v>
      </c>
      <c r="BJ81">
        <v>0</v>
      </c>
      <c r="BK81" t="s">
        <v>278</v>
      </c>
      <c r="BL81" t="s">
        <v>172</v>
      </c>
      <c r="BO81" t="s">
        <v>173</v>
      </c>
      <c r="CS81" s="1" t="s">
        <v>123</v>
      </c>
      <c r="DC81" s="1" t="s">
        <v>214</v>
      </c>
      <c r="DD81" t="s">
        <v>862</v>
      </c>
      <c r="DE81" t="s">
        <v>280</v>
      </c>
      <c r="DF81" t="s">
        <v>150</v>
      </c>
      <c r="DG81" t="s">
        <v>150</v>
      </c>
      <c r="DH81" t="s">
        <v>150</v>
      </c>
      <c r="DI81" t="s">
        <v>150</v>
      </c>
      <c r="DJ81" t="s">
        <v>150</v>
      </c>
      <c r="DK81" t="s">
        <v>150</v>
      </c>
      <c r="DL81" t="s">
        <v>281</v>
      </c>
      <c r="DM81" s="1" t="s">
        <v>123</v>
      </c>
      <c r="EP81" s="1" t="s">
        <v>123</v>
      </c>
      <c r="EQ81" t="s">
        <v>180</v>
      </c>
      <c r="ER81" t="s">
        <v>132</v>
      </c>
      <c r="FP81" s="1" t="s">
        <v>123</v>
      </c>
      <c r="FQ81" t="s">
        <v>132</v>
      </c>
      <c r="FS81" t="s">
        <v>132</v>
      </c>
      <c r="GX81" t="s">
        <v>282</v>
      </c>
      <c r="GY81" t="s">
        <v>283</v>
      </c>
      <c r="GZ81" t="s">
        <v>284</v>
      </c>
      <c r="HA81" t="s">
        <v>186</v>
      </c>
      <c r="HB81">
        <v>1950</v>
      </c>
      <c r="HC81" t="str">
        <f>VLOOKUP(AnalizaCzyste[[#This Row],[Rok urodzenia]],KategorieWiekowe[],2,1)</f>
        <v>powyżej 65 lat</v>
      </c>
      <c r="HD81" t="s">
        <v>141</v>
      </c>
    </row>
    <row r="82" spans="1:216" x14ac:dyDescent="0.45">
      <c r="A82">
        <v>191</v>
      </c>
      <c r="B82">
        <f>_xlfn.IFNA(VLOOKUP(AnalizaCzyste[[#This Row],[Zakończono wypełnianie]],Zakończone[],2,0),"BRAK")</f>
        <v>109</v>
      </c>
      <c r="C82">
        <f t="shared" si="2"/>
        <v>34</v>
      </c>
      <c r="D82" t="s">
        <v>1618</v>
      </c>
      <c r="E82" t="s">
        <v>118</v>
      </c>
      <c r="J82" t="s">
        <v>119</v>
      </c>
      <c r="K82" t="s">
        <v>1619</v>
      </c>
      <c r="L82" t="s">
        <v>1620</v>
      </c>
      <c r="M82">
        <v>1891</v>
      </c>
      <c r="N82">
        <v>0</v>
      </c>
      <c r="O82" t="s">
        <v>122</v>
      </c>
      <c r="P82" s="1" t="s">
        <v>123</v>
      </c>
      <c r="AF82" s="1" t="s">
        <v>124</v>
      </c>
      <c r="AG82" t="s">
        <v>1503</v>
      </c>
      <c r="AH82" t="str">
        <f>VLOOKUP(AnalizaCzyste[[#This Row],[Jak się nazywa uczelnia którą ukończyłeś? (proszę o wybranie jednej uczelni podlegającej ocenie)]],KategorieUczelni[],2,0)</f>
        <v>Publiczna</v>
      </c>
      <c r="AI82">
        <v>2000</v>
      </c>
      <c r="AJ82" t="s">
        <v>148</v>
      </c>
      <c r="AK82" t="s">
        <v>1622</v>
      </c>
      <c r="AL82" t="s">
        <v>150</v>
      </c>
      <c r="AM82" t="s">
        <v>150</v>
      </c>
      <c r="AN82" t="s">
        <v>150</v>
      </c>
      <c r="AO82" t="s">
        <v>236</v>
      </c>
      <c r="AP82" t="s">
        <v>162</v>
      </c>
      <c r="AQ82" t="s">
        <v>1623</v>
      </c>
      <c r="AR82" t="s">
        <v>132</v>
      </c>
      <c r="AS82" t="s">
        <v>302</v>
      </c>
      <c r="AT82" t="s">
        <v>1624</v>
      </c>
      <c r="AU82" t="s">
        <v>1625</v>
      </c>
      <c r="AV82" t="s">
        <v>1626</v>
      </c>
      <c r="AW82" t="s">
        <v>172</v>
      </c>
      <c r="AY82" s="1" t="s">
        <v>123</v>
      </c>
      <c r="CS82" s="1" t="s">
        <v>123</v>
      </c>
      <c r="DC82" s="1" t="s">
        <v>123</v>
      </c>
      <c r="DM82" s="1" t="s">
        <v>123</v>
      </c>
      <c r="EP82" s="1" t="s">
        <v>123</v>
      </c>
      <c r="FP82" s="1" t="s">
        <v>123</v>
      </c>
      <c r="GX82" t="s">
        <v>1627</v>
      </c>
      <c r="GY82" t="s">
        <v>1628</v>
      </c>
      <c r="GZ82" t="s">
        <v>1629</v>
      </c>
      <c r="HA82" t="s">
        <v>186</v>
      </c>
      <c r="HB82">
        <v>1948</v>
      </c>
      <c r="HC82" t="str">
        <f>VLOOKUP(AnalizaCzyste[[#This Row],[Rok urodzenia]],KategorieWiekowe[],2,1)</f>
        <v>powyżej 65 lat</v>
      </c>
      <c r="HD82" t="s">
        <v>1630</v>
      </c>
      <c r="HG82" t="s">
        <v>1631</v>
      </c>
    </row>
    <row r="83" spans="1:216" x14ac:dyDescent="0.45">
      <c r="A83">
        <v>178</v>
      </c>
      <c r="B83">
        <f>_xlfn.IFNA(VLOOKUP(AnalizaCzyste[[#This Row],[Zakończono wypełnianie]],Zakończone[],2,0),"BRAK")</f>
        <v>100</v>
      </c>
      <c r="C83">
        <f t="shared" si="2"/>
        <v>33</v>
      </c>
      <c r="D83" t="s">
        <v>1131</v>
      </c>
      <c r="E83" t="s">
        <v>118</v>
      </c>
      <c r="J83" t="s">
        <v>119</v>
      </c>
      <c r="K83" t="s">
        <v>1501</v>
      </c>
      <c r="L83" t="s">
        <v>1502</v>
      </c>
      <c r="M83">
        <v>1485</v>
      </c>
      <c r="N83">
        <v>0</v>
      </c>
      <c r="O83" t="s">
        <v>122</v>
      </c>
      <c r="P83" s="1" t="s">
        <v>123</v>
      </c>
      <c r="AF83" s="1" t="s">
        <v>124</v>
      </c>
      <c r="AG83" t="s">
        <v>1503</v>
      </c>
      <c r="AH83" t="str">
        <f>VLOOKUP(AnalizaCzyste[[#This Row],[Jak się nazywa uczelnia którą ukończyłeś? (proszę o wybranie jednej uczelni podlegającej ocenie)]],KategorieUczelni[],2,0)</f>
        <v>Publiczna</v>
      </c>
      <c r="AI83">
        <v>2016</v>
      </c>
      <c r="AJ83" t="s">
        <v>148</v>
      </c>
      <c r="AK83" t="s">
        <v>1504</v>
      </c>
      <c r="AL83" t="s">
        <v>150</v>
      </c>
      <c r="AM83" t="s">
        <v>151</v>
      </c>
      <c r="AN83" t="s">
        <v>162</v>
      </c>
      <c r="AO83" t="s">
        <v>150</v>
      </c>
      <c r="AP83" t="s">
        <v>169</v>
      </c>
      <c r="AQ83">
        <v>4</v>
      </c>
      <c r="AR83" t="s">
        <v>302</v>
      </c>
      <c r="AS83" t="s">
        <v>153</v>
      </c>
      <c r="AT83" t="s">
        <v>1505</v>
      </c>
      <c r="AU83" t="s">
        <v>1506</v>
      </c>
      <c r="AV83" t="s">
        <v>1507</v>
      </c>
      <c r="AW83" t="s">
        <v>157</v>
      </c>
      <c r="AY83" s="1" t="s">
        <v>123</v>
      </c>
      <c r="CS83" s="1" t="s">
        <v>123</v>
      </c>
      <c r="DC83" s="1" t="s">
        <v>123</v>
      </c>
      <c r="DM83" s="1" t="s">
        <v>123</v>
      </c>
      <c r="EP83" s="1" t="s">
        <v>123</v>
      </c>
      <c r="FP83" s="1" t="s">
        <v>123</v>
      </c>
      <c r="GX83" t="s">
        <v>1508</v>
      </c>
      <c r="GY83" t="s">
        <v>1509</v>
      </c>
      <c r="GZ83" t="s">
        <v>1510</v>
      </c>
      <c r="HA83" t="s">
        <v>186</v>
      </c>
      <c r="HB83">
        <v>1991</v>
      </c>
      <c r="HC83" t="str">
        <f>VLOOKUP(AnalizaCzyste[[#This Row],[Rok urodzenia]],KategorieWiekowe[],2,1)</f>
        <v>26-35 lat</v>
      </c>
      <c r="HD83" t="s">
        <v>398</v>
      </c>
    </row>
    <row r="84" spans="1:216" x14ac:dyDescent="0.45">
      <c r="A84">
        <v>2</v>
      </c>
      <c r="B84">
        <f>_xlfn.IFNA(VLOOKUP(AnalizaCzyste[[#This Row],[Zakończono wypełnianie]],Zakończone[],2,0),"BRAK")</f>
        <v>2</v>
      </c>
      <c r="C84">
        <f t="shared" si="2"/>
        <v>97</v>
      </c>
      <c r="D84" t="s">
        <v>144</v>
      </c>
      <c r="E84" t="s">
        <v>118</v>
      </c>
      <c r="J84" t="s">
        <v>119</v>
      </c>
      <c r="K84" t="s">
        <v>145</v>
      </c>
      <c r="L84" t="s">
        <v>146</v>
      </c>
      <c r="M84">
        <v>1573</v>
      </c>
      <c r="N84">
        <v>0</v>
      </c>
      <c r="O84" t="s">
        <v>122</v>
      </c>
      <c r="P84" s="1" t="s">
        <v>123</v>
      </c>
      <c r="AF84" s="1" t="s">
        <v>124</v>
      </c>
      <c r="AG84" t="s">
        <v>234</v>
      </c>
      <c r="AH84" t="str">
        <f>VLOOKUP(AnalizaCzyste[[#This Row],[Jak się nazywa uczelnia którą ukończyłeś? (proszę o wybranie jednej uczelni podlegającej ocenie)]],KategorieUczelni[],2,0)</f>
        <v>Publiczna</v>
      </c>
      <c r="AI84">
        <v>1986</v>
      </c>
      <c r="AJ84" t="s">
        <v>148</v>
      </c>
      <c r="AK84" t="s">
        <v>149</v>
      </c>
      <c r="AL84" t="s">
        <v>150</v>
      </c>
      <c r="AM84" t="s">
        <v>150</v>
      </c>
      <c r="AN84" t="s">
        <v>150</v>
      </c>
      <c r="AO84" t="s">
        <v>151</v>
      </c>
      <c r="AP84" t="s">
        <v>150</v>
      </c>
      <c r="AQ84">
        <v>3</v>
      </c>
      <c r="AR84" t="s">
        <v>152</v>
      </c>
      <c r="AS84" t="s">
        <v>153</v>
      </c>
      <c r="AT84" t="s">
        <v>154</v>
      </c>
      <c r="AU84" t="s">
        <v>155</v>
      </c>
      <c r="AV84" t="s">
        <v>156</v>
      </c>
      <c r="AW84" t="s">
        <v>157</v>
      </c>
      <c r="AX84" t="s">
        <v>158</v>
      </c>
      <c r="AY84" s="1" t="s">
        <v>159</v>
      </c>
      <c r="AZ84">
        <v>2</v>
      </c>
      <c r="BA84" t="s">
        <v>160</v>
      </c>
      <c r="BB84">
        <v>2013</v>
      </c>
      <c r="BC84" t="s">
        <v>148</v>
      </c>
      <c r="BD84" t="s">
        <v>161</v>
      </c>
      <c r="BE84" t="s">
        <v>162</v>
      </c>
      <c r="BF84" t="s">
        <v>150</v>
      </c>
      <c r="BG84" t="s">
        <v>150</v>
      </c>
      <c r="BH84" t="s">
        <v>150</v>
      </c>
      <c r="BI84" t="s">
        <v>150</v>
      </c>
      <c r="BJ84" t="s">
        <v>163</v>
      </c>
      <c r="BK84" t="s">
        <v>164</v>
      </c>
      <c r="BL84" t="s">
        <v>157</v>
      </c>
      <c r="BN84" t="s">
        <v>165</v>
      </c>
      <c r="BO84" t="s">
        <v>166</v>
      </c>
      <c r="BP84" t="s">
        <v>167</v>
      </c>
      <c r="BQ84">
        <v>2015</v>
      </c>
      <c r="BR84" t="s">
        <v>148</v>
      </c>
      <c r="BS84" t="s">
        <v>168</v>
      </c>
      <c r="BT84" t="s">
        <v>150</v>
      </c>
      <c r="BU84" t="s">
        <v>169</v>
      </c>
      <c r="BV84" t="s">
        <v>150</v>
      </c>
      <c r="BW84" t="s">
        <v>150</v>
      </c>
      <c r="BX84" t="s">
        <v>150</v>
      </c>
      <c r="BY84" t="s">
        <v>170</v>
      </c>
      <c r="BZ84" t="s">
        <v>171</v>
      </c>
      <c r="CA84" t="s">
        <v>172</v>
      </c>
      <c r="CD84" t="s">
        <v>173</v>
      </c>
      <c r="CS84" s="1" t="s">
        <v>123</v>
      </c>
      <c r="DC84" s="1" t="s">
        <v>123</v>
      </c>
      <c r="DM84" s="1" t="s">
        <v>174</v>
      </c>
      <c r="DQ84" t="s">
        <v>175</v>
      </c>
      <c r="DR84" t="s">
        <v>176</v>
      </c>
      <c r="DS84" t="s">
        <v>162</v>
      </c>
      <c r="DT84" t="s">
        <v>150</v>
      </c>
      <c r="DU84" t="s">
        <v>151</v>
      </c>
      <c r="DV84" t="s">
        <v>151</v>
      </c>
      <c r="DW84" t="s">
        <v>162</v>
      </c>
      <c r="DX84" t="s">
        <v>162</v>
      </c>
      <c r="DY84" t="s">
        <v>150</v>
      </c>
      <c r="DZ84">
        <v>25</v>
      </c>
      <c r="EA84">
        <v>25</v>
      </c>
      <c r="EB84">
        <v>2</v>
      </c>
      <c r="EC84">
        <v>5</v>
      </c>
      <c r="ED84">
        <v>8</v>
      </c>
      <c r="EE84">
        <v>25</v>
      </c>
      <c r="EF84">
        <v>10</v>
      </c>
      <c r="EH84">
        <v>20</v>
      </c>
      <c r="EI84">
        <v>20</v>
      </c>
      <c r="EJ84">
        <v>1</v>
      </c>
      <c r="EK84">
        <v>4</v>
      </c>
      <c r="EL84">
        <v>25</v>
      </c>
      <c r="EM84">
        <v>25</v>
      </c>
      <c r="EN84">
        <v>5</v>
      </c>
      <c r="EP84" s="1" t="s">
        <v>177</v>
      </c>
      <c r="EQ84" t="s">
        <v>178</v>
      </c>
      <c r="ER84">
        <v>1</v>
      </c>
      <c r="ES84" t="s">
        <v>179</v>
      </c>
      <c r="ET84" t="s">
        <v>150</v>
      </c>
      <c r="EU84" t="s">
        <v>150</v>
      </c>
      <c r="EV84" t="s">
        <v>151</v>
      </c>
      <c r="EW84" t="s">
        <v>180</v>
      </c>
      <c r="EX84" t="s">
        <v>181</v>
      </c>
      <c r="EY84" t="s">
        <v>182</v>
      </c>
      <c r="EZ84" t="s">
        <v>173</v>
      </c>
      <c r="FP84" s="1" t="s">
        <v>123</v>
      </c>
      <c r="FQ84" t="s">
        <v>132</v>
      </c>
      <c r="GX84" t="s">
        <v>183</v>
      </c>
      <c r="GY84" t="s">
        <v>184</v>
      </c>
      <c r="GZ84" t="s">
        <v>185</v>
      </c>
      <c r="HA84" t="s">
        <v>186</v>
      </c>
      <c r="HB84">
        <v>1961</v>
      </c>
      <c r="HC84" t="str">
        <f>VLOOKUP(AnalizaCzyste[[#This Row],[Rok urodzenia]],KategorieWiekowe[],2,1)</f>
        <v>56-65 lat</v>
      </c>
      <c r="HD84" t="s">
        <v>141</v>
      </c>
      <c r="HF84" t="s">
        <v>187</v>
      </c>
    </row>
    <row r="85" spans="1:216" x14ac:dyDescent="0.45">
      <c r="A85">
        <v>181</v>
      </c>
      <c r="B85">
        <f>_xlfn.IFNA(VLOOKUP(AnalizaCzyste[[#This Row],[Zakończono wypełnianie]],Zakończone[],2,0),"BRAK")</f>
        <v>102</v>
      </c>
      <c r="C85">
        <f t="shared" si="2"/>
        <v>35</v>
      </c>
      <c r="D85" t="s">
        <v>1336</v>
      </c>
      <c r="E85" t="s">
        <v>118</v>
      </c>
      <c r="J85" t="s">
        <v>119</v>
      </c>
      <c r="K85" t="s">
        <v>1528</v>
      </c>
      <c r="L85" t="s">
        <v>1529</v>
      </c>
      <c r="M85">
        <v>426</v>
      </c>
      <c r="N85">
        <v>0</v>
      </c>
      <c r="O85" t="s">
        <v>122</v>
      </c>
      <c r="P85" s="1" t="s">
        <v>416</v>
      </c>
      <c r="Q85" t="s">
        <v>1439</v>
      </c>
      <c r="R85" t="s">
        <v>126</v>
      </c>
      <c r="S85" t="s">
        <v>192</v>
      </c>
      <c r="T85" t="s">
        <v>151</v>
      </c>
      <c r="U85" t="s">
        <v>162</v>
      </c>
      <c r="V85" t="s">
        <v>128</v>
      </c>
      <c r="W85" t="s">
        <v>1531</v>
      </c>
      <c r="X85" t="s">
        <v>194</v>
      </c>
      <c r="Y85" t="s">
        <v>194</v>
      </c>
      <c r="Z85" t="s">
        <v>1532</v>
      </c>
      <c r="AA85" t="s">
        <v>1533</v>
      </c>
      <c r="AB85" t="s">
        <v>1534</v>
      </c>
      <c r="AC85" t="s">
        <v>892</v>
      </c>
      <c r="AE85">
        <v>7</v>
      </c>
      <c r="AF85" s="1" t="s">
        <v>123</v>
      </c>
      <c r="AH85" t="e">
        <f>VLOOKUP(AnalizaCzyste[[#This Row],[Jak się nazywa uczelnia którą ukończyłeś? (proszę o wybranie jednej uczelni podlegającej ocenie)]],KategorieUczelni[],2,0)</f>
        <v>#N/A</v>
      </c>
      <c r="AY85" s="1" t="s">
        <v>123</v>
      </c>
      <c r="CS85" s="1" t="s">
        <v>123</v>
      </c>
      <c r="DC85" s="1" t="s">
        <v>123</v>
      </c>
      <c r="DM85" s="1" t="s">
        <v>123</v>
      </c>
      <c r="EP85" s="1" t="s">
        <v>123</v>
      </c>
      <c r="EQ85" t="s">
        <v>178</v>
      </c>
      <c r="ER85" t="s">
        <v>132</v>
      </c>
      <c r="FP85" s="1" t="s">
        <v>123</v>
      </c>
      <c r="GX85" t="s">
        <v>1535</v>
      </c>
      <c r="GY85" t="s">
        <v>1536</v>
      </c>
      <c r="GZ85" t="s">
        <v>1537</v>
      </c>
      <c r="HA85" t="s">
        <v>140</v>
      </c>
      <c r="HB85">
        <v>1991</v>
      </c>
      <c r="HC85" t="str">
        <f>VLOOKUP(AnalizaCzyste[[#This Row],[Rok urodzenia]],KategorieWiekowe[],2,1)</f>
        <v>26-35 lat</v>
      </c>
      <c r="HD85" t="s">
        <v>141</v>
      </c>
      <c r="HF85" t="s">
        <v>1538</v>
      </c>
      <c r="HG85" t="s">
        <v>1539</v>
      </c>
    </row>
    <row r="86" spans="1:216" x14ac:dyDescent="0.45">
      <c r="A86">
        <v>4</v>
      </c>
      <c r="B86">
        <f>_xlfn.IFNA(VLOOKUP(AnalizaCzyste[[#This Row],[Zakończono wypełnianie]],Zakończone[],2,0),"BRAK")</f>
        <v>4</v>
      </c>
      <c r="C86">
        <f t="shared" si="2"/>
        <v>46</v>
      </c>
      <c r="D86" t="s">
        <v>202</v>
      </c>
      <c r="E86" t="s">
        <v>118</v>
      </c>
      <c r="J86" t="s">
        <v>119</v>
      </c>
      <c r="K86" t="s">
        <v>203</v>
      </c>
      <c r="L86" t="s">
        <v>204</v>
      </c>
      <c r="M86">
        <v>3161</v>
      </c>
      <c r="N86">
        <v>0</v>
      </c>
      <c r="O86" t="s">
        <v>122</v>
      </c>
      <c r="P86" s="1" t="s">
        <v>123</v>
      </c>
      <c r="AF86" s="1" t="s">
        <v>124</v>
      </c>
      <c r="AG86" t="s">
        <v>234</v>
      </c>
      <c r="AH86" t="str">
        <f>VLOOKUP(AnalizaCzyste[[#This Row],[Jak się nazywa uczelnia którą ukończyłeś? (proszę o wybranie jednej uczelni podlegającej ocenie)]],KategorieUczelni[],2,0)</f>
        <v>Publiczna</v>
      </c>
      <c r="AI86">
        <v>1986</v>
      </c>
      <c r="AJ86" t="s">
        <v>148</v>
      </c>
      <c r="AK86" t="s">
        <v>207</v>
      </c>
      <c r="AL86" t="s">
        <v>150</v>
      </c>
      <c r="AM86" t="s">
        <v>150</v>
      </c>
      <c r="AN86" t="s">
        <v>162</v>
      </c>
      <c r="AO86" t="s">
        <v>162</v>
      </c>
      <c r="AP86" t="s">
        <v>162</v>
      </c>
      <c r="AQ86" t="s">
        <v>208</v>
      </c>
      <c r="AR86" t="s">
        <v>209</v>
      </c>
      <c r="AS86" t="s">
        <v>209</v>
      </c>
      <c r="AT86" t="s">
        <v>210</v>
      </c>
      <c r="AU86" t="s">
        <v>211</v>
      </c>
      <c r="AV86" t="s">
        <v>212</v>
      </c>
      <c r="AW86" t="s">
        <v>157</v>
      </c>
      <c r="AX86" t="s">
        <v>213</v>
      </c>
      <c r="AY86" s="1" t="s">
        <v>123</v>
      </c>
      <c r="CS86" s="1" t="s">
        <v>123</v>
      </c>
      <c r="DC86" s="1" t="s">
        <v>214</v>
      </c>
      <c r="DD86" t="s">
        <v>205</v>
      </c>
      <c r="DE86" t="s">
        <v>215</v>
      </c>
      <c r="DF86" t="s">
        <v>150</v>
      </c>
      <c r="DG86" t="s">
        <v>169</v>
      </c>
      <c r="DH86" t="s">
        <v>169</v>
      </c>
      <c r="DI86" t="s">
        <v>150</v>
      </c>
      <c r="DJ86" t="s">
        <v>151</v>
      </c>
      <c r="DK86" t="s">
        <v>151</v>
      </c>
      <c r="DL86" t="s">
        <v>216</v>
      </c>
      <c r="DM86" s="1" t="s">
        <v>123</v>
      </c>
      <c r="EP86" s="1" t="s">
        <v>123</v>
      </c>
      <c r="EQ86" t="s">
        <v>178</v>
      </c>
      <c r="ER86" t="s">
        <v>132</v>
      </c>
      <c r="FP86" s="1" t="s">
        <v>123</v>
      </c>
      <c r="FQ86" t="s">
        <v>132</v>
      </c>
      <c r="GX86" t="s">
        <v>217</v>
      </c>
      <c r="GY86" t="s">
        <v>218</v>
      </c>
      <c r="GZ86" t="s">
        <v>219</v>
      </c>
      <c r="HA86" t="s">
        <v>140</v>
      </c>
      <c r="HB86">
        <v>1961</v>
      </c>
      <c r="HC86" t="str">
        <f>VLOOKUP(AnalizaCzyste[[#This Row],[Rok urodzenia]],KategorieWiekowe[],2,1)</f>
        <v>56-65 lat</v>
      </c>
      <c r="HD86" t="s">
        <v>220</v>
      </c>
    </row>
    <row r="87" spans="1:216" x14ac:dyDescent="0.45">
      <c r="A87">
        <v>130</v>
      </c>
      <c r="B87">
        <f>_xlfn.IFNA(VLOOKUP(AnalizaCzyste[[#This Row],[Zakończono wypełnianie]],Zakończone[],2,0),"BRAK")</f>
        <v>79</v>
      </c>
      <c r="C87">
        <f t="shared" si="2"/>
        <v>83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 t="str">
        <f>VLOOKUP(AnalizaCzyste[[#This Row],[Jak się nazywa uczelnia którą ukończyłeś? (proszę o wybranie jednej uczelni podlegającej ocenie)]],KategorieUczelni[],2,0)</f>
        <v>Publiczna</v>
      </c>
      <c r="AI87">
        <v>1985</v>
      </c>
      <c r="AJ87" t="s">
        <v>148</v>
      </c>
      <c r="AK87" t="s">
        <v>391</v>
      </c>
      <c r="AL87" t="s">
        <v>150</v>
      </c>
      <c r="AM87" t="s">
        <v>150</v>
      </c>
      <c r="AN87" t="s">
        <v>169</v>
      </c>
      <c r="AO87" t="s">
        <v>236</v>
      </c>
      <c r="AP87" t="s">
        <v>236</v>
      </c>
      <c r="AQ87">
        <v>0</v>
      </c>
      <c r="AR87" t="s">
        <v>152</v>
      </c>
      <c r="AS87" t="s">
        <v>152</v>
      </c>
      <c r="AT87" t="s">
        <v>1228</v>
      </c>
      <c r="AU87" t="s">
        <v>1229</v>
      </c>
      <c r="AV87" t="s">
        <v>1229</v>
      </c>
      <c r="AW87" t="s">
        <v>157</v>
      </c>
      <c r="AY87" s="1" t="s">
        <v>159</v>
      </c>
      <c r="AZ87">
        <v>2</v>
      </c>
      <c r="BA87" t="s">
        <v>1230</v>
      </c>
      <c r="BB87">
        <v>2005</v>
      </c>
      <c r="BC87" t="s">
        <v>148</v>
      </c>
      <c r="BD87" t="s">
        <v>1231</v>
      </c>
      <c r="BE87" t="s">
        <v>169</v>
      </c>
      <c r="BF87" t="s">
        <v>169</v>
      </c>
      <c r="BG87" t="s">
        <v>169</v>
      </c>
      <c r="BH87" t="s">
        <v>236</v>
      </c>
      <c r="BI87" t="s">
        <v>236</v>
      </c>
      <c r="BJ87">
        <v>0</v>
      </c>
      <c r="BK87" t="s">
        <v>1232</v>
      </c>
      <c r="BL87" t="s">
        <v>157</v>
      </c>
      <c r="BO87" t="s">
        <v>166</v>
      </c>
      <c r="BP87" t="s">
        <v>1233</v>
      </c>
      <c r="BQ87">
        <v>2008</v>
      </c>
      <c r="BR87" t="s">
        <v>148</v>
      </c>
      <c r="BS87" t="s">
        <v>1234</v>
      </c>
      <c r="BT87" t="s">
        <v>169</v>
      </c>
      <c r="BU87" t="s">
        <v>169</v>
      </c>
      <c r="BV87" t="s">
        <v>169</v>
      </c>
      <c r="BW87" t="s">
        <v>128</v>
      </c>
      <c r="BX87" t="s">
        <v>162</v>
      </c>
      <c r="BY87" t="s">
        <v>1235</v>
      </c>
      <c r="BZ87" t="s">
        <v>1236</v>
      </c>
      <c r="CA87" t="s">
        <v>157</v>
      </c>
      <c r="CD87" t="s">
        <v>173</v>
      </c>
      <c r="CS87" s="1" t="s">
        <v>123</v>
      </c>
      <c r="DC87" s="1" t="s">
        <v>123</v>
      </c>
      <c r="DM87" s="1" t="s">
        <v>174</v>
      </c>
      <c r="DN87" t="s">
        <v>394</v>
      </c>
      <c r="DR87" t="s">
        <v>1230</v>
      </c>
      <c r="DS87" t="s">
        <v>150</v>
      </c>
      <c r="DT87" t="s">
        <v>150</v>
      </c>
      <c r="DU87" t="s">
        <v>150</v>
      </c>
      <c r="DV87" t="s">
        <v>150</v>
      </c>
      <c r="DW87" t="s">
        <v>150</v>
      </c>
      <c r="DX87" t="s">
        <v>169</v>
      </c>
      <c r="DY87" t="s">
        <v>150</v>
      </c>
      <c r="DZ87">
        <v>20</v>
      </c>
      <c r="EA87">
        <v>5</v>
      </c>
      <c r="EB87">
        <v>0</v>
      </c>
      <c r="EC87">
        <v>30</v>
      </c>
      <c r="ED87">
        <v>25</v>
      </c>
      <c r="EE87">
        <v>10</v>
      </c>
      <c r="EF87">
        <v>10</v>
      </c>
      <c r="EH87">
        <v>10</v>
      </c>
      <c r="EI87">
        <v>5</v>
      </c>
      <c r="EJ87">
        <v>0</v>
      </c>
      <c r="EK87">
        <v>25</v>
      </c>
      <c r="EL87">
        <v>25</v>
      </c>
      <c r="EM87">
        <v>5</v>
      </c>
      <c r="EN87">
        <v>30</v>
      </c>
      <c r="EP87" s="1" t="s">
        <v>123</v>
      </c>
      <c r="FP87" s="1" t="s">
        <v>123</v>
      </c>
      <c r="GX87" t="s">
        <v>1237</v>
      </c>
      <c r="GY87" t="s">
        <v>1229</v>
      </c>
      <c r="GZ87" t="s">
        <v>1229</v>
      </c>
      <c r="HA87" t="s">
        <v>140</v>
      </c>
      <c r="HB87">
        <v>1958</v>
      </c>
      <c r="HC87" t="str">
        <f>VLOOKUP(AnalizaCzyste[[#This Row],[Rok urodzenia]],KategorieWiekowe[],2,1)</f>
        <v>56-65 lat</v>
      </c>
      <c r="HD87" t="s">
        <v>141</v>
      </c>
    </row>
    <row r="88" spans="1:216" x14ac:dyDescent="0.45">
      <c r="A88">
        <v>129</v>
      </c>
      <c r="B88">
        <f>_xlfn.IFNA(VLOOKUP(AnalizaCzyste[[#This Row],[Zakończono wypełnianie]],Zakończone[],2,0),"BRAK")</f>
        <v>78</v>
      </c>
      <c r="C88">
        <f t="shared" si="2"/>
        <v>33</v>
      </c>
      <c r="D88" t="s">
        <v>1211</v>
      </c>
      <c r="E88" t="s">
        <v>118</v>
      </c>
      <c r="F88" t="s">
        <v>1152</v>
      </c>
      <c r="J88" t="s">
        <v>119</v>
      </c>
      <c r="K88" t="s">
        <v>1212</v>
      </c>
      <c r="L88" t="s">
        <v>1213</v>
      </c>
      <c r="M88">
        <v>808</v>
      </c>
      <c r="N88">
        <v>0</v>
      </c>
      <c r="O88" t="s">
        <v>122</v>
      </c>
      <c r="P88" s="1" t="s">
        <v>123</v>
      </c>
      <c r="AF88" s="1" t="s">
        <v>124</v>
      </c>
      <c r="AG88" t="s">
        <v>428</v>
      </c>
      <c r="AH88" t="str">
        <f>VLOOKUP(AnalizaCzyste[[#This Row],[Jak się nazywa uczelnia którą ukończyłeś? (proszę o wybranie jednej uczelni podlegającej ocenie)]],KategorieUczelni[],2,0)</f>
        <v>Publiczna</v>
      </c>
      <c r="AI88">
        <v>1998</v>
      </c>
      <c r="AJ88" t="s">
        <v>148</v>
      </c>
      <c r="AK88" t="s">
        <v>1215</v>
      </c>
      <c r="AL88" t="s">
        <v>150</v>
      </c>
      <c r="AM88" t="s">
        <v>150</v>
      </c>
      <c r="AN88" t="s">
        <v>151</v>
      </c>
      <c r="AO88" t="s">
        <v>129</v>
      </c>
      <c r="AP88" t="s">
        <v>128</v>
      </c>
      <c r="AQ88" t="s">
        <v>1216</v>
      </c>
      <c r="AR88" t="s">
        <v>131</v>
      </c>
      <c r="AS88" t="s">
        <v>131</v>
      </c>
      <c r="AT88" t="s">
        <v>1217</v>
      </c>
      <c r="AU88" t="s">
        <v>1218</v>
      </c>
      <c r="AV88" t="s">
        <v>1219</v>
      </c>
      <c r="AX88" t="s">
        <v>1220</v>
      </c>
      <c r="AY88" s="1" t="s">
        <v>123</v>
      </c>
      <c r="CS88" s="1" t="s">
        <v>123</v>
      </c>
      <c r="DC88" s="1" t="s">
        <v>123</v>
      </c>
      <c r="DM88" s="1" t="s">
        <v>123</v>
      </c>
      <c r="EP88" s="1" t="s">
        <v>123</v>
      </c>
      <c r="FP88" s="1" t="s">
        <v>123</v>
      </c>
      <c r="GX88" t="s">
        <v>1221</v>
      </c>
      <c r="GY88" t="s">
        <v>1222</v>
      </c>
      <c r="GZ88" t="s">
        <v>1223</v>
      </c>
      <c r="HA88" t="s">
        <v>186</v>
      </c>
      <c r="HB88">
        <v>1973</v>
      </c>
      <c r="HC88" t="str">
        <f>VLOOKUP(AnalizaCzyste[[#This Row],[Rok urodzenia]],KategorieWiekowe[],2,1)</f>
        <v>46-55 lat</v>
      </c>
      <c r="HD88" t="s">
        <v>141</v>
      </c>
    </row>
    <row r="89" spans="1:216" x14ac:dyDescent="0.45">
      <c r="A89">
        <v>88</v>
      </c>
      <c r="B89">
        <f>_xlfn.IFNA(VLOOKUP(AnalizaCzyste[[#This Row],[Zakończono wypełnianie]],Zakończone[],2,0),"BRAK")</f>
        <v>53</v>
      </c>
      <c r="C89">
        <f t="shared" si="2"/>
        <v>48</v>
      </c>
      <c r="D89" t="s">
        <v>873</v>
      </c>
      <c r="E89" t="s">
        <v>118</v>
      </c>
      <c r="F89" t="s">
        <v>797</v>
      </c>
      <c r="J89" t="s">
        <v>119</v>
      </c>
      <c r="K89" t="s">
        <v>895</v>
      </c>
      <c r="L89" t="s">
        <v>896</v>
      </c>
      <c r="M89">
        <v>1418</v>
      </c>
      <c r="N89">
        <v>0</v>
      </c>
      <c r="O89" t="s">
        <v>122</v>
      </c>
      <c r="P89" s="1" t="s">
        <v>123</v>
      </c>
      <c r="AF89" s="1" t="s">
        <v>124</v>
      </c>
      <c r="AG89" s="20" t="s">
        <v>191</v>
      </c>
      <c r="AH89" s="20" t="str">
        <f>VLOOKUP(AnalizaCzyste[[#This Row],[Jak się nazywa uczelnia którą ukończyłeś? (proszę o wybranie jednej uczelni podlegającej ocenie)]],KategorieUczelni[],2,0)</f>
        <v>Publiczna</v>
      </c>
      <c r="AI89">
        <v>1975</v>
      </c>
      <c r="AJ89" t="s">
        <v>126</v>
      </c>
      <c r="AK89" t="s">
        <v>897</v>
      </c>
      <c r="AL89" t="s">
        <v>150</v>
      </c>
      <c r="AM89" t="s">
        <v>162</v>
      </c>
      <c r="AN89" t="s">
        <v>150</v>
      </c>
      <c r="AO89" t="s">
        <v>162</v>
      </c>
      <c r="AP89" t="s">
        <v>162</v>
      </c>
      <c r="AQ89" t="s">
        <v>898</v>
      </c>
      <c r="AR89" t="s">
        <v>153</v>
      </c>
      <c r="AS89" t="s">
        <v>153</v>
      </c>
      <c r="AU89" t="s">
        <v>532</v>
      </c>
      <c r="AV89" t="s">
        <v>532</v>
      </c>
      <c r="AW89" t="s">
        <v>157</v>
      </c>
      <c r="AY89" s="1" t="s">
        <v>159</v>
      </c>
      <c r="AZ89">
        <v>1</v>
      </c>
      <c r="BA89" t="s">
        <v>191</v>
      </c>
      <c r="BB89">
        <v>2011</v>
      </c>
      <c r="BC89" t="s">
        <v>126</v>
      </c>
      <c r="BD89" t="s">
        <v>127</v>
      </c>
      <c r="BE89" t="s">
        <v>162</v>
      </c>
      <c r="BF89" t="s">
        <v>150</v>
      </c>
      <c r="BG89" t="s">
        <v>236</v>
      </c>
      <c r="BH89" t="s">
        <v>132</v>
      </c>
      <c r="BI89" t="s">
        <v>132</v>
      </c>
      <c r="BJ89" t="s">
        <v>900</v>
      </c>
      <c r="BK89" t="s">
        <v>901</v>
      </c>
      <c r="BL89" t="s">
        <v>157</v>
      </c>
      <c r="BM89" t="s">
        <v>878</v>
      </c>
      <c r="BO89" t="s">
        <v>173</v>
      </c>
      <c r="CS89" s="1" t="s">
        <v>123</v>
      </c>
      <c r="DC89" s="1" t="s">
        <v>123</v>
      </c>
      <c r="DM89" s="1" t="s">
        <v>123</v>
      </c>
      <c r="EP89" s="1" t="s">
        <v>123</v>
      </c>
      <c r="FP89" s="1" t="s">
        <v>123</v>
      </c>
      <c r="FQ89" t="s">
        <v>132</v>
      </c>
      <c r="GX89" t="s">
        <v>532</v>
      </c>
      <c r="GY89" t="s">
        <v>532</v>
      </c>
      <c r="GZ89" t="s">
        <v>532</v>
      </c>
      <c r="HA89" t="s">
        <v>140</v>
      </c>
      <c r="HB89">
        <v>1950</v>
      </c>
      <c r="HC89" t="str">
        <f>VLOOKUP(AnalizaCzyste[[#This Row],[Rok urodzenia]],KategorieWiekowe[],2,1)</f>
        <v>powyżej 65 lat</v>
      </c>
      <c r="HD89" t="s">
        <v>141</v>
      </c>
    </row>
    <row r="90" spans="1:216" x14ac:dyDescent="0.45">
      <c r="A90">
        <v>87</v>
      </c>
      <c r="B90">
        <f>_xlfn.IFNA(VLOOKUP(AnalizaCzyste[[#This Row],[Zakończono wypełnianie]],Zakończone[],2,0),"BRAK")</f>
        <v>52</v>
      </c>
      <c r="C90">
        <f t="shared" si="2"/>
        <v>47</v>
      </c>
      <c r="D90" t="s">
        <v>873</v>
      </c>
      <c r="E90" t="s">
        <v>118</v>
      </c>
      <c r="F90" t="s">
        <v>797</v>
      </c>
      <c r="J90" t="s">
        <v>119</v>
      </c>
      <c r="K90" t="s">
        <v>888</v>
      </c>
      <c r="L90" t="s">
        <v>889</v>
      </c>
      <c r="M90">
        <v>1595</v>
      </c>
      <c r="N90">
        <v>0</v>
      </c>
      <c r="O90" t="s">
        <v>122</v>
      </c>
      <c r="P90" s="1" t="s">
        <v>123</v>
      </c>
      <c r="AF90" s="1" t="s">
        <v>124</v>
      </c>
      <c r="AG90" s="20" t="s">
        <v>191</v>
      </c>
      <c r="AH90" s="20" t="str">
        <f>VLOOKUP(AnalizaCzyste[[#This Row],[Jak się nazywa uczelnia którą ukończyłeś? (proszę o wybranie jednej uczelni podlegającej ocenie)]],KategorieUczelni[],2,0)</f>
        <v>Publiczna</v>
      </c>
      <c r="AI90">
        <v>1975</v>
      </c>
      <c r="AJ90" t="s">
        <v>126</v>
      </c>
      <c r="AK90" t="s">
        <v>890</v>
      </c>
      <c r="AL90" t="s">
        <v>150</v>
      </c>
      <c r="AM90" t="s">
        <v>162</v>
      </c>
      <c r="AN90" t="s">
        <v>128</v>
      </c>
      <c r="AO90" t="s">
        <v>169</v>
      </c>
      <c r="AP90" t="s">
        <v>169</v>
      </c>
      <c r="AQ90" t="s">
        <v>883</v>
      </c>
      <c r="AR90" t="s">
        <v>194</v>
      </c>
      <c r="AS90" t="s">
        <v>194</v>
      </c>
      <c r="AT90" t="s">
        <v>891</v>
      </c>
      <c r="AU90" t="s">
        <v>532</v>
      </c>
      <c r="AV90" t="s">
        <v>532</v>
      </c>
      <c r="AW90" t="s">
        <v>892</v>
      </c>
      <c r="AY90" s="1" t="s">
        <v>159</v>
      </c>
      <c r="AZ90">
        <v>1</v>
      </c>
      <c r="BA90" t="s">
        <v>893</v>
      </c>
      <c r="BB90">
        <v>2002</v>
      </c>
      <c r="BC90" t="s">
        <v>126</v>
      </c>
      <c r="BD90" t="s">
        <v>801</v>
      </c>
      <c r="BE90" t="s">
        <v>150</v>
      </c>
      <c r="BF90" t="s">
        <v>150</v>
      </c>
      <c r="BG90" t="s">
        <v>150</v>
      </c>
      <c r="BH90" t="s">
        <v>236</v>
      </c>
      <c r="BI90" t="s">
        <v>128</v>
      </c>
      <c r="BJ90">
        <v>3</v>
      </c>
      <c r="BL90" t="s">
        <v>157</v>
      </c>
      <c r="BO90" t="s">
        <v>173</v>
      </c>
      <c r="CS90" s="1" t="s">
        <v>123</v>
      </c>
      <c r="DC90" s="1" t="s">
        <v>123</v>
      </c>
      <c r="DM90" s="1" t="s">
        <v>123</v>
      </c>
      <c r="EP90" s="1" t="s">
        <v>123</v>
      </c>
      <c r="FP90" s="1" t="s">
        <v>123</v>
      </c>
      <c r="FQ90" t="s">
        <v>132</v>
      </c>
      <c r="GX90" t="s">
        <v>532</v>
      </c>
      <c r="GY90" t="s">
        <v>532</v>
      </c>
      <c r="GZ90" t="s">
        <v>532</v>
      </c>
      <c r="HA90" t="s">
        <v>186</v>
      </c>
      <c r="HB90">
        <v>1950</v>
      </c>
      <c r="HC90" t="str">
        <f>VLOOKUP(AnalizaCzyste[[#This Row],[Rok urodzenia]],KategorieWiekowe[],2,1)</f>
        <v>powyżej 65 lat</v>
      </c>
      <c r="HD90" t="s">
        <v>141</v>
      </c>
    </row>
    <row r="91" spans="1:216" x14ac:dyDescent="0.45">
      <c r="A91">
        <v>188</v>
      </c>
      <c r="B91">
        <f>_xlfn.IFNA(VLOOKUP(AnalizaCzyste[[#This Row],[Zakończono wypełnianie]],Zakończone[],2,0),"BRAK")</f>
        <v>107</v>
      </c>
      <c r="C91">
        <f t="shared" si="2"/>
        <v>68</v>
      </c>
      <c r="D91" t="s">
        <v>1587</v>
      </c>
      <c r="E91" t="s">
        <v>118</v>
      </c>
      <c r="J91" t="s">
        <v>119</v>
      </c>
      <c r="K91" t="s">
        <v>1588</v>
      </c>
      <c r="L91" t="s">
        <v>1589</v>
      </c>
      <c r="M91">
        <v>1788</v>
      </c>
      <c r="N91">
        <v>0</v>
      </c>
      <c r="O91" t="s">
        <v>122</v>
      </c>
      <c r="P91" s="1" t="s">
        <v>123</v>
      </c>
      <c r="AF91" s="1" t="s">
        <v>124</v>
      </c>
      <c r="AG91" t="s">
        <v>191</v>
      </c>
      <c r="AH91" t="str">
        <f>VLOOKUP(AnalizaCzyste[[#This Row],[Jak się nazywa uczelnia którą ukończyłeś? (proszę o wybranie jednej uczelni podlegającej ocenie)]],KategorieUczelni[],2,0)</f>
        <v>Publiczna</v>
      </c>
      <c r="AI91">
        <v>1983</v>
      </c>
      <c r="AJ91" t="s">
        <v>126</v>
      </c>
      <c r="AK91" t="s">
        <v>1590</v>
      </c>
      <c r="AL91" t="s">
        <v>150</v>
      </c>
      <c r="AM91" t="s">
        <v>150</v>
      </c>
      <c r="AN91" t="s">
        <v>236</v>
      </c>
      <c r="AO91" t="s">
        <v>129</v>
      </c>
      <c r="AP91" t="s">
        <v>162</v>
      </c>
      <c r="AQ91">
        <v>36</v>
      </c>
      <c r="AR91" t="s">
        <v>132</v>
      </c>
      <c r="AS91" t="s">
        <v>132</v>
      </c>
      <c r="AT91" t="s">
        <v>1591</v>
      </c>
      <c r="AU91" t="s">
        <v>1592</v>
      </c>
      <c r="AV91" t="s">
        <v>1593</v>
      </c>
      <c r="AW91" t="s">
        <v>172</v>
      </c>
      <c r="AY91" s="1" t="s">
        <v>159</v>
      </c>
      <c r="AZ91">
        <v>3</v>
      </c>
      <c r="BA91" t="s">
        <v>191</v>
      </c>
      <c r="BB91">
        <v>2019</v>
      </c>
      <c r="BC91" t="s">
        <v>126</v>
      </c>
      <c r="BD91" t="s">
        <v>1594</v>
      </c>
      <c r="BE91" t="s">
        <v>236</v>
      </c>
      <c r="BF91" t="s">
        <v>128</v>
      </c>
      <c r="BG91" t="s">
        <v>162</v>
      </c>
      <c r="BH91" t="s">
        <v>151</v>
      </c>
      <c r="BI91" t="s">
        <v>132</v>
      </c>
      <c r="BJ91" t="s">
        <v>1595</v>
      </c>
      <c r="BK91" t="s">
        <v>1596</v>
      </c>
      <c r="BL91" t="s">
        <v>157</v>
      </c>
      <c r="BO91" t="s">
        <v>173</v>
      </c>
      <c r="CS91" s="1" t="s">
        <v>123</v>
      </c>
      <c r="DC91" s="1" t="s">
        <v>123</v>
      </c>
      <c r="DM91" s="1" t="s">
        <v>123</v>
      </c>
      <c r="EP91" s="1" t="s">
        <v>177</v>
      </c>
      <c r="EQ91" t="s">
        <v>178</v>
      </c>
      <c r="ER91">
        <v>2</v>
      </c>
      <c r="ES91" t="s">
        <v>747</v>
      </c>
      <c r="ET91" t="s">
        <v>236</v>
      </c>
      <c r="EU91" t="s">
        <v>236</v>
      </c>
      <c r="EV91" t="s">
        <v>128</v>
      </c>
      <c r="EW91" t="s">
        <v>178</v>
      </c>
      <c r="EX91" t="s">
        <v>1597</v>
      </c>
      <c r="EY91" t="s">
        <v>1598</v>
      </c>
      <c r="EZ91" t="s">
        <v>1206</v>
      </c>
      <c r="FA91" t="s">
        <v>1599</v>
      </c>
      <c r="FB91" t="s">
        <v>129</v>
      </c>
      <c r="FC91" t="s">
        <v>129</v>
      </c>
      <c r="FD91" t="s">
        <v>236</v>
      </c>
      <c r="FE91" t="s">
        <v>178</v>
      </c>
      <c r="FF91" t="s">
        <v>1600</v>
      </c>
      <c r="FG91" t="s">
        <v>1601</v>
      </c>
      <c r="FH91" t="s">
        <v>173</v>
      </c>
      <c r="FP91" s="1" t="s">
        <v>123</v>
      </c>
      <c r="GX91" t="s">
        <v>1602</v>
      </c>
      <c r="GY91" t="s">
        <v>1603</v>
      </c>
      <c r="GZ91" t="s">
        <v>1604</v>
      </c>
      <c r="HA91" t="s">
        <v>186</v>
      </c>
      <c r="HB91">
        <v>1959</v>
      </c>
      <c r="HC91" t="str">
        <f>VLOOKUP(AnalizaCzyste[[#This Row],[Rok urodzenia]],KategorieWiekowe[],2,1)</f>
        <v>56-65 lat</v>
      </c>
      <c r="HD91" t="s">
        <v>483</v>
      </c>
      <c r="HF91" t="s">
        <v>1605</v>
      </c>
      <c r="HG91" t="s">
        <v>1606</v>
      </c>
      <c r="HH91" t="s">
        <v>1607</v>
      </c>
    </row>
    <row r="92" spans="1:216" x14ac:dyDescent="0.45">
      <c r="A92">
        <v>260</v>
      </c>
      <c r="B92">
        <f>_xlfn.IFNA(VLOOKUP(AnalizaCzyste[[#This Row],[Zakończono wypełnianie]],Zakończone[],2,0),"BRAK")</f>
        <v>137</v>
      </c>
      <c r="C92">
        <f t="shared" si="2"/>
        <v>68</v>
      </c>
      <c r="D92" t="s">
        <v>2014</v>
      </c>
      <c r="E92" t="s">
        <v>118</v>
      </c>
      <c r="J92" t="s">
        <v>119</v>
      </c>
      <c r="K92" t="s">
        <v>2046</v>
      </c>
      <c r="L92" t="s">
        <v>2047</v>
      </c>
      <c r="M92">
        <v>707</v>
      </c>
      <c r="N92">
        <v>0</v>
      </c>
      <c r="O92" t="s">
        <v>122</v>
      </c>
      <c r="P92" s="1" t="s">
        <v>123</v>
      </c>
      <c r="AF92" s="1" t="s">
        <v>124</v>
      </c>
      <c r="AG92" t="s">
        <v>191</v>
      </c>
      <c r="AH92" t="str">
        <f>VLOOKUP(AnalizaCzyste[[#This Row],[Jak się nazywa uczelnia którą ukończyłeś? (proszę o wybranie jednej uczelni podlegającej ocenie)]],KategorieUczelni[],2,0)</f>
        <v>Publiczna</v>
      </c>
      <c r="AI92">
        <v>1985</v>
      </c>
      <c r="AJ92" t="s">
        <v>126</v>
      </c>
      <c r="AK92" t="s">
        <v>2017</v>
      </c>
      <c r="AL92" t="s">
        <v>150</v>
      </c>
      <c r="AM92" t="s">
        <v>150</v>
      </c>
      <c r="AN92" t="s">
        <v>151</v>
      </c>
      <c r="AO92" t="s">
        <v>236</v>
      </c>
      <c r="AP92" t="s">
        <v>150</v>
      </c>
      <c r="AQ92" t="s">
        <v>237</v>
      </c>
      <c r="AR92" t="s">
        <v>152</v>
      </c>
      <c r="AS92" t="s">
        <v>759</v>
      </c>
      <c r="AT92" t="s">
        <v>2048</v>
      </c>
      <c r="AU92" t="s">
        <v>1229</v>
      </c>
      <c r="AV92" t="s">
        <v>1229</v>
      </c>
      <c r="AW92" t="s">
        <v>157</v>
      </c>
      <c r="AX92" t="s">
        <v>2032</v>
      </c>
      <c r="AY92" s="1" t="s">
        <v>159</v>
      </c>
      <c r="AZ92">
        <v>1</v>
      </c>
      <c r="BA92" t="s">
        <v>191</v>
      </c>
      <c r="BB92">
        <v>2018</v>
      </c>
      <c r="BC92" t="s">
        <v>126</v>
      </c>
      <c r="BD92" t="s">
        <v>2049</v>
      </c>
      <c r="BE92" t="s">
        <v>151</v>
      </c>
      <c r="BF92" t="s">
        <v>151</v>
      </c>
      <c r="BG92" t="s">
        <v>128</v>
      </c>
      <c r="BH92" t="s">
        <v>162</v>
      </c>
      <c r="BI92" t="s">
        <v>132</v>
      </c>
      <c r="BJ92">
        <v>12</v>
      </c>
      <c r="BK92" t="s">
        <v>2050</v>
      </c>
      <c r="BL92" t="s">
        <v>157</v>
      </c>
      <c r="BO92" t="s">
        <v>173</v>
      </c>
      <c r="CS92" s="1" t="s">
        <v>123</v>
      </c>
      <c r="DC92" s="1" t="s">
        <v>123</v>
      </c>
      <c r="DM92" s="1" t="s">
        <v>123</v>
      </c>
      <c r="EP92" s="1" t="s">
        <v>177</v>
      </c>
      <c r="EQ92" t="s">
        <v>178</v>
      </c>
      <c r="ER92">
        <v>2</v>
      </c>
      <c r="ES92" t="s">
        <v>191</v>
      </c>
      <c r="ET92" t="s">
        <v>151</v>
      </c>
      <c r="EU92" t="s">
        <v>162</v>
      </c>
      <c r="EV92" t="s">
        <v>151</v>
      </c>
      <c r="EW92" t="s">
        <v>178</v>
      </c>
      <c r="EX92" t="s">
        <v>2051</v>
      </c>
      <c r="EY92" t="s">
        <v>2052</v>
      </c>
      <c r="EZ92" t="s">
        <v>1206</v>
      </c>
      <c r="FA92" t="s">
        <v>223</v>
      </c>
      <c r="FB92" t="s">
        <v>162</v>
      </c>
      <c r="FC92" t="s">
        <v>162</v>
      </c>
      <c r="FD92" t="s">
        <v>151</v>
      </c>
      <c r="FE92" t="s">
        <v>178</v>
      </c>
      <c r="FF92" t="s">
        <v>2053</v>
      </c>
      <c r="FG92" t="s">
        <v>2054</v>
      </c>
      <c r="FH92" t="s">
        <v>173</v>
      </c>
      <c r="FP92" s="1" t="s">
        <v>123</v>
      </c>
      <c r="GX92" t="s">
        <v>1229</v>
      </c>
      <c r="GY92" t="s">
        <v>1229</v>
      </c>
      <c r="GZ92" t="s">
        <v>1229</v>
      </c>
      <c r="HA92" t="s">
        <v>186</v>
      </c>
      <c r="HB92">
        <v>1959</v>
      </c>
      <c r="HC92" t="str">
        <f>VLOOKUP(AnalizaCzyste[[#This Row],[Rok urodzenia]],KategorieWiekowe[],2,1)</f>
        <v>56-65 lat</v>
      </c>
      <c r="HD92" t="s">
        <v>141</v>
      </c>
      <c r="HF92" t="s">
        <v>2055</v>
      </c>
      <c r="HH92" t="s">
        <v>2056</v>
      </c>
    </row>
    <row r="93" spans="1:216" x14ac:dyDescent="0.45">
      <c r="A93">
        <v>11</v>
      </c>
      <c r="B93">
        <f>_xlfn.IFNA(VLOOKUP(AnalizaCzyste[[#This Row],[Zakończono wypełnianie]],Zakończone[],2,0),"BRAK")</f>
        <v>10</v>
      </c>
      <c r="C93">
        <f t="shared" si="2"/>
        <v>64</v>
      </c>
      <c r="D93" t="s">
        <v>298</v>
      </c>
      <c r="E93" t="s">
        <v>118</v>
      </c>
      <c r="J93" t="s">
        <v>119</v>
      </c>
      <c r="K93" t="s">
        <v>299</v>
      </c>
      <c r="L93" t="s">
        <v>300</v>
      </c>
      <c r="M93">
        <v>1404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 t="str">
        <f>VLOOKUP(AnalizaCzyste[[#This Row],[Jak się nazywa uczelnia którą ukończyłeś? (proszę o wybranie jednej uczelni podlegającej ocenie)]],KategorieUczelni[],2,0)</f>
        <v>Publiczna</v>
      </c>
      <c r="AI93">
        <v>1986</v>
      </c>
      <c r="AJ93" t="s">
        <v>126</v>
      </c>
      <c r="AK93" t="s">
        <v>301</v>
      </c>
      <c r="AL93" t="s">
        <v>150</v>
      </c>
      <c r="AM93" t="s">
        <v>150</v>
      </c>
      <c r="AN93" t="s">
        <v>162</v>
      </c>
      <c r="AO93" t="s">
        <v>151</v>
      </c>
      <c r="AP93" t="s">
        <v>151</v>
      </c>
      <c r="AQ93">
        <v>2</v>
      </c>
      <c r="AR93" t="s">
        <v>302</v>
      </c>
      <c r="AS93" t="s">
        <v>153</v>
      </c>
      <c r="AT93" t="s">
        <v>303</v>
      </c>
      <c r="AU93" t="s">
        <v>304</v>
      </c>
      <c r="AV93" t="s">
        <v>305</v>
      </c>
      <c r="AW93" t="s">
        <v>157</v>
      </c>
      <c r="AY93" s="1" t="s">
        <v>159</v>
      </c>
      <c r="AZ93">
        <v>1</v>
      </c>
      <c r="BA93" t="s">
        <v>223</v>
      </c>
      <c r="BB93">
        <v>2011</v>
      </c>
      <c r="BC93" t="s">
        <v>148</v>
      </c>
      <c r="BD93" t="s">
        <v>127</v>
      </c>
      <c r="BE93" t="s">
        <v>150</v>
      </c>
      <c r="BF93" t="s">
        <v>150</v>
      </c>
      <c r="BG93" t="s">
        <v>169</v>
      </c>
      <c r="BH93" t="s">
        <v>169</v>
      </c>
      <c r="BI93" t="s">
        <v>169</v>
      </c>
      <c r="BJ93">
        <v>1</v>
      </c>
      <c r="BK93" t="s">
        <v>306</v>
      </c>
      <c r="BL93" t="s">
        <v>157</v>
      </c>
      <c r="BN93" t="s">
        <v>307</v>
      </c>
      <c r="BO93" t="s">
        <v>173</v>
      </c>
      <c r="CS93" s="1" t="s">
        <v>123</v>
      </c>
      <c r="DC93" s="1" t="s">
        <v>214</v>
      </c>
      <c r="DD93" t="s">
        <v>191</v>
      </c>
      <c r="DE93" t="s">
        <v>308</v>
      </c>
      <c r="DF93" t="s">
        <v>150</v>
      </c>
      <c r="DG93" t="s">
        <v>150</v>
      </c>
      <c r="DH93" t="s">
        <v>162</v>
      </c>
      <c r="DI93" t="s">
        <v>150</v>
      </c>
      <c r="DJ93" t="s">
        <v>150</v>
      </c>
      <c r="DK93" t="s">
        <v>150</v>
      </c>
      <c r="DL93" t="s">
        <v>309</v>
      </c>
      <c r="DM93" s="1" t="s">
        <v>123</v>
      </c>
      <c r="EP93" s="1" t="s">
        <v>123</v>
      </c>
      <c r="EQ93" t="s">
        <v>180</v>
      </c>
      <c r="ER93" t="s">
        <v>132</v>
      </c>
      <c r="FP93" s="1" t="s">
        <v>123</v>
      </c>
      <c r="FQ93" t="s">
        <v>132</v>
      </c>
      <c r="FS93" t="s">
        <v>132</v>
      </c>
      <c r="GX93" t="s">
        <v>310</v>
      </c>
      <c r="GY93" t="s">
        <v>311</v>
      </c>
      <c r="GZ93" t="s">
        <v>312</v>
      </c>
      <c r="HA93" t="s">
        <v>186</v>
      </c>
      <c r="HB93">
        <v>1963</v>
      </c>
      <c r="HC93" t="str">
        <f>VLOOKUP(AnalizaCzyste[[#This Row],[Rok urodzenia]],KategorieWiekowe[],2,1)</f>
        <v>56-65 lat</v>
      </c>
      <c r="HD93" t="s">
        <v>141</v>
      </c>
      <c r="HE93" t="s">
        <v>313</v>
      </c>
      <c r="HF93" t="s">
        <v>314</v>
      </c>
      <c r="HG93" t="s">
        <v>315</v>
      </c>
    </row>
    <row r="94" spans="1:216" x14ac:dyDescent="0.45">
      <c r="A94">
        <v>257</v>
      </c>
      <c r="B94">
        <f>_xlfn.IFNA(VLOOKUP(AnalizaCzyste[[#This Row],[Zakończono wypełnianie]],Zakończone[],2,0),"BRAK")</f>
        <v>134</v>
      </c>
      <c r="C94">
        <f t="shared" si="2"/>
        <v>63</v>
      </c>
      <c r="D94" t="s">
        <v>2014</v>
      </c>
      <c r="E94" t="s">
        <v>118</v>
      </c>
      <c r="J94" t="s">
        <v>119</v>
      </c>
      <c r="K94" t="s">
        <v>2015</v>
      </c>
      <c r="L94" t="s">
        <v>2016</v>
      </c>
      <c r="M94">
        <v>1430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 t="str">
        <f>VLOOKUP(AnalizaCzyste[[#This Row],[Jak się nazywa uczelnia którą ukończyłeś? (proszę o wybranie jednej uczelni podlegającej ocenie)]],KategorieUczelni[],2,0)</f>
        <v>Publiczna</v>
      </c>
      <c r="AI94">
        <v>1989</v>
      </c>
      <c r="AJ94" t="s">
        <v>126</v>
      </c>
      <c r="AK94" t="s">
        <v>2017</v>
      </c>
      <c r="AL94" t="s">
        <v>150</v>
      </c>
      <c r="AM94" t="s">
        <v>150</v>
      </c>
      <c r="AN94" t="s">
        <v>162</v>
      </c>
      <c r="AO94" t="s">
        <v>162</v>
      </c>
      <c r="AP94" t="s">
        <v>162</v>
      </c>
      <c r="AQ94">
        <v>0</v>
      </c>
      <c r="AR94" t="s">
        <v>226</v>
      </c>
      <c r="AS94" t="s">
        <v>226</v>
      </c>
      <c r="AT94" t="s">
        <v>2018</v>
      </c>
      <c r="AU94" t="s">
        <v>1229</v>
      </c>
      <c r="AV94" t="s">
        <v>1229</v>
      </c>
      <c r="AW94" t="s">
        <v>157</v>
      </c>
      <c r="AX94" t="s">
        <v>1271</v>
      </c>
      <c r="AY94" s="1" t="s">
        <v>159</v>
      </c>
      <c r="AZ94">
        <v>1</v>
      </c>
      <c r="BA94" t="s">
        <v>191</v>
      </c>
      <c r="BB94">
        <v>2016</v>
      </c>
      <c r="BC94" t="s">
        <v>126</v>
      </c>
      <c r="BD94" t="s">
        <v>2019</v>
      </c>
      <c r="BE94" t="s">
        <v>150</v>
      </c>
      <c r="BF94" t="s">
        <v>150</v>
      </c>
      <c r="BG94" t="s">
        <v>151</v>
      </c>
      <c r="BH94" t="s">
        <v>128</v>
      </c>
      <c r="BI94" t="s">
        <v>162</v>
      </c>
      <c r="BJ94" t="s">
        <v>2020</v>
      </c>
      <c r="BK94" t="s">
        <v>2021</v>
      </c>
      <c r="BL94" t="s">
        <v>157</v>
      </c>
      <c r="BO94" t="s">
        <v>173</v>
      </c>
      <c r="CS94" s="1" t="s">
        <v>123</v>
      </c>
      <c r="DC94" s="1" t="s">
        <v>123</v>
      </c>
      <c r="DM94" s="1" t="s">
        <v>123</v>
      </c>
      <c r="EP94" s="1" t="s">
        <v>123</v>
      </c>
      <c r="FP94" s="1" t="s">
        <v>2022</v>
      </c>
      <c r="FQ94" t="s">
        <v>2023</v>
      </c>
      <c r="FR94" t="s">
        <v>2024</v>
      </c>
      <c r="FS94">
        <v>1</v>
      </c>
      <c r="FT94" t="s">
        <v>191</v>
      </c>
      <c r="FU94" t="s">
        <v>150</v>
      </c>
      <c r="FV94" t="s">
        <v>150</v>
      </c>
      <c r="FW94" t="s">
        <v>150</v>
      </c>
      <c r="FX94" t="s">
        <v>150</v>
      </c>
      <c r="FY94" t="s">
        <v>150</v>
      </c>
      <c r="FZ94" t="s">
        <v>150</v>
      </c>
      <c r="GA94" t="s">
        <v>150</v>
      </c>
      <c r="GC94" t="s">
        <v>2025</v>
      </c>
      <c r="GD94" t="s">
        <v>173</v>
      </c>
      <c r="GX94" t="s">
        <v>1229</v>
      </c>
      <c r="GY94" t="s">
        <v>1229</v>
      </c>
      <c r="GZ94" t="s">
        <v>1229</v>
      </c>
      <c r="HA94" t="s">
        <v>186</v>
      </c>
      <c r="HB94">
        <v>1965</v>
      </c>
      <c r="HC94" t="str">
        <f>VLOOKUP(AnalizaCzyste[[#This Row],[Rok urodzenia]],KategorieWiekowe[],2,1)</f>
        <v>46-55 lat</v>
      </c>
      <c r="HD94" t="s">
        <v>220</v>
      </c>
      <c r="HF94" t="s">
        <v>2026</v>
      </c>
      <c r="HH94" t="s">
        <v>2027</v>
      </c>
    </row>
    <row r="95" spans="1:216" x14ac:dyDescent="0.45">
      <c r="A95">
        <v>196</v>
      </c>
      <c r="B95">
        <f>_xlfn.IFNA(VLOOKUP(AnalizaCzyste[[#This Row],[Zakończono wypełnianie]],Zakończone[],2,0),"BRAK")</f>
        <v>112</v>
      </c>
      <c r="C95">
        <f t="shared" si="2"/>
        <v>56</v>
      </c>
      <c r="D95" t="s">
        <v>1659</v>
      </c>
      <c r="E95" t="s">
        <v>118</v>
      </c>
      <c r="J95" t="s">
        <v>119</v>
      </c>
      <c r="K95" t="s">
        <v>1660</v>
      </c>
      <c r="L95" t="s">
        <v>1661</v>
      </c>
      <c r="M95">
        <v>614</v>
      </c>
      <c r="N95">
        <v>0</v>
      </c>
      <c r="O95" t="s">
        <v>122</v>
      </c>
      <c r="P95" s="1" t="s">
        <v>123</v>
      </c>
      <c r="AF95" s="1" t="s">
        <v>124</v>
      </c>
      <c r="AG95" t="s">
        <v>191</v>
      </c>
      <c r="AH95" t="str">
        <f>VLOOKUP(AnalizaCzyste[[#This Row],[Jak się nazywa uczelnia którą ukończyłeś? (proszę o wybranie jednej uczelni podlegającej ocenie)]],KategorieUczelni[],2,0)</f>
        <v>Publiczna</v>
      </c>
      <c r="AI95">
        <v>1991</v>
      </c>
      <c r="AJ95" t="s">
        <v>126</v>
      </c>
      <c r="AK95" t="s">
        <v>1662</v>
      </c>
      <c r="AL95" t="s">
        <v>150</v>
      </c>
      <c r="AM95" t="s">
        <v>150</v>
      </c>
      <c r="AN95" t="s">
        <v>150</v>
      </c>
      <c r="AO95" t="s">
        <v>132</v>
      </c>
      <c r="AP95" t="s">
        <v>132</v>
      </c>
      <c r="AQ95" t="s">
        <v>718</v>
      </c>
      <c r="AR95" t="s">
        <v>132</v>
      </c>
      <c r="AS95" t="s">
        <v>132</v>
      </c>
      <c r="AT95" t="s">
        <v>1663</v>
      </c>
      <c r="AU95" t="s">
        <v>1664</v>
      </c>
      <c r="AV95" t="s">
        <v>1665</v>
      </c>
      <c r="AW95" t="s">
        <v>172</v>
      </c>
      <c r="AY95" s="1" t="s">
        <v>159</v>
      </c>
      <c r="AZ95">
        <v>1</v>
      </c>
      <c r="BA95" t="s">
        <v>191</v>
      </c>
      <c r="BB95">
        <v>2018</v>
      </c>
      <c r="BC95" t="s">
        <v>126</v>
      </c>
      <c r="BD95" t="s">
        <v>1666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>
        <v>1</v>
      </c>
      <c r="BL95" t="s">
        <v>172</v>
      </c>
      <c r="BO95" t="s">
        <v>173</v>
      </c>
      <c r="CS95" s="1" t="s">
        <v>123</v>
      </c>
      <c r="DC95" s="1" t="s">
        <v>123</v>
      </c>
      <c r="DM95" s="1" t="s">
        <v>123</v>
      </c>
      <c r="EP95" s="1" t="s">
        <v>177</v>
      </c>
      <c r="EQ95" t="s">
        <v>178</v>
      </c>
      <c r="ER95">
        <v>1</v>
      </c>
      <c r="ES95" t="s">
        <v>191</v>
      </c>
      <c r="ET95" t="s">
        <v>169</v>
      </c>
      <c r="EU95" t="s">
        <v>169</v>
      </c>
      <c r="EV95" t="s">
        <v>151</v>
      </c>
      <c r="EW95" t="s">
        <v>178</v>
      </c>
      <c r="EX95" t="s">
        <v>1667</v>
      </c>
      <c r="EY95" t="s">
        <v>1668</v>
      </c>
      <c r="EZ95" t="s">
        <v>173</v>
      </c>
      <c r="FP95" s="1" t="s">
        <v>123</v>
      </c>
      <c r="GX95" t="s">
        <v>1669</v>
      </c>
      <c r="GY95" t="s">
        <v>1670</v>
      </c>
      <c r="GZ95" t="s">
        <v>1671</v>
      </c>
      <c r="HA95" t="s">
        <v>186</v>
      </c>
      <c r="HB95">
        <v>1966</v>
      </c>
      <c r="HC95" t="str">
        <f>VLOOKUP(AnalizaCzyste[[#This Row],[Rok urodzenia]],KategorieWiekowe[],2,1)</f>
        <v>46-55 lat</v>
      </c>
      <c r="HD95" t="s">
        <v>141</v>
      </c>
    </row>
    <row r="96" spans="1:216" x14ac:dyDescent="0.45">
      <c r="A96">
        <v>47</v>
      </c>
      <c r="B96">
        <f>_xlfn.IFNA(VLOOKUP(AnalizaCzyste[[#This Row],[Zakończono wypełnianie]],Zakończone[],2,0),"BRAK")</f>
        <v>29</v>
      </c>
      <c r="C96">
        <f t="shared" si="2"/>
        <v>34</v>
      </c>
      <c r="D96" t="s">
        <v>570</v>
      </c>
      <c r="E96" t="s">
        <v>118</v>
      </c>
      <c r="F96" t="s">
        <v>548</v>
      </c>
      <c r="J96" t="s">
        <v>119</v>
      </c>
      <c r="K96" t="s">
        <v>571</v>
      </c>
      <c r="L96" t="s">
        <v>572</v>
      </c>
      <c r="M96">
        <v>751</v>
      </c>
      <c r="N96">
        <v>0</v>
      </c>
      <c r="O96" t="s">
        <v>122</v>
      </c>
      <c r="P96" s="1" t="s">
        <v>416</v>
      </c>
      <c r="Q96" t="s">
        <v>445</v>
      </c>
      <c r="R96" t="s">
        <v>148</v>
      </c>
      <c r="S96" t="s">
        <v>573</v>
      </c>
      <c r="T96" t="s">
        <v>162</v>
      </c>
      <c r="U96" t="s">
        <v>128</v>
      </c>
      <c r="V96" t="s">
        <v>151</v>
      </c>
      <c r="W96" t="s">
        <v>237</v>
      </c>
      <c r="X96" t="s">
        <v>302</v>
      </c>
      <c r="Y96" t="s">
        <v>153</v>
      </c>
      <c r="Z96" t="s">
        <v>574</v>
      </c>
      <c r="AA96" t="s">
        <v>575</v>
      </c>
      <c r="AB96" t="s">
        <v>576</v>
      </c>
      <c r="AC96" t="s">
        <v>172</v>
      </c>
      <c r="AE96">
        <v>6</v>
      </c>
      <c r="AF96" s="1" t="s">
        <v>123</v>
      </c>
      <c r="AH96" t="e">
        <f>VLOOKUP(AnalizaCzyste[[#This Row],[Jak się nazywa uczelnia którą ukończyłeś? (proszę o wybranie jednej uczelni podlegającej ocenie)]],KategorieUczelni[],2,0)</f>
        <v>#N/A</v>
      </c>
      <c r="AY96" s="1" t="s">
        <v>123</v>
      </c>
      <c r="CS96" s="1" t="s">
        <v>123</v>
      </c>
      <c r="DC96" s="1" t="s">
        <v>123</v>
      </c>
      <c r="DM96" s="1" t="s">
        <v>123</v>
      </c>
      <c r="EP96" s="1" t="s">
        <v>123</v>
      </c>
      <c r="FP96" s="1" t="s">
        <v>123</v>
      </c>
      <c r="FQ96" t="s">
        <v>132</v>
      </c>
      <c r="FS96" t="s">
        <v>132</v>
      </c>
      <c r="GX96" t="s">
        <v>578</v>
      </c>
      <c r="GY96" t="s">
        <v>579</v>
      </c>
      <c r="GZ96" t="s">
        <v>580</v>
      </c>
      <c r="HA96" t="s">
        <v>186</v>
      </c>
      <c r="HB96">
        <v>1997</v>
      </c>
      <c r="HC96" t="str">
        <f>VLOOKUP(AnalizaCzyste[[#This Row],[Rok urodzenia]],KategorieWiekowe[],2,1)</f>
        <v>poniżej 26 lat</v>
      </c>
      <c r="HD96" t="s">
        <v>483</v>
      </c>
      <c r="HF96" t="s">
        <v>532</v>
      </c>
    </row>
    <row r="97" spans="1:216" x14ac:dyDescent="0.45">
      <c r="A97">
        <v>94</v>
      </c>
      <c r="B97">
        <f>_xlfn.IFNA(VLOOKUP(AnalizaCzyste[[#This Row],[Zakończono wypełnianie]],Zakończone[],2,0),"BRAK")</f>
        <v>57</v>
      </c>
      <c r="C97">
        <f t="shared" si="2"/>
        <v>34</v>
      </c>
      <c r="D97" t="s">
        <v>955</v>
      </c>
      <c r="E97" t="s">
        <v>118</v>
      </c>
      <c r="F97" t="s">
        <v>774</v>
      </c>
      <c r="J97" t="s">
        <v>119</v>
      </c>
      <c r="K97" t="s">
        <v>956</v>
      </c>
      <c r="L97" t="s">
        <v>957</v>
      </c>
      <c r="M97">
        <v>1186</v>
      </c>
      <c r="N97">
        <v>0</v>
      </c>
      <c r="O97" t="s">
        <v>122</v>
      </c>
      <c r="P97" s="1" t="s">
        <v>416</v>
      </c>
      <c r="Q97" t="s">
        <v>223</v>
      </c>
      <c r="R97" t="s">
        <v>148</v>
      </c>
      <c r="S97" t="s">
        <v>958</v>
      </c>
      <c r="T97" t="s">
        <v>151</v>
      </c>
      <c r="U97" t="s">
        <v>128</v>
      </c>
      <c r="V97" t="s">
        <v>236</v>
      </c>
      <c r="W97" t="s">
        <v>959</v>
      </c>
      <c r="X97" t="s">
        <v>302</v>
      </c>
      <c r="Y97" t="s">
        <v>153</v>
      </c>
      <c r="Z97" t="s">
        <v>960</v>
      </c>
      <c r="AA97" t="s">
        <v>961</v>
      </c>
      <c r="AB97" t="s">
        <v>962</v>
      </c>
      <c r="AC97" t="s">
        <v>157</v>
      </c>
      <c r="AE97">
        <v>4</v>
      </c>
      <c r="AF97" s="1" t="s">
        <v>123</v>
      </c>
      <c r="AH97" t="e">
        <f>VLOOKUP(AnalizaCzyste[[#This Row],[Jak się nazywa uczelnia którą ukończyłeś? (proszę o wybranie jednej uczelni podlegającej ocenie)]],KategorieUczelni[],2,0)</f>
        <v>#N/A</v>
      </c>
      <c r="AY97" s="1" t="s">
        <v>123</v>
      </c>
      <c r="CS97" s="1" t="s">
        <v>123</v>
      </c>
      <c r="DC97" s="1" t="s">
        <v>123</v>
      </c>
      <c r="DM97" s="1" t="s">
        <v>123</v>
      </c>
      <c r="EP97" s="1" t="s">
        <v>123</v>
      </c>
      <c r="EQ97" t="s">
        <v>180</v>
      </c>
      <c r="ER97" t="s">
        <v>132</v>
      </c>
      <c r="FP97" s="1" t="s">
        <v>123</v>
      </c>
      <c r="FQ97" t="s">
        <v>132</v>
      </c>
      <c r="GX97" t="s">
        <v>826</v>
      </c>
      <c r="GY97" t="s">
        <v>824</v>
      </c>
      <c r="GZ97" t="s">
        <v>820</v>
      </c>
      <c r="HA97" t="s">
        <v>140</v>
      </c>
      <c r="HB97">
        <v>1993</v>
      </c>
      <c r="HC97" t="str">
        <f>VLOOKUP(AnalizaCzyste[[#This Row],[Rok urodzenia]],KategorieWiekowe[],2,1)</f>
        <v>26-35 lat</v>
      </c>
      <c r="HD97" t="s">
        <v>483</v>
      </c>
    </row>
    <row r="98" spans="1:216" x14ac:dyDescent="0.45">
      <c r="A98">
        <v>184</v>
      </c>
      <c r="B98">
        <f>_xlfn.IFNA(VLOOKUP(AnalizaCzyste[[#This Row],[Zakończono wypełnianie]],Zakończone[],2,0),"BRAK")</f>
        <v>105</v>
      </c>
      <c r="C98">
        <f t="shared" si="2"/>
        <v>35</v>
      </c>
      <c r="D98" t="s">
        <v>1555</v>
      </c>
      <c r="E98" t="s">
        <v>118</v>
      </c>
      <c r="J98" t="s">
        <v>119</v>
      </c>
      <c r="K98" t="s">
        <v>1556</v>
      </c>
      <c r="L98" t="s">
        <v>1557</v>
      </c>
      <c r="M98">
        <v>1119</v>
      </c>
      <c r="N98">
        <v>0</v>
      </c>
      <c r="O98" t="s">
        <v>122</v>
      </c>
      <c r="P98" s="1" t="s">
        <v>123</v>
      </c>
      <c r="AF98" s="1" t="s">
        <v>124</v>
      </c>
      <c r="AG98" t="s">
        <v>191</v>
      </c>
      <c r="AH98" t="str">
        <f>VLOOKUP(AnalizaCzyste[[#This Row],[Jak się nazywa uczelnia którą ukończyłeś? (proszę o wybranie jednej uczelni podlegającej ocenie)]],KategorieUczelni[],2,0)</f>
        <v>Publiczna</v>
      </c>
      <c r="AI98">
        <v>1997</v>
      </c>
      <c r="AJ98" t="s">
        <v>126</v>
      </c>
      <c r="AK98" t="s">
        <v>1558</v>
      </c>
      <c r="AL98" t="s">
        <v>150</v>
      </c>
      <c r="AM98" t="s">
        <v>150</v>
      </c>
      <c r="AN98" t="s">
        <v>150</v>
      </c>
      <c r="AO98" t="s">
        <v>150</v>
      </c>
      <c r="AP98" t="s">
        <v>150</v>
      </c>
      <c r="AQ98" t="s">
        <v>1559</v>
      </c>
      <c r="AR98" t="s">
        <v>132</v>
      </c>
      <c r="AS98" t="s">
        <v>132</v>
      </c>
      <c r="AT98" t="s">
        <v>1560</v>
      </c>
      <c r="AU98" t="s">
        <v>1561</v>
      </c>
      <c r="AV98" t="s">
        <v>1562</v>
      </c>
      <c r="AW98" t="s">
        <v>172</v>
      </c>
      <c r="AY98" s="1" t="s">
        <v>123</v>
      </c>
      <c r="CS98" s="1" t="s">
        <v>123</v>
      </c>
      <c r="DC98" s="1" t="s">
        <v>123</v>
      </c>
      <c r="DM98" s="1" t="s">
        <v>123</v>
      </c>
      <c r="EP98" s="1" t="s">
        <v>123</v>
      </c>
      <c r="FP98" s="1" t="s">
        <v>123</v>
      </c>
      <c r="GX98" t="s">
        <v>1563</v>
      </c>
      <c r="GY98" t="s">
        <v>1564</v>
      </c>
      <c r="GZ98" t="s">
        <v>1565</v>
      </c>
      <c r="HA98" t="s">
        <v>186</v>
      </c>
      <c r="HB98">
        <v>1972</v>
      </c>
      <c r="HC98" t="str">
        <f>VLOOKUP(AnalizaCzyste[[#This Row],[Rok urodzenia]],KategorieWiekowe[],2,1)</f>
        <v>46-55 lat</v>
      </c>
      <c r="HD98" t="s">
        <v>483</v>
      </c>
      <c r="HF98" t="s">
        <v>1566</v>
      </c>
      <c r="HG98" t="s">
        <v>142</v>
      </c>
    </row>
    <row r="99" spans="1:216" x14ac:dyDescent="0.45">
      <c r="A99">
        <v>245</v>
      </c>
      <c r="B99">
        <f>_xlfn.IFNA(VLOOKUP(AnalizaCzyste[[#This Row],[Zakończono wypełnianie]],Zakończone[],2,0),"BRAK")</f>
        <v>131</v>
      </c>
      <c r="C99">
        <f t="shared" ref="C99:C132" si="3">COUNTA(O99:HH99)</f>
        <v>34</v>
      </c>
      <c r="D99" t="s">
        <v>1965</v>
      </c>
      <c r="E99" t="s">
        <v>118</v>
      </c>
      <c r="F99" t="s">
        <v>1966</v>
      </c>
      <c r="J99" t="s">
        <v>119</v>
      </c>
      <c r="K99" t="s">
        <v>1967</v>
      </c>
      <c r="L99" t="s">
        <v>1968</v>
      </c>
      <c r="M99">
        <v>504</v>
      </c>
      <c r="N99">
        <v>0</v>
      </c>
      <c r="O99" t="s">
        <v>122</v>
      </c>
      <c r="P99" s="1" t="s">
        <v>123</v>
      </c>
      <c r="AF99" s="1" t="s">
        <v>124</v>
      </c>
      <c r="AG99" t="s">
        <v>191</v>
      </c>
      <c r="AH99" t="str">
        <f>VLOOKUP(AnalizaCzyste[[#This Row],[Jak się nazywa uczelnia którą ukończyłeś? (proszę o wybranie jednej uczelni podlegającej ocenie)]],KategorieUczelni[],2,0)</f>
        <v>Publiczna</v>
      </c>
      <c r="AI99">
        <v>2003</v>
      </c>
      <c r="AJ99" t="s">
        <v>126</v>
      </c>
      <c r="AK99" t="s">
        <v>127</v>
      </c>
      <c r="AL99" t="s">
        <v>150</v>
      </c>
      <c r="AM99" t="s">
        <v>150</v>
      </c>
      <c r="AN99" t="s">
        <v>162</v>
      </c>
      <c r="AO99" t="s">
        <v>151</v>
      </c>
      <c r="AP99" t="s">
        <v>151</v>
      </c>
      <c r="AQ99" t="s">
        <v>237</v>
      </c>
      <c r="AR99" t="s">
        <v>152</v>
      </c>
      <c r="AS99" t="s">
        <v>131</v>
      </c>
      <c r="AT99" t="s">
        <v>1969</v>
      </c>
      <c r="AU99" t="s">
        <v>1970</v>
      </c>
      <c r="AV99" t="s">
        <v>1971</v>
      </c>
      <c r="AW99" t="s">
        <v>157</v>
      </c>
      <c r="AX99" t="s">
        <v>1972</v>
      </c>
      <c r="AY99" s="1" t="s">
        <v>123</v>
      </c>
      <c r="CS99" s="1" t="s">
        <v>123</v>
      </c>
      <c r="DC99" s="1" t="s">
        <v>123</v>
      </c>
      <c r="DM99" s="1" t="s">
        <v>123</v>
      </c>
      <c r="EP99" s="1" t="s">
        <v>123</v>
      </c>
      <c r="FP99" s="1" t="s">
        <v>123</v>
      </c>
      <c r="GX99" t="s">
        <v>1973</v>
      </c>
      <c r="GY99" t="s">
        <v>1363</v>
      </c>
      <c r="GZ99" t="s">
        <v>1974</v>
      </c>
      <c r="HA99" t="s">
        <v>140</v>
      </c>
      <c r="HB99">
        <v>1979</v>
      </c>
      <c r="HC99" t="str">
        <f>VLOOKUP(AnalizaCzyste[[#This Row],[Rok urodzenia]],KategorieWiekowe[],2,1)</f>
        <v>36-45 lat</v>
      </c>
      <c r="HD99" t="s">
        <v>141</v>
      </c>
    </row>
    <row r="100" spans="1:216" x14ac:dyDescent="0.45">
      <c r="A100">
        <v>16</v>
      </c>
      <c r="B100">
        <f>_xlfn.IFNA(VLOOKUP(AnalizaCzyste[[#This Row],[Zakończono wypełnianie]],Zakończone[],2,0),"BRAK")</f>
        <v>15</v>
      </c>
      <c r="C100">
        <f t="shared" si="3"/>
        <v>36</v>
      </c>
      <c r="D100" t="s">
        <v>347</v>
      </c>
      <c r="E100" t="s">
        <v>118</v>
      </c>
      <c r="J100" t="s">
        <v>119</v>
      </c>
      <c r="K100" t="s">
        <v>348</v>
      </c>
      <c r="L100" t="s">
        <v>349</v>
      </c>
      <c r="M100">
        <v>781</v>
      </c>
      <c r="N100">
        <v>0</v>
      </c>
      <c r="O100" t="s">
        <v>122</v>
      </c>
      <c r="P100" s="1" t="s">
        <v>123</v>
      </c>
      <c r="AF100" s="1" t="s">
        <v>124</v>
      </c>
      <c r="AG100" t="s">
        <v>191</v>
      </c>
      <c r="AH100" t="str">
        <f>VLOOKUP(AnalizaCzyste[[#This Row],[Jak się nazywa uczelnia którą ukończyłeś? (proszę o wybranie jednej uczelni podlegającej ocenie)]],KategorieUczelni[],2,0)</f>
        <v>Publiczna</v>
      </c>
      <c r="AI100">
        <v>2010</v>
      </c>
      <c r="AJ100" t="s">
        <v>126</v>
      </c>
      <c r="AK100" t="s">
        <v>127</v>
      </c>
      <c r="AL100" t="s">
        <v>150</v>
      </c>
      <c r="AM100" t="s">
        <v>128</v>
      </c>
      <c r="AN100" t="s">
        <v>151</v>
      </c>
      <c r="AO100" t="s">
        <v>162</v>
      </c>
      <c r="AP100" t="s">
        <v>162</v>
      </c>
      <c r="AQ100" t="s">
        <v>350</v>
      </c>
      <c r="AR100" t="s">
        <v>302</v>
      </c>
      <c r="AS100" t="s">
        <v>302</v>
      </c>
      <c r="AT100" t="s">
        <v>351</v>
      </c>
      <c r="AU100" t="s">
        <v>352</v>
      </c>
      <c r="AV100" t="s">
        <v>353</v>
      </c>
      <c r="AW100" t="s">
        <v>157</v>
      </c>
      <c r="AY100" s="1" t="s">
        <v>123</v>
      </c>
      <c r="CS100" s="1" t="s">
        <v>123</v>
      </c>
      <c r="DC100" s="1" t="s">
        <v>123</v>
      </c>
      <c r="DM100" s="1" t="s">
        <v>123</v>
      </c>
      <c r="EP100" s="1" t="s">
        <v>123</v>
      </c>
      <c r="ER100" t="s">
        <v>132</v>
      </c>
      <c r="FP100" s="1" t="s">
        <v>123</v>
      </c>
      <c r="FQ100" t="s">
        <v>132</v>
      </c>
      <c r="GX100" t="s">
        <v>354</v>
      </c>
      <c r="GY100" t="s">
        <v>355</v>
      </c>
      <c r="GZ100" t="s">
        <v>356</v>
      </c>
      <c r="HA100" t="s">
        <v>140</v>
      </c>
      <c r="HB100">
        <v>1986</v>
      </c>
      <c r="HC100" t="str">
        <f>VLOOKUP(AnalizaCzyste[[#This Row],[Rok urodzenia]],KategorieWiekowe[],2,1)</f>
        <v>26-35 lat</v>
      </c>
      <c r="HD100" t="s">
        <v>141</v>
      </c>
      <c r="HF100" t="s">
        <v>357</v>
      </c>
    </row>
    <row r="101" spans="1:216" x14ac:dyDescent="0.45">
      <c r="A101">
        <v>236</v>
      </c>
      <c r="B101">
        <f>_xlfn.IFNA(VLOOKUP(AnalizaCzyste[[#This Row],[Zakończono wypełnianie]],Zakończone[],2,0),"BRAK")</f>
        <v>128</v>
      </c>
      <c r="C101">
        <f t="shared" si="3"/>
        <v>36</v>
      </c>
      <c r="D101" t="s">
        <v>1910</v>
      </c>
      <c r="E101" t="s">
        <v>118</v>
      </c>
      <c r="F101" t="s">
        <v>1911</v>
      </c>
      <c r="J101" t="s">
        <v>119</v>
      </c>
      <c r="K101" t="s">
        <v>1912</v>
      </c>
      <c r="L101" t="s">
        <v>1913</v>
      </c>
      <c r="M101">
        <v>1026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 t="str">
        <f>VLOOKUP(AnalizaCzyste[[#This Row],[Jak się nazywa uczelnia którą ukończyłeś? (proszę o wybranie jednej uczelni podlegającej ocenie)]],KategorieUczelni[],2,0)</f>
        <v>Publiczna</v>
      </c>
      <c r="AI101">
        <v>2011</v>
      </c>
      <c r="AJ101" t="s">
        <v>126</v>
      </c>
      <c r="AK101" t="s">
        <v>1914</v>
      </c>
      <c r="AL101" t="s">
        <v>150</v>
      </c>
      <c r="AM101" t="s">
        <v>162</v>
      </c>
      <c r="AN101" t="s">
        <v>150</v>
      </c>
      <c r="AO101" t="s">
        <v>151</v>
      </c>
      <c r="AP101" t="s">
        <v>169</v>
      </c>
      <c r="AQ101" t="s">
        <v>1362</v>
      </c>
      <c r="AR101" t="s">
        <v>131</v>
      </c>
      <c r="AS101" t="s">
        <v>759</v>
      </c>
      <c r="AT101" t="s">
        <v>1915</v>
      </c>
      <c r="AU101" t="s">
        <v>1916</v>
      </c>
      <c r="AV101" t="s">
        <v>1917</v>
      </c>
      <c r="AX101" t="s">
        <v>1918</v>
      </c>
      <c r="AY101" s="1" t="s">
        <v>123</v>
      </c>
      <c r="CS101" s="1" t="s">
        <v>123</v>
      </c>
      <c r="DC101" s="1" t="s">
        <v>123</v>
      </c>
      <c r="DM101" s="1" t="s">
        <v>123</v>
      </c>
      <c r="EP101" s="1" t="s">
        <v>123</v>
      </c>
      <c r="FP101" s="1" t="s">
        <v>123</v>
      </c>
      <c r="GX101" t="s">
        <v>1919</v>
      </c>
      <c r="GY101" t="s">
        <v>1920</v>
      </c>
      <c r="GZ101" t="s">
        <v>1921</v>
      </c>
      <c r="HA101" t="s">
        <v>140</v>
      </c>
      <c r="HB101">
        <v>1987</v>
      </c>
      <c r="HC101" t="str">
        <f>VLOOKUP(AnalizaCzyste[[#This Row],[Rok urodzenia]],KategorieWiekowe[],2,1)</f>
        <v>26-35 lat</v>
      </c>
      <c r="HD101" t="s">
        <v>220</v>
      </c>
      <c r="HF101" t="s">
        <v>1922</v>
      </c>
      <c r="HG101" t="s">
        <v>1923</v>
      </c>
      <c r="HH101" t="s">
        <v>1924</v>
      </c>
    </row>
    <row r="102" spans="1:216" x14ac:dyDescent="0.45">
      <c r="A102">
        <v>10</v>
      </c>
      <c r="B102">
        <f>_xlfn.IFNA(VLOOKUP(AnalizaCzyste[[#This Row],[Zakończono wypełnianie]],Zakończone[],2,0),"BRAK")</f>
        <v>9</v>
      </c>
      <c r="C102">
        <f t="shared" si="3"/>
        <v>35</v>
      </c>
      <c r="D102" t="s">
        <v>288</v>
      </c>
      <c r="E102" t="s">
        <v>118</v>
      </c>
      <c r="J102" t="s">
        <v>119</v>
      </c>
      <c r="K102" t="s">
        <v>289</v>
      </c>
      <c r="L102" t="s">
        <v>290</v>
      </c>
      <c r="M102">
        <v>4259</v>
      </c>
      <c r="N102">
        <v>0</v>
      </c>
      <c r="O102" t="s">
        <v>122</v>
      </c>
      <c r="P102" s="1" t="s">
        <v>123</v>
      </c>
      <c r="AF102" s="1" t="s">
        <v>124</v>
      </c>
      <c r="AG102" t="s">
        <v>191</v>
      </c>
      <c r="AH102" t="str">
        <f>VLOOKUP(AnalizaCzyste[[#This Row],[Jak się nazywa uczelnia którą ukończyłeś? (proszę o wybranie jednej uczelni podlegającej ocenie)]],KategorieUczelni[],2,0)</f>
        <v>Publiczna</v>
      </c>
      <c r="AI102">
        <v>2013</v>
      </c>
      <c r="AJ102" t="s">
        <v>126</v>
      </c>
      <c r="AK102" t="s">
        <v>291</v>
      </c>
      <c r="AL102" t="s">
        <v>150</v>
      </c>
      <c r="AM102" t="s">
        <v>150</v>
      </c>
      <c r="AN102" t="s">
        <v>169</v>
      </c>
      <c r="AO102" t="s">
        <v>151</v>
      </c>
      <c r="AP102" t="s">
        <v>162</v>
      </c>
      <c r="AQ102">
        <v>1</v>
      </c>
      <c r="AR102" t="s">
        <v>131</v>
      </c>
      <c r="AS102" t="s">
        <v>153</v>
      </c>
      <c r="AT102" t="s">
        <v>292</v>
      </c>
      <c r="AU102" t="s">
        <v>293</v>
      </c>
      <c r="AV102" t="s">
        <v>294</v>
      </c>
      <c r="AW102" t="s">
        <v>157</v>
      </c>
      <c r="AY102" s="1" t="s">
        <v>123</v>
      </c>
      <c r="CS102" s="1" t="s">
        <v>123</v>
      </c>
      <c r="DC102" s="1" t="s">
        <v>123</v>
      </c>
      <c r="DM102" s="1" t="s">
        <v>123</v>
      </c>
      <c r="EP102" s="1" t="s">
        <v>123</v>
      </c>
      <c r="FP102" s="1" t="s">
        <v>123</v>
      </c>
      <c r="FQ102" t="s">
        <v>132</v>
      </c>
      <c r="FS102" t="s">
        <v>132</v>
      </c>
      <c r="GX102" t="s">
        <v>295</v>
      </c>
      <c r="GY102" t="s">
        <v>296</v>
      </c>
      <c r="GZ102" t="s">
        <v>297</v>
      </c>
      <c r="HA102" t="s">
        <v>186</v>
      </c>
      <c r="HB102">
        <v>1988</v>
      </c>
      <c r="HC102" t="str">
        <f>VLOOKUP(AnalizaCzyste[[#This Row],[Rok urodzenia]],KategorieWiekowe[],2,1)</f>
        <v>26-35 lat</v>
      </c>
      <c r="HD102" t="s">
        <v>141</v>
      </c>
    </row>
    <row r="103" spans="1:216" x14ac:dyDescent="0.45">
      <c r="A103">
        <v>124</v>
      </c>
      <c r="B103">
        <f>_xlfn.IFNA(VLOOKUP(AnalizaCzyste[[#This Row],[Zakończono wypełnianie]],Zakończone[],2,0),"BRAK")</f>
        <v>73</v>
      </c>
      <c r="C103">
        <f t="shared" si="3"/>
        <v>36</v>
      </c>
      <c r="D103" t="s">
        <v>1151</v>
      </c>
      <c r="E103" t="s">
        <v>118</v>
      </c>
      <c r="F103" t="s">
        <v>1152</v>
      </c>
      <c r="J103" t="s">
        <v>119</v>
      </c>
      <c r="K103" t="s">
        <v>1153</v>
      </c>
      <c r="L103" t="s">
        <v>1154</v>
      </c>
      <c r="M103">
        <v>1159</v>
      </c>
      <c r="N103">
        <v>0</v>
      </c>
      <c r="O103" t="s">
        <v>122</v>
      </c>
      <c r="P103" s="1" t="s">
        <v>123</v>
      </c>
      <c r="AF103" s="1" t="s">
        <v>124</v>
      </c>
      <c r="AG103" t="s">
        <v>191</v>
      </c>
      <c r="AH103" t="str">
        <f>VLOOKUP(AnalizaCzyste[[#This Row],[Jak się nazywa uczelnia którą ukończyłeś? (proszę o wybranie jednej uczelni podlegającej ocenie)]],KategorieUczelni[],2,0)</f>
        <v>Publiczna</v>
      </c>
      <c r="AI103">
        <v>2018</v>
      </c>
      <c r="AJ103" t="s">
        <v>126</v>
      </c>
      <c r="AK103" t="s">
        <v>969</v>
      </c>
      <c r="AL103" t="s">
        <v>150</v>
      </c>
      <c r="AM103" t="s">
        <v>150</v>
      </c>
      <c r="AN103" t="s">
        <v>162</v>
      </c>
      <c r="AO103" t="s">
        <v>128</v>
      </c>
      <c r="AP103" t="s">
        <v>151</v>
      </c>
      <c r="AQ103" t="s">
        <v>530</v>
      </c>
      <c r="AR103" t="s">
        <v>131</v>
      </c>
      <c r="AS103" t="s">
        <v>302</v>
      </c>
      <c r="AT103" t="s">
        <v>1155</v>
      </c>
      <c r="AU103" t="s">
        <v>1156</v>
      </c>
      <c r="AV103" t="s">
        <v>1157</v>
      </c>
      <c r="AW103" t="s">
        <v>230</v>
      </c>
      <c r="AX103" t="s">
        <v>1158</v>
      </c>
      <c r="AY103" s="1" t="s">
        <v>123</v>
      </c>
      <c r="CS103" s="1" t="s">
        <v>123</v>
      </c>
      <c r="DC103" s="1" t="s">
        <v>123</v>
      </c>
      <c r="DM103" s="1" t="s">
        <v>123</v>
      </c>
      <c r="EP103" s="1" t="s">
        <v>123</v>
      </c>
      <c r="FP103" s="1" t="s">
        <v>123</v>
      </c>
      <c r="GX103" t="s">
        <v>1159</v>
      </c>
      <c r="GY103" t="s">
        <v>1160</v>
      </c>
      <c r="GZ103" t="s">
        <v>1161</v>
      </c>
      <c r="HA103" t="s">
        <v>140</v>
      </c>
      <c r="HB103">
        <v>1991</v>
      </c>
      <c r="HC103" t="str">
        <f>VLOOKUP(AnalizaCzyste[[#This Row],[Rok urodzenia]],KategorieWiekowe[],2,1)</f>
        <v>26-35 lat</v>
      </c>
      <c r="HD103" t="s">
        <v>483</v>
      </c>
      <c r="HF103" t="s">
        <v>1162</v>
      </c>
      <c r="HG103" t="s">
        <v>142</v>
      </c>
    </row>
    <row r="104" spans="1:216" x14ac:dyDescent="0.45">
      <c r="A104">
        <v>141</v>
      </c>
      <c r="B104">
        <f>_xlfn.IFNA(VLOOKUP(AnalizaCzyste[[#This Row],[Zakończono wypełnianie]],Zakończone[],2,0),"BRAK")</f>
        <v>85</v>
      </c>
      <c r="C104">
        <f t="shared" si="3"/>
        <v>36</v>
      </c>
      <c r="D104" t="s">
        <v>1322</v>
      </c>
      <c r="E104" t="s">
        <v>118</v>
      </c>
      <c r="J104" t="s">
        <v>119</v>
      </c>
      <c r="K104" t="s">
        <v>1323</v>
      </c>
      <c r="L104" t="s">
        <v>1324</v>
      </c>
      <c r="M104">
        <v>767</v>
      </c>
      <c r="N104">
        <v>0</v>
      </c>
      <c r="O104" t="s">
        <v>122</v>
      </c>
      <c r="P104" s="1" t="s">
        <v>123</v>
      </c>
      <c r="AF104" s="1" t="s">
        <v>124</v>
      </c>
      <c r="AG104" t="s">
        <v>191</v>
      </c>
      <c r="AH104" t="str">
        <f>VLOOKUP(AnalizaCzyste[[#This Row],[Jak się nazywa uczelnia którą ukończyłeś? (proszę o wybranie jednej uczelni podlegającej ocenie)]],KategorieUczelni[],2,0)</f>
        <v>Publiczna</v>
      </c>
      <c r="AI104">
        <v>2018</v>
      </c>
      <c r="AJ104" t="s">
        <v>126</v>
      </c>
      <c r="AK104" t="s">
        <v>1325</v>
      </c>
      <c r="AL104" t="s">
        <v>150</v>
      </c>
      <c r="AM104" t="s">
        <v>150</v>
      </c>
      <c r="AN104" t="s">
        <v>128</v>
      </c>
      <c r="AO104" t="s">
        <v>236</v>
      </c>
      <c r="AP104" t="s">
        <v>128</v>
      </c>
      <c r="AQ104">
        <v>1</v>
      </c>
      <c r="AR104" t="s">
        <v>302</v>
      </c>
      <c r="AS104" t="s">
        <v>226</v>
      </c>
      <c r="AT104" t="s">
        <v>1326</v>
      </c>
      <c r="AU104" t="s">
        <v>1327</v>
      </c>
      <c r="AV104" t="s">
        <v>1328</v>
      </c>
      <c r="AW104" t="s">
        <v>157</v>
      </c>
      <c r="AY104" s="1" t="s">
        <v>123</v>
      </c>
      <c r="CS104" s="1" t="s">
        <v>123</v>
      </c>
      <c r="DC104" s="1" t="s">
        <v>123</v>
      </c>
      <c r="DM104" s="1" t="s">
        <v>123</v>
      </c>
      <c r="EP104" s="1" t="s">
        <v>123</v>
      </c>
      <c r="EQ104" t="s">
        <v>180</v>
      </c>
      <c r="FP104" s="1" t="s">
        <v>123</v>
      </c>
      <c r="GX104" t="s">
        <v>1329</v>
      </c>
      <c r="GY104" t="s">
        <v>1329</v>
      </c>
      <c r="GZ104" t="s">
        <v>132</v>
      </c>
      <c r="HA104" t="s">
        <v>186</v>
      </c>
      <c r="HB104">
        <v>1991</v>
      </c>
      <c r="HC104" t="str">
        <f>VLOOKUP(AnalizaCzyste[[#This Row],[Rok urodzenia]],KategorieWiekowe[],2,1)</f>
        <v>26-35 lat</v>
      </c>
      <c r="HD104" t="s">
        <v>220</v>
      </c>
      <c r="HF104" t="s">
        <v>1330</v>
      </c>
      <c r="HG104" t="s">
        <v>532</v>
      </c>
    </row>
    <row r="105" spans="1:216" x14ac:dyDescent="0.45">
      <c r="A105">
        <v>3</v>
      </c>
      <c r="B105">
        <f>_xlfn.IFNA(VLOOKUP(AnalizaCzyste[[#This Row],[Zakończono wypełnianie]],Zakończone[],2,0),"BRAK")</f>
        <v>3</v>
      </c>
      <c r="C105">
        <f t="shared" si="3"/>
        <v>35</v>
      </c>
      <c r="D105" t="s">
        <v>188</v>
      </c>
      <c r="E105" t="s">
        <v>118</v>
      </c>
      <c r="J105" t="s">
        <v>119</v>
      </c>
      <c r="K105" t="s">
        <v>189</v>
      </c>
      <c r="L105" t="s">
        <v>190</v>
      </c>
      <c r="M105">
        <v>853</v>
      </c>
      <c r="N105">
        <v>0</v>
      </c>
      <c r="O105" t="s">
        <v>122</v>
      </c>
      <c r="P105" s="1" t="s">
        <v>123</v>
      </c>
      <c r="AF105" s="1" t="s">
        <v>124</v>
      </c>
      <c r="AG105" t="s">
        <v>191</v>
      </c>
      <c r="AH105" t="str">
        <f>VLOOKUP(AnalizaCzyste[[#This Row],[Jak się nazywa uczelnia którą ukończyłeś? (proszę o wybranie jednej uczelni podlegającej ocenie)]],KategorieUczelni[],2,0)</f>
        <v>Publiczna</v>
      </c>
      <c r="AI105">
        <v>2017</v>
      </c>
      <c r="AJ105" t="s">
        <v>126</v>
      </c>
      <c r="AK105" t="s">
        <v>192</v>
      </c>
      <c r="AL105" t="s">
        <v>150</v>
      </c>
      <c r="AM105" t="s">
        <v>150</v>
      </c>
      <c r="AN105" t="s">
        <v>162</v>
      </c>
      <c r="AO105" t="s">
        <v>169</v>
      </c>
      <c r="AP105" t="s">
        <v>169</v>
      </c>
      <c r="AQ105" t="s">
        <v>193</v>
      </c>
      <c r="AR105" t="s">
        <v>194</v>
      </c>
      <c r="AS105" t="s">
        <v>194</v>
      </c>
      <c r="AT105" t="s">
        <v>195</v>
      </c>
      <c r="AU105" t="s">
        <v>196</v>
      </c>
      <c r="AV105" t="s">
        <v>197</v>
      </c>
      <c r="AW105" t="s">
        <v>157</v>
      </c>
      <c r="AY105" s="1" t="s">
        <v>123</v>
      </c>
      <c r="CS105" s="1" t="s">
        <v>123</v>
      </c>
      <c r="DC105" s="1" t="s">
        <v>123</v>
      </c>
      <c r="DM105" s="1" t="s">
        <v>123</v>
      </c>
      <c r="EP105" s="1" t="s">
        <v>123</v>
      </c>
      <c r="FP105" s="1" t="s">
        <v>123</v>
      </c>
      <c r="FQ105" t="s">
        <v>132</v>
      </c>
      <c r="GX105" t="s">
        <v>198</v>
      </c>
      <c r="GY105" t="s">
        <v>199</v>
      </c>
      <c r="GZ105" t="s">
        <v>200</v>
      </c>
      <c r="HA105" t="s">
        <v>186</v>
      </c>
      <c r="HB105">
        <v>1991</v>
      </c>
      <c r="HC105" t="str">
        <f>VLOOKUP(AnalizaCzyste[[#This Row],[Rok urodzenia]],KategorieWiekowe[],2,1)</f>
        <v>26-35 lat</v>
      </c>
      <c r="HD105" t="s">
        <v>141</v>
      </c>
      <c r="HF105" t="s">
        <v>201</v>
      </c>
    </row>
    <row r="106" spans="1:216" x14ac:dyDescent="0.45">
      <c r="A106">
        <v>234</v>
      </c>
      <c r="B106">
        <f>_xlfn.IFNA(VLOOKUP(AnalizaCzyste[[#This Row],[Zakończono wypełnianie]],Zakończone[],2,0),"BRAK")</f>
        <v>126</v>
      </c>
      <c r="C106">
        <f t="shared" si="3"/>
        <v>32</v>
      </c>
      <c r="D106" t="s">
        <v>1890</v>
      </c>
      <c r="E106" t="s">
        <v>118</v>
      </c>
      <c r="J106" t="s">
        <v>119</v>
      </c>
      <c r="K106" t="s">
        <v>1891</v>
      </c>
      <c r="L106" t="s">
        <v>1892</v>
      </c>
      <c r="M106">
        <v>680</v>
      </c>
      <c r="N106">
        <v>0</v>
      </c>
      <c r="O106" t="s">
        <v>122</v>
      </c>
      <c r="P106" s="1" t="s">
        <v>123</v>
      </c>
      <c r="AF106" s="1" t="s">
        <v>124</v>
      </c>
      <c r="AG106" t="s">
        <v>191</v>
      </c>
      <c r="AH106" t="str">
        <f>VLOOKUP(AnalizaCzyste[[#This Row],[Jak się nazywa uczelnia którą ukończyłeś? (proszę o wybranie jednej uczelni podlegającej ocenie)]],KategorieUczelni[],2,0)</f>
        <v>Publiczna</v>
      </c>
      <c r="AI106">
        <v>2016</v>
      </c>
      <c r="AJ106" t="s">
        <v>126</v>
      </c>
      <c r="AK106" t="s">
        <v>1893</v>
      </c>
      <c r="AL106" t="s">
        <v>150</v>
      </c>
      <c r="AM106" t="s">
        <v>150</v>
      </c>
      <c r="AN106" t="s">
        <v>150</v>
      </c>
      <c r="AO106" t="s">
        <v>128</v>
      </c>
      <c r="AP106" t="s">
        <v>150</v>
      </c>
      <c r="AQ106" t="s">
        <v>530</v>
      </c>
      <c r="AR106" t="s">
        <v>302</v>
      </c>
      <c r="AS106" t="s">
        <v>226</v>
      </c>
      <c r="AU106" t="s">
        <v>1894</v>
      </c>
      <c r="AV106" t="s">
        <v>1895</v>
      </c>
      <c r="AW106" t="s">
        <v>157</v>
      </c>
      <c r="AY106" s="1" t="s">
        <v>123</v>
      </c>
      <c r="CS106" s="1" t="s">
        <v>123</v>
      </c>
      <c r="DC106" s="1" t="s">
        <v>123</v>
      </c>
      <c r="DM106" s="1" t="s">
        <v>123</v>
      </c>
      <c r="EP106" s="1" t="s">
        <v>123</v>
      </c>
      <c r="FP106" s="1" t="s">
        <v>123</v>
      </c>
      <c r="GX106" t="s">
        <v>1896</v>
      </c>
      <c r="GY106" t="s">
        <v>1897</v>
      </c>
      <c r="GZ106" t="s">
        <v>1898</v>
      </c>
      <c r="HA106" t="s">
        <v>140</v>
      </c>
      <c r="HB106">
        <v>1991</v>
      </c>
      <c r="HC106" t="str">
        <f>VLOOKUP(AnalizaCzyste[[#This Row],[Rok urodzenia]],KategorieWiekowe[],2,1)</f>
        <v>26-35 lat</v>
      </c>
      <c r="HD106" t="s">
        <v>398</v>
      </c>
    </row>
    <row r="107" spans="1:216" x14ac:dyDescent="0.45">
      <c r="A107">
        <v>183</v>
      </c>
      <c r="B107">
        <f>_xlfn.IFNA(VLOOKUP(AnalizaCzyste[[#This Row],[Zakończono wypełnianie]],Zakończone[],2,0),"BRAK")</f>
        <v>104</v>
      </c>
      <c r="C107">
        <f t="shared" si="3"/>
        <v>34</v>
      </c>
      <c r="D107" t="s">
        <v>1545</v>
      </c>
      <c r="E107" t="s">
        <v>118</v>
      </c>
      <c r="J107" t="s">
        <v>119</v>
      </c>
      <c r="K107" t="s">
        <v>1546</v>
      </c>
      <c r="L107" t="s">
        <v>1547</v>
      </c>
      <c r="M107">
        <v>1556</v>
      </c>
      <c r="N107">
        <v>0</v>
      </c>
      <c r="O107" t="s">
        <v>122</v>
      </c>
      <c r="P107" s="1" t="s">
        <v>123</v>
      </c>
      <c r="AF107" s="1" t="s">
        <v>124</v>
      </c>
      <c r="AG107" t="s">
        <v>191</v>
      </c>
      <c r="AH107" t="str">
        <f>VLOOKUP(AnalizaCzyste[[#This Row],[Jak się nazywa uczelnia którą ukończyłeś? (proszę o wybranie jednej uczelni podlegającej ocenie)]],KategorieUczelni[],2,0)</f>
        <v>Publiczna</v>
      </c>
      <c r="AI107">
        <v>2018</v>
      </c>
      <c r="AJ107" t="s">
        <v>126</v>
      </c>
      <c r="AK107" t="s">
        <v>192</v>
      </c>
      <c r="AL107" t="s">
        <v>150</v>
      </c>
      <c r="AM107" t="s">
        <v>162</v>
      </c>
      <c r="AN107" t="s">
        <v>150</v>
      </c>
      <c r="AO107" t="s">
        <v>162</v>
      </c>
      <c r="AP107" t="s">
        <v>169</v>
      </c>
      <c r="AQ107" t="s">
        <v>237</v>
      </c>
      <c r="AR107" t="s">
        <v>153</v>
      </c>
      <c r="AS107" t="s">
        <v>209</v>
      </c>
      <c r="AT107" t="s">
        <v>1548</v>
      </c>
      <c r="AU107" t="s">
        <v>1549</v>
      </c>
      <c r="AV107" t="s">
        <v>1550</v>
      </c>
      <c r="AW107" t="s">
        <v>230</v>
      </c>
      <c r="AY107" s="1" t="s">
        <v>123</v>
      </c>
      <c r="CS107" s="1" t="s">
        <v>123</v>
      </c>
      <c r="DC107" s="1" t="s">
        <v>123</v>
      </c>
      <c r="DM107" s="1" t="s">
        <v>123</v>
      </c>
      <c r="EP107" s="1" t="s">
        <v>123</v>
      </c>
      <c r="FP107" s="1" t="s">
        <v>123</v>
      </c>
      <c r="GX107" t="s">
        <v>1551</v>
      </c>
      <c r="GY107" t="s">
        <v>1552</v>
      </c>
      <c r="GZ107" t="s">
        <v>1553</v>
      </c>
      <c r="HA107" t="s">
        <v>186</v>
      </c>
      <c r="HB107">
        <v>1994</v>
      </c>
      <c r="HC107" t="str">
        <f>VLOOKUP(AnalizaCzyste[[#This Row],[Rok urodzenia]],KategorieWiekowe[],2,1)</f>
        <v>26-35 lat</v>
      </c>
      <c r="HD107" t="s">
        <v>483</v>
      </c>
      <c r="HF107" t="s">
        <v>1554</v>
      </c>
    </row>
    <row r="108" spans="1:216" x14ac:dyDescent="0.45">
      <c r="A108">
        <v>211</v>
      </c>
      <c r="B108">
        <f>_xlfn.IFNA(VLOOKUP(AnalizaCzyste[[#This Row],[Zakończono wypełnianie]],Zakończone[],2,0),"BRAK")</f>
        <v>115</v>
      </c>
      <c r="C108">
        <f t="shared" si="3"/>
        <v>37</v>
      </c>
      <c r="D108" t="s">
        <v>1572</v>
      </c>
      <c r="E108" t="s">
        <v>118</v>
      </c>
      <c r="J108" t="s">
        <v>119</v>
      </c>
      <c r="K108" t="s">
        <v>1738</v>
      </c>
      <c r="L108" t="s">
        <v>1739</v>
      </c>
      <c r="M108">
        <v>1112</v>
      </c>
      <c r="N108">
        <v>0</v>
      </c>
      <c r="O108" t="s">
        <v>122</v>
      </c>
      <c r="P108" s="1" t="s">
        <v>123</v>
      </c>
      <c r="AF108" s="1" t="s">
        <v>124</v>
      </c>
      <c r="AG108" s="20" t="s">
        <v>191</v>
      </c>
      <c r="AH108" s="20" t="str">
        <f>VLOOKUP(AnalizaCzyste[[#This Row],[Jak się nazywa uczelnia którą ukończyłeś? (proszę o wybranie jednej uczelni podlegającej ocenie)]],KategorieUczelni[],2,0)</f>
        <v>Publiczna</v>
      </c>
      <c r="AI108">
        <v>2001</v>
      </c>
      <c r="AJ108" t="s">
        <v>126</v>
      </c>
      <c r="AK108" t="s">
        <v>1339</v>
      </c>
      <c r="AL108" t="s">
        <v>150</v>
      </c>
      <c r="AM108" t="s">
        <v>150</v>
      </c>
      <c r="AN108" t="s">
        <v>150</v>
      </c>
      <c r="AO108" t="s">
        <v>162</v>
      </c>
      <c r="AP108" t="s">
        <v>162</v>
      </c>
      <c r="AQ108" t="s">
        <v>1740</v>
      </c>
      <c r="AR108" t="s">
        <v>131</v>
      </c>
      <c r="AS108" t="s">
        <v>302</v>
      </c>
      <c r="AT108" t="s">
        <v>1741</v>
      </c>
      <c r="AU108" t="s">
        <v>1742</v>
      </c>
      <c r="AV108" t="s">
        <v>1743</v>
      </c>
      <c r="AW108" t="s">
        <v>157</v>
      </c>
      <c r="AX108" t="s">
        <v>1744</v>
      </c>
      <c r="AY108" s="1" t="s">
        <v>123</v>
      </c>
      <c r="CS108" s="1" t="s">
        <v>123</v>
      </c>
      <c r="DC108" s="1" t="s">
        <v>123</v>
      </c>
      <c r="DM108" s="1" t="s">
        <v>123</v>
      </c>
      <c r="EP108" s="1" t="s">
        <v>123</v>
      </c>
      <c r="FP108" s="1" t="s">
        <v>123</v>
      </c>
      <c r="GX108" t="s">
        <v>1745</v>
      </c>
      <c r="GY108" t="s">
        <v>1746</v>
      </c>
      <c r="GZ108" t="s">
        <v>1747</v>
      </c>
      <c r="HA108" t="s">
        <v>186</v>
      </c>
      <c r="HB108">
        <v>1976</v>
      </c>
      <c r="HC108" t="str">
        <f>VLOOKUP(AnalizaCzyste[[#This Row],[Rok urodzenia]],KategorieWiekowe[],2,1)</f>
        <v>36-45 lat</v>
      </c>
      <c r="HD108" t="s">
        <v>141</v>
      </c>
      <c r="HF108" t="s">
        <v>1748</v>
      </c>
      <c r="HG108" t="s">
        <v>1749</v>
      </c>
      <c r="HH108" t="s">
        <v>1750</v>
      </c>
    </row>
    <row r="109" spans="1:216" x14ac:dyDescent="0.45">
      <c r="A109">
        <v>162</v>
      </c>
      <c r="B109">
        <f>_xlfn.IFNA(VLOOKUP(AnalizaCzyste[[#This Row],[Zakończono wypełnianie]],Zakończone[],2,0),"BRAK")</f>
        <v>93</v>
      </c>
      <c r="C109">
        <f t="shared" si="3"/>
        <v>33</v>
      </c>
      <c r="D109" t="s">
        <v>1352</v>
      </c>
      <c r="E109" t="s">
        <v>118</v>
      </c>
      <c r="J109" t="s">
        <v>119</v>
      </c>
      <c r="K109" t="s">
        <v>1426</v>
      </c>
      <c r="L109" t="s">
        <v>1427</v>
      </c>
      <c r="M109">
        <v>490</v>
      </c>
      <c r="N109">
        <v>0</v>
      </c>
      <c r="O109" t="s">
        <v>122</v>
      </c>
      <c r="P109" s="1" t="s">
        <v>123</v>
      </c>
      <c r="AF109" s="1" t="s">
        <v>124</v>
      </c>
      <c r="AG109" t="s">
        <v>1415</v>
      </c>
      <c r="AH109" t="str">
        <f>VLOOKUP(AnalizaCzyste[[#This Row],[Jak się nazywa uczelnia którą ukończyłeś? (proszę o wybranie jednej uczelni podlegającej ocenie)]],KategorieUczelni[],2,0)</f>
        <v>Publiczna</v>
      </c>
      <c r="AI109">
        <v>2006</v>
      </c>
      <c r="AJ109" t="s">
        <v>126</v>
      </c>
      <c r="AK109" t="s">
        <v>192</v>
      </c>
      <c r="AL109" t="s">
        <v>150</v>
      </c>
      <c r="AM109" t="s">
        <v>150</v>
      </c>
      <c r="AN109" t="s">
        <v>169</v>
      </c>
      <c r="AO109" t="s">
        <v>150</v>
      </c>
      <c r="AP109" t="s">
        <v>150</v>
      </c>
      <c r="AQ109" t="s">
        <v>237</v>
      </c>
      <c r="AR109" t="s">
        <v>226</v>
      </c>
      <c r="AS109" t="s">
        <v>1428</v>
      </c>
      <c r="AT109" t="s">
        <v>1429</v>
      </c>
      <c r="AU109" t="s">
        <v>1430</v>
      </c>
      <c r="AV109" t="s">
        <v>1431</v>
      </c>
      <c r="AW109" t="s">
        <v>157</v>
      </c>
      <c r="AY109" s="1" t="s">
        <v>123</v>
      </c>
      <c r="CS109" s="1" t="s">
        <v>123</v>
      </c>
      <c r="DC109" s="1" t="s">
        <v>123</v>
      </c>
      <c r="DM109" s="1" t="s">
        <v>123</v>
      </c>
      <c r="EP109" s="1" t="s">
        <v>123</v>
      </c>
      <c r="FP109" s="1" t="s">
        <v>123</v>
      </c>
      <c r="GX109" t="s">
        <v>1432</v>
      </c>
      <c r="GY109" t="s">
        <v>1433</v>
      </c>
      <c r="GZ109" t="s">
        <v>1434</v>
      </c>
      <c r="HA109" t="s">
        <v>186</v>
      </c>
      <c r="HB109">
        <v>1982</v>
      </c>
      <c r="HC109" t="str">
        <f>VLOOKUP(AnalizaCzyste[[#This Row],[Rok urodzenia]],KategorieWiekowe[],2,1)</f>
        <v>36-45 lat</v>
      </c>
      <c r="HD109" t="s">
        <v>141</v>
      </c>
    </row>
    <row r="110" spans="1:216" x14ac:dyDescent="0.45">
      <c r="A110">
        <v>117</v>
      </c>
      <c r="B110">
        <f>_xlfn.IFNA(VLOOKUP(AnalizaCzyste[[#This Row],[Zakończono wypełnianie]],Zakończone[],2,0),"BRAK")</f>
        <v>70</v>
      </c>
      <c r="C110">
        <f t="shared" si="3"/>
        <v>32</v>
      </c>
      <c r="D110" t="s">
        <v>1098</v>
      </c>
      <c r="E110" t="s">
        <v>118</v>
      </c>
      <c r="J110" t="s">
        <v>119</v>
      </c>
      <c r="K110" t="s">
        <v>1099</v>
      </c>
      <c r="L110" t="s">
        <v>1100</v>
      </c>
      <c r="M110">
        <v>358</v>
      </c>
      <c r="N110">
        <v>0</v>
      </c>
      <c r="O110" t="s">
        <v>122</v>
      </c>
      <c r="P110" s="1" t="s">
        <v>123</v>
      </c>
      <c r="AF110" s="1" t="s">
        <v>124</v>
      </c>
      <c r="AG110" t="s">
        <v>1090</v>
      </c>
      <c r="AH110" t="str">
        <f>VLOOKUP(AnalizaCzyste[[#This Row],[Jak się nazywa uczelnia którą ukończyłeś? (proszę o wybranie jednej uczelni podlegającej ocenie)]],KategorieUczelni[],2,0)</f>
        <v>Publiczna</v>
      </c>
      <c r="AI110">
        <v>2018</v>
      </c>
      <c r="AJ110" t="s">
        <v>126</v>
      </c>
      <c r="AK110" t="s">
        <v>844</v>
      </c>
      <c r="AL110" t="s">
        <v>150</v>
      </c>
      <c r="AM110" t="s">
        <v>151</v>
      </c>
      <c r="AN110" t="s">
        <v>162</v>
      </c>
      <c r="AO110" t="s">
        <v>150</v>
      </c>
      <c r="AP110" t="s">
        <v>132</v>
      </c>
      <c r="AQ110">
        <v>1</v>
      </c>
      <c r="AR110" t="s">
        <v>153</v>
      </c>
      <c r="AS110" t="s">
        <v>132</v>
      </c>
      <c r="AU110" t="s">
        <v>1101</v>
      </c>
      <c r="AV110" t="s">
        <v>1102</v>
      </c>
      <c r="AW110" t="s">
        <v>157</v>
      </c>
      <c r="AY110" s="1" t="s">
        <v>123</v>
      </c>
      <c r="CS110" s="1" t="s">
        <v>123</v>
      </c>
      <c r="DC110" s="1" t="s">
        <v>123</v>
      </c>
      <c r="DM110" s="1" t="s">
        <v>123</v>
      </c>
      <c r="EP110" s="1" t="s">
        <v>123</v>
      </c>
      <c r="FP110" s="1" t="s">
        <v>123</v>
      </c>
      <c r="GX110" t="s">
        <v>1103</v>
      </c>
      <c r="GY110" t="s">
        <v>1104</v>
      </c>
      <c r="GZ110" t="s">
        <v>1105</v>
      </c>
      <c r="HA110" t="s">
        <v>140</v>
      </c>
      <c r="HB110">
        <v>1991</v>
      </c>
      <c r="HC110" t="str">
        <f>VLOOKUP(AnalizaCzyste[[#This Row],[Rok urodzenia]],KategorieWiekowe[],2,1)</f>
        <v>26-35 lat</v>
      </c>
      <c r="HD110" t="s">
        <v>141</v>
      </c>
    </row>
    <row r="111" spans="1:216" x14ac:dyDescent="0.45">
      <c r="A111">
        <v>84</v>
      </c>
      <c r="B111">
        <f>_xlfn.IFNA(VLOOKUP(AnalizaCzyste[[#This Row],[Zakończono wypełnianie]],Zakończone[],2,0),"BRAK")</f>
        <v>49</v>
      </c>
      <c r="C111">
        <f t="shared" si="3"/>
        <v>51</v>
      </c>
      <c r="D111" t="s">
        <v>854</v>
      </c>
      <c r="E111" t="s">
        <v>118</v>
      </c>
      <c r="J111" t="s">
        <v>119</v>
      </c>
      <c r="K111" t="s">
        <v>855</v>
      </c>
      <c r="L111" t="s">
        <v>856</v>
      </c>
      <c r="M111">
        <v>1349</v>
      </c>
      <c r="N111">
        <v>0</v>
      </c>
      <c r="O111" t="s">
        <v>122</v>
      </c>
      <c r="P111" s="1" t="s">
        <v>416</v>
      </c>
      <c r="Q111" t="s">
        <v>179</v>
      </c>
      <c r="R111" t="s">
        <v>148</v>
      </c>
      <c r="S111" t="s">
        <v>857</v>
      </c>
      <c r="T111" t="s">
        <v>162</v>
      </c>
      <c r="U111" t="s">
        <v>162</v>
      </c>
      <c r="V111" t="s">
        <v>151</v>
      </c>
      <c r="W111" t="s">
        <v>718</v>
      </c>
      <c r="X111" t="s">
        <v>152</v>
      </c>
      <c r="Y111" t="s">
        <v>759</v>
      </c>
      <c r="Z111" t="s">
        <v>858</v>
      </c>
      <c r="AA111" t="s">
        <v>859</v>
      </c>
      <c r="AB111" t="s">
        <v>860</v>
      </c>
      <c r="AD111" t="s">
        <v>861</v>
      </c>
      <c r="AE111">
        <v>2</v>
      </c>
      <c r="AF111" s="1" t="s">
        <v>124</v>
      </c>
      <c r="AG111" t="s">
        <v>862</v>
      </c>
      <c r="AH111" t="str">
        <f>VLOOKUP(AnalizaCzyste[[#This Row],[Jak się nazywa uczelnia którą ukończyłeś? (proszę o wybranie jednej uczelni podlegającej ocenie)]],KategorieUczelni[],2,0)</f>
        <v>Publiczna</v>
      </c>
      <c r="AI111">
        <v>2019</v>
      </c>
      <c r="AJ111" t="s">
        <v>148</v>
      </c>
      <c r="AK111" t="s">
        <v>863</v>
      </c>
      <c r="AL111" t="s">
        <v>150</v>
      </c>
      <c r="AM111" t="s">
        <v>150</v>
      </c>
      <c r="AN111" t="s">
        <v>169</v>
      </c>
      <c r="AO111" t="s">
        <v>151</v>
      </c>
      <c r="AP111" t="s">
        <v>150</v>
      </c>
      <c r="AQ111" t="s">
        <v>864</v>
      </c>
      <c r="AR111" t="s">
        <v>302</v>
      </c>
      <c r="AS111" t="s">
        <v>759</v>
      </c>
      <c r="AT111" t="s">
        <v>865</v>
      </c>
      <c r="AU111" t="s">
        <v>866</v>
      </c>
      <c r="AV111" t="s">
        <v>867</v>
      </c>
      <c r="AW111" t="s">
        <v>157</v>
      </c>
      <c r="AY111" s="1" t="s">
        <v>123</v>
      </c>
      <c r="CS111" s="1" t="s">
        <v>123</v>
      </c>
      <c r="DC111" s="1" t="s">
        <v>123</v>
      </c>
      <c r="DM111" s="1" t="s">
        <v>123</v>
      </c>
      <c r="EP111" s="1" t="s">
        <v>123</v>
      </c>
      <c r="FP111" s="1" t="s">
        <v>123</v>
      </c>
      <c r="FQ111" t="s">
        <v>132</v>
      </c>
      <c r="GX111" t="s">
        <v>868</v>
      </c>
      <c r="GY111" t="s">
        <v>869</v>
      </c>
      <c r="GZ111" t="s">
        <v>870</v>
      </c>
      <c r="HA111" t="s">
        <v>186</v>
      </c>
      <c r="HB111">
        <v>1991</v>
      </c>
      <c r="HC111" t="str">
        <f>VLOOKUP(AnalizaCzyste[[#This Row],[Rok urodzenia]],KategorieWiekowe[],2,1)</f>
        <v>26-35 lat</v>
      </c>
      <c r="HD111" t="s">
        <v>220</v>
      </c>
      <c r="HE111" t="s">
        <v>871</v>
      </c>
      <c r="HF111" t="s">
        <v>872</v>
      </c>
      <c r="HG111" t="s">
        <v>386</v>
      </c>
    </row>
    <row r="112" spans="1:216" x14ac:dyDescent="0.45">
      <c r="A112">
        <v>111</v>
      </c>
      <c r="B112">
        <f>_xlfn.IFNA(VLOOKUP(AnalizaCzyste[[#This Row],[Zakończono wypełnianie]],Zakończone[],2,0),"BRAK")</f>
        <v>66</v>
      </c>
      <c r="C112">
        <f t="shared" si="3"/>
        <v>39</v>
      </c>
      <c r="D112" t="s">
        <v>1046</v>
      </c>
      <c r="E112" t="s">
        <v>118</v>
      </c>
      <c r="J112" t="s">
        <v>119</v>
      </c>
      <c r="K112" t="s">
        <v>1047</v>
      </c>
      <c r="L112" t="s">
        <v>1048</v>
      </c>
      <c r="M112">
        <v>1978</v>
      </c>
      <c r="N112">
        <v>0</v>
      </c>
      <c r="O112" t="s">
        <v>122</v>
      </c>
      <c r="P112" s="1" t="s">
        <v>123</v>
      </c>
      <c r="AF112" s="1" t="s">
        <v>124</v>
      </c>
      <c r="AG112" t="s">
        <v>1290</v>
      </c>
      <c r="AH112" t="str">
        <f>VLOOKUP(AnalizaCzyste[[#This Row],[Jak się nazywa uczelnia którą ukończyłeś? (proszę o wybranie jednej uczelni podlegającej ocenie)]],KategorieUczelni[],2,0)</f>
        <v>Niepubliczna</v>
      </c>
      <c r="AI112">
        <v>2009</v>
      </c>
      <c r="AJ112" t="s">
        <v>148</v>
      </c>
      <c r="AK112" t="s">
        <v>1050</v>
      </c>
      <c r="AL112" t="s">
        <v>150</v>
      </c>
      <c r="AM112" t="s">
        <v>162</v>
      </c>
      <c r="AN112" t="s">
        <v>169</v>
      </c>
      <c r="AO112" t="s">
        <v>162</v>
      </c>
      <c r="AP112" t="s">
        <v>150</v>
      </c>
      <c r="AQ112" t="s">
        <v>1051</v>
      </c>
      <c r="AR112" t="s">
        <v>302</v>
      </c>
      <c r="AS112" t="s">
        <v>153</v>
      </c>
      <c r="AT112" t="s">
        <v>1052</v>
      </c>
      <c r="AU112" t="s">
        <v>1053</v>
      </c>
      <c r="AV112" t="s">
        <v>1054</v>
      </c>
      <c r="AW112" t="s">
        <v>230</v>
      </c>
      <c r="AX112" t="s">
        <v>1050</v>
      </c>
      <c r="AY112" s="1" t="s">
        <v>123</v>
      </c>
      <c r="CS112" s="1" t="s">
        <v>123</v>
      </c>
      <c r="DC112" s="1" t="s">
        <v>123</v>
      </c>
      <c r="DM112" s="1" t="s">
        <v>123</v>
      </c>
      <c r="EP112" s="1" t="s">
        <v>123</v>
      </c>
      <c r="EQ112" t="s">
        <v>180</v>
      </c>
      <c r="ER112" t="s">
        <v>132</v>
      </c>
      <c r="FP112" s="1" t="s">
        <v>123</v>
      </c>
      <c r="FQ112" t="s">
        <v>132</v>
      </c>
      <c r="FS112" t="s">
        <v>132</v>
      </c>
      <c r="GX112" t="s">
        <v>1055</v>
      </c>
      <c r="GY112" t="s">
        <v>1056</v>
      </c>
      <c r="GZ112" t="s">
        <v>1057</v>
      </c>
      <c r="HA112" t="s">
        <v>186</v>
      </c>
      <c r="HB112">
        <v>1978</v>
      </c>
      <c r="HC112" t="str">
        <f>VLOOKUP(AnalizaCzyste[[#This Row],[Rok urodzenia]],KategorieWiekowe[],2,1)</f>
        <v>36-45 lat</v>
      </c>
      <c r="HD112" t="s">
        <v>141</v>
      </c>
      <c r="HF112" t="s">
        <v>1058</v>
      </c>
    </row>
    <row r="113" spans="1:216" x14ac:dyDescent="0.45">
      <c r="A113">
        <v>41</v>
      </c>
      <c r="B113">
        <f>_xlfn.IFNA(VLOOKUP(AnalizaCzyste[[#This Row],[Zakończono wypełnianie]],Zakończone[],2,0),"BRAK")</f>
        <v>27</v>
      </c>
      <c r="C113">
        <f t="shared" si="3"/>
        <v>33</v>
      </c>
      <c r="D113" t="s">
        <v>527</v>
      </c>
      <c r="E113" t="s">
        <v>118</v>
      </c>
      <c r="J113" t="s">
        <v>119</v>
      </c>
      <c r="K113" t="s">
        <v>528</v>
      </c>
      <c r="L113" t="s">
        <v>529</v>
      </c>
      <c r="M113">
        <v>283</v>
      </c>
      <c r="N113">
        <v>0</v>
      </c>
      <c r="O113" t="s">
        <v>122</v>
      </c>
      <c r="P113" s="1" t="s">
        <v>416</v>
      </c>
      <c r="Q113" t="s">
        <v>445</v>
      </c>
      <c r="R113" t="s">
        <v>148</v>
      </c>
      <c r="S113" t="s">
        <v>461</v>
      </c>
      <c r="T113" t="s">
        <v>169</v>
      </c>
      <c r="U113" t="s">
        <v>162</v>
      </c>
      <c r="V113" t="s">
        <v>162</v>
      </c>
      <c r="W113" t="s">
        <v>530</v>
      </c>
      <c r="X113" t="s">
        <v>131</v>
      </c>
      <c r="Y113" t="s">
        <v>153</v>
      </c>
      <c r="AA113" t="s">
        <v>531</v>
      </c>
      <c r="AB113" t="s">
        <v>532</v>
      </c>
      <c r="AC113" t="s">
        <v>172</v>
      </c>
      <c r="AE113">
        <v>6</v>
      </c>
      <c r="AF113" s="1" t="s">
        <v>123</v>
      </c>
      <c r="AH113" t="e">
        <f>VLOOKUP(AnalizaCzyste[[#This Row],[Jak się nazywa uczelnia którą ukończyłeś? (proszę o wybranie jednej uczelni podlegającej ocenie)]],KategorieUczelni[],2,0)</f>
        <v>#N/A</v>
      </c>
      <c r="AY113" s="1" t="s">
        <v>123</v>
      </c>
      <c r="CS113" s="1" t="s">
        <v>123</v>
      </c>
      <c r="DC113" s="1" t="s">
        <v>123</v>
      </c>
      <c r="DM113" s="1" t="s">
        <v>123</v>
      </c>
      <c r="EP113" s="1" t="s">
        <v>123</v>
      </c>
      <c r="FP113" s="1" t="s">
        <v>123</v>
      </c>
      <c r="FQ113" t="s">
        <v>132</v>
      </c>
      <c r="GX113" t="s">
        <v>534</v>
      </c>
      <c r="GY113" t="s">
        <v>535</v>
      </c>
      <c r="GZ113" t="s">
        <v>532</v>
      </c>
      <c r="HA113" t="s">
        <v>140</v>
      </c>
      <c r="HB113">
        <v>1996</v>
      </c>
      <c r="HC113" t="str">
        <f>VLOOKUP(AnalizaCzyste[[#This Row],[Rok urodzenia]],KategorieWiekowe[],2,1)</f>
        <v>poniżej 26 lat</v>
      </c>
      <c r="HD113" t="s">
        <v>483</v>
      </c>
      <c r="HF113" t="s">
        <v>536</v>
      </c>
      <c r="HG113" t="s">
        <v>537</v>
      </c>
    </row>
    <row r="114" spans="1:216" x14ac:dyDescent="0.45">
      <c r="A114">
        <v>53</v>
      </c>
      <c r="B114">
        <f>_xlfn.IFNA(VLOOKUP(AnalizaCzyste[[#This Row],[Zakończono wypełnianie]],Zakończone[],2,0),"BRAK")</f>
        <v>32</v>
      </c>
      <c r="C114">
        <f t="shared" si="3"/>
        <v>33</v>
      </c>
      <c r="D114" t="s">
        <v>610</v>
      </c>
      <c r="E114" t="s">
        <v>118</v>
      </c>
      <c r="F114" t="s">
        <v>548</v>
      </c>
      <c r="J114" t="s">
        <v>119</v>
      </c>
      <c r="K114" t="s">
        <v>611</v>
      </c>
      <c r="L114" t="s">
        <v>612</v>
      </c>
      <c r="M114">
        <v>551</v>
      </c>
      <c r="N114">
        <v>0</v>
      </c>
      <c r="O114" t="s">
        <v>122</v>
      </c>
      <c r="P114" s="1" t="s">
        <v>416</v>
      </c>
      <c r="Q114" t="s">
        <v>445</v>
      </c>
      <c r="R114" t="s">
        <v>148</v>
      </c>
      <c r="S114" t="s">
        <v>613</v>
      </c>
      <c r="T114" t="s">
        <v>150</v>
      </c>
      <c r="U114" t="s">
        <v>150</v>
      </c>
      <c r="V114" t="s">
        <v>151</v>
      </c>
      <c r="W114" t="s">
        <v>530</v>
      </c>
      <c r="X114" t="s">
        <v>131</v>
      </c>
      <c r="Y114" t="s">
        <v>302</v>
      </c>
      <c r="Z114" t="s">
        <v>614</v>
      </c>
      <c r="AA114" t="s">
        <v>615</v>
      </c>
      <c r="AB114" t="s">
        <v>616</v>
      </c>
      <c r="AC114" t="s">
        <v>172</v>
      </c>
      <c r="AE114">
        <v>6</v>
      </c>
      <c r="AF114" s="1" t="s">
        <v>123</v>
      </c>
      <c r="AH114" t="e">
        <f>VLOOKUP(AnalizaCzyste[[#This Row],[Jak się nazywa uczelnia którą ukończyłeś? (proszę o wybranie jednej uczelni podlegającej ocenie)]],KategorieUczelni[],2,0)</f>
        <v>#N/A</v>
      </c>
      <c r="AY114" s="1" t="s">
        <v>123</v>
      </c>
      <c r="CS114" s="1" t="s">
        <v>123</v>
      </c>
      <c r="DC114" s="1" t="s">
        <v>123</v>
      </c>
      <c r="DM114" s="1" t="s">
        <v>123</v>
      </c>
      <c r="EP114" s="1" t="s">
        <v>123</v>
      </c>
      <c r="FP114" s="1" t="s">
        <v>123</v>
      </c>
      <c r="FQ114" t="s">
        <v>132</v>
      </c>
      <c r="GX114" t="s">
        <v>617</v>
      </c>
      <c r="GY114" t="s">
        <v>618</v>
      </c>
      <c r="GZ114" t="s">
        <v>619</v>
      </c>
      <c r="HA114" t="s">
        <v>140</v>
      </c>
      <c r="HB114">
        <v>1998</v>
      </c>
      <c r="HC114" t="str">
        <f>VLOOKUP(AnalizaCzyste[[#This Row],[Rok urodzenia]],KategorieWiekowe[],2,1)</f>
        <v>poniżej 26 lat</v>
      </c>
      <c r="HD114" t="s">
        <v>398</v>
      </c>
      <c r="HF114" t="s">
        <v>620</v>
      </c>
    </row>
    <row r="115" spans="1:216" x14ac:dyDescent="0.45">
      <c r="A115">
        <v>54</v>
      </c>
      <c r="B115">
        <f>_xlfn.IFNA(VLOOKUP(AnalizaCzyste[[#This Row],[Zakończono wypełnianie]],Zakończone[],2,0),"BRAK")</f>
        <v>33</v>
      </c>
      <c r="C115">
        <f t="shared" si="3"/>
        <v>33</v>
      </c>
      <c r="D115" t="s">
        <v>621</v>
      </c>
      <c r="E115" t="s">
        <v>118</v>
      </c>
      <c r="F115" t="s">
        <v>359</v>
      </c>
      <c r="J115" t="s">
        <v>119</v>
      </c>
      <c r="K115" t="s">
        <v>622</v>
      </c>
      <c r="L115" t="s">
        <v>623</v>
      </c>
      <c r="M115">
        <v>595</v>
      </c>
      <c r="N115">
        <v>0</v>
      </c>
      <c r="O115" t="s">
        <v>122</v>
      </c>
      <c r="P115" s="1" t="s">
        <v>416</v>
      </c>
      <c r="Q115" t="s">
        <v>445</v>
      </c>
      <c r="R115" t="s">
        <v>148</v>
      </c>
      <c r="S115" t="s">
        <v>624</v>
      </c>
      <c r="T115" t="s">
        <v>150</v>
      </c>
      <c r="U115" t="s">
        <v>150</v>
      </c>
      <c r="V115" t="s">
        <v>169</v>
      </c>
      <c r="W115">
        <v>12</v>
      </c>
      <c r="X115" t="s">
        <v>302</v>
      </c>
      <c r="Y115" t="s">
        <v>226</v>
      </c>
      <c r="AA115" t="s">
        <v>625</v>
      </c>
      <c r="AB115" t="s">
        <v>626</v>
      </c>
      <c r="AC115" t="s">
        <v>172</v>
      </c>
      <c r="AE115">
        <v>4</v>
      </c>
      <c r="AF115" s="1" t="s">
        <v>123</v>
      </c>
      <c r="AH115" t="e">
        <f>VLOOKUP(AnalizaCzyste[[#This Row],[Jak się nazywa uczelnia którą ukończyłeś? (proszę o wybranie jednej uczelni podlegającej ocenie)]],KategorieUczelni[],2,0)</f>
        <v>#N/A</v>
      </c>
      <c r="AY115" s="1" t="s">
        <v>123</v>
      </c>
      <c r="CS115" s="1" t="s">
        <v>123</v>
      </c>
      <c r="DC115" s="1" t="s">
        <v>123</v>
      </c>
      <c r="DM115" s="1" t="s">
        <v>123</v>
      </c>
      <c r="EP115" s="1" t="s">
        <v>123</v>
      </c>
      <c r="FP115" s="1" t="s">
        <v>123</v>
      </c>
      <c r="FQ115" t="s">
        <v>132</v>
      </c>
      <c r="GX115" t="s">
        <v>627</v>
      </c>
      <c r="GY115" t="s">
        <v>628</v>
      </c>
      <c r="GZ115" t="s">
        <v>629</v>
      </c>
      <c r="HA115" t="s">
        <v>186</v>
      </c>
      <c r="HB115" t="s">
        <v>630</v>
      </c>
      <c r="HC115" t="e">
        <f>VLOOKUP(AnalizaCzyste[[#This Row],[Rok urodzenia]],KategorieWiekowe[],2,1)</f>
        <v>#N/A</v>
      </c>
      <c r="HD115" t="s">
        <v>398</v>
      </c>
      <c r="HF115" t="s">
        <v>631</v>
      </c>
      <c r="HG115" t="s">
        <v>632</v>
      </c>
    </row>
    <row r="116" spans="1:216" x14ac:dyDescent="0.45">
      <c r="A116">
        <v>102</v>
      </c>
      <c r="B116">
        <f>_xlfn.IFNA(VLOOKUP(AnalizaCzyste[[#This Row],[Zakończono wypełnianie]],Zakończone[],2,0),"BRAK")</f>
        <v>63</v>
      </c>
      <c r="C116">
        <f t="shared" si="3"/>
        <v>46</v>
      </c>
      <c r="D116" t="s">
        <v>999</v>
      </c>
      <c r="E116" t="s">
        <v>118</v>
      </c>
      <c r="F116" t="s">
        <v>260</v>
      </c>
      <c r="J116" t="s">
        <v>119</v>
      </c>
      <c r="K116" t="s">
        <v>1000</v>
      </c>
      <c r="L116" t="s">
        <v>1001</v>
      </c>
      <c r="M116">
        <v>18013</v>
      </c>
      <c r="N116">
        <v>0</v>
      </c>
      <c r="O116" t="s">
        <v>122</v>
      </c>
      <c r="P116" s="1" t="s">
        <v>123</v>
      </c>
      <c r="AF116" s="1" t="s">
        <v>124</v>
      </c>
      <c r="AG116" t="s">
        <v>2271</v>
      </c>
      <c r="AH116" t="str">
        <f>VLOOKUP(AnalizaCzyste[[#This Row],[Jak się nazywa uczelnia którą ukończyłeś? (proszę o wybranie jednej uczelni podlegającej ocenie)]],KategorieUczelni[],2,0)</f>
        <v>Publiczna</v>
      </c>
      <c r="AI116">
        <v>1996</v>
      </c>
      <c r="AJ116" t="s">
        <v>148</v>
      </c>
      <c r="AK116" t="s">
        <v>1003</v>
      </c>
      <c r="AL116" t="s">
        <v>150</v>
      </c>
      <c r="AM116" t="s">
        <v>150</v>
      </c>
      <c r="AN116" t="s">
        <v>162</v>
      </c>
      <c r="AO116" t="s">
        <v>129</v>
      </c>
      <c r="AP116" t="s">
        <v>236</v>
      </c>
      <c r="AQ116">
        <v>1</v>
      </c>
      <c r="AR116" t="s">
        <v>131</v>
      </c>
      <c r="AS116" t="s">
        <v>153</v>
      </c>
      <c r="AT116" t="s">
        <v>1004</v>
      </c>
      <c r="AU116" t="s">
        <v>1005</v>
      </c>
      <c r="AV116" t="s">
        <v>532</v>
      </c>
      <c r="AW116" t="s">
        <v>157</v>
      </c>
      <c r="AX116" t="s">
        <v>1006</v>
      </c>
      <c r="AY116" s="1" t="s">
        <v>123</v>
      </c>
      <c r="CS116" s="1" t="s">
        <v>123</v>
      </c>
      <c r="DC116" s="1" t="s">
        <v>123</v>
      </c>
      <c r="DM116" s="1" t="s">
        <v>123</v>
      </c>
      <c r="EP116" s="1" t="s">
        <v>177</v>
      </c>
      <c r="EQ116" t="s">
        <v>178</v>
      </c>
      <c r="ER116" t="s">
        <v>132</v>
      </c>
      <c r="ES116" t="s">
        <v>1002</v>
      </c>
      <c r="ET116" t="s">
        <v>236</v>
      </c>
      <c r="EU116" t="s">
        <v>236</v>
      </c>
      <c r="EV116" t="s">
        <v>151</v>
      </c>
      <c r="EW116" t="s">
        <v>178</v>
      </c>
      <c r="EX116" t="s">
        <v>1007</v>
      </c>
      <c r="EY116" t="s">
        <v>1008</v>
      </c>
      <c r="EZ116" t="s">
        <v>173</v>
      </c>
      <c r="FP116" s="1" t="s">
        <v>123</v>
      </c>
      <c r="FQ116" t="s">
        <v>132</v>
      </c>
      <c r="FS116" t="s">
        <v>132</v>
      </c>
      <c r="GX116" t="s">
        <v>1009</v>
      </c>
      <c r="GY116" t="s">
        <v>1007</v>
      </c>
      <c r="GZ116" t="s">
        <v>1009</v>
      </c>
      <c r="HA116" t="s">
        <v>186</v>
      </c>
      <c r="HB116">
        <v>1966</v>
      </c>
      <c r="HC116" t="str">
        <f>VLOOKUP(AnalizaCzyste[[#This Row],[Rok urodzenia]],KategorieWiekowe[],2,1)</f>
        <v>46-55 lat</v>
      </c>
      <c r="HD116" t="s">
        <v>141</v>
      </c>
    </row>
    <row r="117" spans="1:216" x14ac:dyDescent="0.45">
      <c r="A117">
        <v>261</v>
      </c>
      <c r="B117">
        <f>_xlfn.IFNA(VLOOKUP(AnalizaCzyste[[#This Row],[Zakończono wypełnianie]],Zakończone[],2,0),"BRAK")</f>
        <v>138</v>
      </c>
      <c r="C117">
        <f t="shared" si="3"/>
        <v>63</v>
      </c>
      <c r="D117" t="s">
        <v>2014</v>
      </c>
      <c r="E117" t="s">
        <v>118</v>
      </c>
      <c r="J117" t="s">
        <v>119</v>
      </c>
      <c r="K117" t="s">
        <v>2057</v>
      </c>
      <c r="L117" t="s">
        <v>2058</v>
      </c>
      <c r="M117">
        <v>616</v>
      </c>
      <c r="N117">
        <v>0</v>
      </c>
      <c r="O117" t="s">
        <v>122</v>
      </c>
      <c r="P117" s="1" t="s">
        <v>123</v>
      </c>
      <c r="AF117" s="1" t="s">
        <v>124</v>
      </c>
      <c r="AG117" t="s">
        <v>223</v>
      </c>
      <c r="AH117" t="str">
        <f>VLOOKUP(AnalizaCzyste[[#This Row],[Jak się nazywa uczelnia którą ukończyłeś? (proszę o wybranie jednej uczelni podlegającej ocenie)]],KategorieUczelni[],2,0)</f>
        <v>Publiczna</v>
      </c>
      <c r="AI117">
        <v>1992</v>
      </c>
      <c r="AJ117" t="s">
        <v>148</v>
      </c>
      <c r="AK117" t="s">
        <v>2059</v>
      </c>
      <c r="AL117" t="s">
        <v>150</v>
      </c>
      <c r="AM117" t="s">
        <v>169</v>
      </c>
      <c r="AN117" t="s">
        <v>150</v>
      </c>
      <c r="AO117" t="s">
        <v>151</v>
      </c>
      <c r="AP117" t="s">
        <v>162</v>
      </c>
      <c r="AQ117">
        <v>0</v>
      </c>
      <c r="AR117" t="s">
        <v>131</v>
      </c>
      <c r="AS117" t="s">
        <v>302</v>
      </c>
      <c r="AT117" t="s">
        <v>2060</v>
      </c>
      <c r="AU117" t="s">
        <v>1229</v>
      </c>
      <c r="AV117" t="s">
        <v>1229</v>
      </c>
      <c r="AW117" t="s">
        <v>157</v>
      </c>
      <c r="AX117" t="s">
        <v>2032</v>
      </c>
      <c r="AY117" s="1" t="s">
        <v>159</v>
      </c>
      <c r="AZ117">
        <v>1</v>
      </c>
      <c r="BA117" t="s">
        <v>445</v>
      </c>
      <c r="BB117">
        <v>2019</v>
      </c>
      <c r="BC117" t="s">
        <v>148</v>
      </c>
      <c r="BD117" t="s">
        <v>461</v>
      </c>
      <c r="BE117" t="s">
        <v>169</v>
      </c>
      <c r="BF117" t="s">
        <v>169</v>
      </c>
      <c r="BG117" t="s">
        <v>169</v>
      </c>
      <c r="BH117" t="s">
        <v>169</v>
      </c>
      <c r="BI117" t="s">
        <v>132</v>
      </c>
      <c r="BJ117" t="s">
        <v>2020</v>
      </c>
      <c r="BK117" t="s">
        <v>2061</v>
      </c>
      <c r="BL117" t="s">
        <v>157</v>
      </c>
      <c r="BN117" t="s">
        <v>2062</v>
      </c>
      <c r="BO117" t="s">
        <v>173</v>
      </c>
      <c r="CS117" s="1" t="s">
        <v>123</v>
      </c>
      <c r="DC117" s="1" t="s">
        <v>123</v>
      </c>
      <c r="DM117" s="1" t="s">
        <v>123</v>
      </c>
      <c r="EP117" s="1" t="s">
        <v>123</v>
      </c>
      <c r="FP117" s="1" t="s">
        <v>2022</v>
      </c>
      <c r="FQ117" t="s">
        <v>2023</v>
      </c>
      <c r="FR117" t="s">
        <v>2063</v>
      </c>
      <c r="FS117">
        <v>1</v>
      </c>
      <c r="FT117" t="s">
        <v>191</v>
      </c>
      <c r="FU117" t="s">
        <v>150</v>
      </c>
      <c r="FV117" t="s">
        <v>150</v>
      </c>
      <c r="FW117" t="s">
        <v>169</v>
      </c>
      <c r="FX117" t="s">
        <v>169</v>
      </c>
      <c r="FY117" t="s">
        <v>132</v>
      </c>
      <c r="FZ117" t="s">
        <v>132</v>
      </c>
      <c r="GA117" t="s">
        <v>169</v>
      </c>
      <c r="GD117" t="s">
        <v>173</v>
      </c>
      <c r="GX117" t="s">
        <v>1229</v>
      </c>
      <c r="GY117" t="s">
        <v>1229</v>
      </c>
      <c r="GZ117" t="s">
        <v>1229</v>
      </c>
      <c r="HA117" t="s">
        <v>186</v>
      </c>
      <c r="HB117">
        <v>1968</v>
      </c>
      <c r="HC117" t="str">
        <f>VLOOKUP(AnalizaCzyste[[#This Row],[Rok urodzenia]],KategorieWiekowe[],2,1)</f>
        <v>46-55 lat</v>
      </c>
      <c r="HD117" t="s">
        <v>220</v>
      </c>
      <c r="HF117" t="s">
        <v>2055</v>
      </c>
      <c r="HH117" t="s">
        <v>2064</v>
      </c>
    </row>
    <row r="118" spans="1:216" x14ac:dyDescent="0.45">
      <c r="A118">
        <v>175</v>
      </c>
      <c r="B118">
        <f>_xlfn.IFNA(VLOOKUP(AnalizaCzyste[[#This Row],[Zakończono wypełnianie]],Zakończone[],2,0),"BRAK")</f>
        <v>99</v>
      </c>
      <c r="C118">
        <f t="shared" si="3"/>
        <v>33</v>
      </c>
      <c r="D118" t="s">
        <v>1131</v>
      </c>
      <c r="E118" t="s">
        <v>118</v>
      </c>
      <c r="J118" t="s">
        <v>119</v>
      </c>
      <c r="K118" t="s">
        <v>1493</v>
      </c>
      <c r="L118" t="s">
        <v>1494</v>
      </c>
      <c r="M118">
        <v>2185</v>
      </c>
      <c r="N118">
        <v>0</v>
      </c>
      <c r="O118" t="s">
        <v>122</v>
      </c>
      <c r="P118" s="1" t="s">
        <v>123</v>
      </c>
      <c r="AF118" s="1" t="s">
        <v>124</v>
      </c>
      <c r="AG118" t="s">
        <v>223</v>
      </c>
      <c r="AH118" t="str">
        <f>VLOOKUP(AnalizaCzyste[[#This Row],[Jak się nazywa uczelnia którą ukończyłeś? (proszę o wybranie jednej uczelni podlegającej ocenie)]],KategorieUczelni[],2,0)</f>
        <v>Publiczna</v>
      </c>
      <c r="AI118">
        <v>2005</v>
      </c>
      <c r="AJ118" t="s">
        <v>148</v>
      </c>
      <c r="AK118" t="s">
        <v>1495</v>
      </c>
      <c r="AL118" t="s">
        <v>150</v>
      </c>
      <c r="AM118" t="s">
        <v>169</v>
      </c>
      <c r="AN118" t="s">
        <v>169</v>
      </c>
      <c r="AO118" t="s">
        <v>169</v>
      </c>
      <c r="AP118" t="s">
        <v>150</v>
      </c>
      <c r="AQ118" t="s">
        <v>237</v>
      </c>
      <c r="AR118" t="s">
        <v>131</v>
      </c>
      <c r="AS118" t="s">
        <v>302</v>
      </c>
      <c r="AU118" t="s">
        <v>1496</v>
      </c>
      <c r="AV118" t="s">
        <v>386</v>
      </c>
      <c r="AW118" t="s">
        <v>230</v>
      </c>
      <c r="AY118" s="1" t="s">
        <v>123</v>
      </c>
      <c r="CS118" s="1" t="s">
        <v>123</v>
      </c>
      <c r="DC118" s="1" t="s">
        <v>123</v>
      </c>
      <c r="DM118" s="1" t="s">
        <v>123</v>
      </c>
      <c r="EP118" s="1" t="s">
        <v>123</v>
      </c>
      <c r="EQ118" t="s">
        <v>178</v>
      </c>
      <c r="FP118" s="1" t="s">
        <v>123</v>
      </c>
      <c r="GX118" t="s">
        <v>1497</v>
      </c>
      <c r="GY118" t="s">
        <v>1497</v>
      </c>
      <c r="GZ118" t="s">
        <v>1497</v>
      </c>
      <c r="HA118" t="s">
        <v>186</v>
      </c>
      <c r="HB118">
        <v>1981</v>
      </c>
      <c r="HC118" t="str">
        <f>VLOOKUP(AnalizaCzyste[[#This Row],[Rok urodzenia]],KategorieWiekowe[],2,1)</f>
        <v>36-45 lat</v>
      </c>
      <c r="HD118" t="s">
        <v>246</v>
      </c>
    </row>
    <row r="119" spans="1:216" x14ac:dyDescent="0.45">
      <c r="A119">
        <v>93</v>
      </c>
      <c r="B119">
        <f>_xlfn.IFNA(VLOOKUP(AnalizaCzyste[[#This Row],[Zakończono wypełnianie]],Zakończone[],2,0),"BRAK")</f>
        <v>56</v>
      </c>
      <c r="C119">
        <f t="shared" si="3"/>
        <v>48</v>
      </c>
      <c r="D119" t="s">
        <v>938</v>
      </c>
      <c r="E119" t="s">
        <v>118</v>
      </c>
      <c r="J119" t="s">
        <v>119</v>
      </c>
      <c r="K119" t="s">
        <v>939</v>
      </c>
      <c r="L119" t="s">
        <v>940</v>
      </c>
      <c r="M119">
        <v>451</v>
      </c>
      <c r="N119">
        <v>0</v>
      </c>
      <c r="O119" t="s">
        <v>122</v>
      </c>
      <c r="P119" s="1" t="s">
        <v>123</v>
      </c>
      <c r="AF119" s="1" t="s">
        <v>124</v>
      </c>
      <c r="AG119" t="s">
        <v>223</v>
      </c>
      <c r="AH119" t="str">
        <f>VLOOKUP(AnalizaCzyste[[#This Row],[Jak się nazywa uczelnia którą ukończyłeś? (proszę o wybranie jednej uczelni podlegającej ocenie)]],KategorieUczelni[],2,0)</f>
        <v>Publiczna</v>
      </c>
      <c r="AI119">
        <v>2004</v>
      </c>
      <c r="AJ119" t="s">
        <v>148</v>
      </c>
      <c r="AK119" t="s">
        <v>942</v>
      </c>
      <c r="AL119" t="s">
        <v>150</v>
      </c>
      <c r="AM119" t="s">
        <v>150</v>
      </c>
      <c r="AN119" t="s">
        <v>150</v>
      </c>
      <c r="AO119" t="s">
        <v>150</v>
      </c>
      <c r="AP119" t="s">
        <v>169</v>
      </c>
      <c r="AQ119" t="s">
        <v>237</v>
      </c>
      <c r="AR119" t="s">
        <v>302</v>
      </c>
      <c r="AS119" t="s">
        <v>943</v>
      </c>
      <c r="AT119" t="s">
        <v>944</v>
      </c>
      <c r="AU119" t="s">
        <v>945</v>
      </c>
      <c r="AV119" t="s">
        <v>946</v>
      </c>
      <c r="AW119" t="s">
        <v>157</v>
      </c>
      <c r="AY119" s="1" t="s">
        <v>123</v>
      </c>
      <c r="CS119" s="1" t="s">
        <v>123</v>
      </c>
      <c r="DC119" s="1" t="s">
        <v>123</v>
      </c>
      <c r="DM119" s="1" t="s">
        <v>123</v>
      </c>
      <c r="EP119" s="1" t="s">
        <v>177</v>
      </c>
      <c r="EQ119" t="s">
        <v>178</v>
      </c>
      <c r="ER119">
        <v>1</v>
      </c>
      <c r="ES119" t="s">
        <v>747</v>
      </c>
      <c r="ET119" t="s">
        <v>169</v>
      </c>
      <c r="EU119" t="s">
        <v>169</v>
      </c>
      <c r="EV119" t="s">
        <v>169</v>
      </c>
      <c r="EW119" t="s">
        <v>178</v>
      </c>
      <c r="EX119" t="s">
        <v>947</v>
      </c>
      <c r="EY119" t="s">
        <v>948</v>
      </c>
      <c r="EZ119" t="s">
        <v>173</v>
      </c>
      <c r="FP119" s="1" t="s">
        <v>123</v>
      </c>
      <c r="FQ119" t="s">
        <v>132</v>
      </c>
      <c r="FS119" t="s">
        <v>132</v>
      </c>
      <c r="GX119" t="s">
        <v>949</v>
      </c>
      <c r="GY119" t="s">
        <v>950</v>
      </c>
      <c r="GZ119" t="s">
        <v>951</v>
      </c>
      <c r="HA119" t="s">
        <v>186</v>
      </c>
      <c r="HB119">
        <v>1984</v>
      </c>
      <c r="HC119" t="str">
        <f>VLOOKUP(AnalizaCzyste[[#This Row],[Rok urodzenia]],KategorieWiekowe[],2,1)</f>
        <v>36-45 lat</v>
      </c>
      <c r="HD119" t="s">
        <v>141</v>
      </c>
      <c r="HE119" t="s">
        <v>952</v>
      </c>
      <c r="HF119" t="s">
        <v>953</v>
      </c>
      <c r="HG119" t="s">
        <v>954</v>
      </c>
    </row>
    <row r="120" spans="1:216" x14ac:dyDescent="0.45">
      <c r="A120">
        <v>220</v>
      </c>
      <c r="B120">
        <f>_xlfn.IFNA(VLOOKUP(AnalizaCzyste[[#This Row],[Zakończono wypełnianie]],Zakończone[],2,0),"BRAK")</f>
        <v>121</v>
      </c>
      <c r="C120">
        <f t="shared" si="3"/>
        <v>36</v>
      </c>
      <c r="D120" t="s">
        <v>1336</v>
      </c>
      <c r="E120" t="s">
        <v>118</v>
      </c>
      <c r="J120" t="s">
        <v>119</v>
      </c>
      <c r="K120" t="s">
        <v>1808</v>
      </c>
      <c r="L120" t="s">
        <v>1809</v>
      </c>
      <c r="M120">
        <v>2379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 t="str">
        <f>VLOOKUP(AnalizaCzyste[[#This Row],[Jak się nazywa uczelnia którą ukończyłeś? (proszę o wybranie jednej uczelni podlegającej ocenie)]],KategorieUczelni[],2,0)</f>
        <v>Publiczna</v>
      </c>
      <c r="AI120">
        <v>2012</v>
      </c>
      <c r="AJ120" t="s">
        <v>148</v>
      </c>
      <c r="AK120" t="s">
        <v>1810</v>
      </c>
      <c r="AL120" t="s">
        <v>150</v>
      </c>
      <c r="AM120" t="s">
        <v>162</v>
      </c>
      <c r="AN120" t="s">
        <v>150</v>
      </c>
      <c r="AO120" t="s">
        <v>162</v>
      </c>
      <c r="AP120" t="s">
        <v>150</v>
      </c>
      <c r="AQ120" t="s">
        <v>237</v>
      </c>
      <c r="AR120" t="s">
        <v>132</v>
      </c>
      <c r="AS120" t="s">
        <v>132</v>
      </c>
      <c r="AT120" t="s">
        <v>1811</v>
      </c>
      <c r="AU120" t="s">
        <v>1812</v>
      </c>
      <c r="AV120" t="s">
        <v>1813</v>
      </c>
      <c r="AW120" t="s">
        <v>230</v>
      </c>
      <c r="AX120" t="s">
        <v>1814</v>
      </c>
      <c r="AY120" s="1" t="s">
        <v>123</v>
      </c>
      <c r="CS120" s="1" t="s">
        <v>123</v>
      </c>
      <c r="DC120" s="1" t="s">
        <v>123</v>
      </c>
      <c r="DM120" s="1" t="s">
        <v>123</v>
      </c>
      <c r="EP120" s="1" t="s">
        <v>123</v>
      </c>
      <c r="FP120" s="1" t="s">
        <v>123</v>
      </c>
      <c r="GX120" t="s">
        <v>1815</v>
      </c>
      <c r="GY120" t="s">
        <v>1816</v>
      </c>
      <c r="GZ120" t="s">
        <v>1817</v>
      </c>
      <c r="HA120" t="s">
        <v>140</v>
      </c>
      <c r="HB120">
        <v>1986</v>
      </c>
      <c r="HC120" t="str">
        <f>VLOOKUP(AnalizaCzyste[[#This Row],[Rok urodzenia]],KategorieWiekowe[],2,1)</f>
        <v>26-35 lat</v>
      </c>
      <c r="HD120" t="s">
        <v>246</v>
      </c>
      <c r="HF120" t="s">
        <v>1818</v>
      </c>
      <c r="HG120" t="s">
        <v>1819</v>
      </c>
    </row>
    <row r="121" spans="1:216" x14ac:dyDescent="0.45">
      <c r="A121">
        <v>217</v>
      </c>
      <c r="B121">
        <f>_xlfn.IFNA(VLOOKUP(AnalizaCzyste[[#This Row],[Zakończono wypełnianie]],Zakończone[],2,0),"BRAK")</f>
        <v>119</v>
      </c>
      <c r="C121">
        <f t="shared" si="3"/>
        <v>34</v>
      </c>
      <c r="D121" t="s">
        <v>1780</v>
      </c>
      <c r="E121" t="s">
        <v>118</v>
      </c>
      <c r="F121" t="s">
        <v>1781</v>
      </c>
      <c r="J121" t="s">
        <v>119</v>
      </c>
      <c r="K121" t="s">
        <v>1782</v>
      </c>
      <c r="L121" t="s">
        <v>1783</v>
      </c>
      <c r="M121">
        <v>968</v>
      </c>
      <c r="N121">
        <v>0</v>
      </c>
      <c r="O121" t="s">
        <v>122</v>
      </c>
      <c r="P121" s="1" t="s">
        <v>123</v>
      </c>
      <c r="AF121" s="1" t="s">
        <v>124</v>
      </c>
      <c r="AG121" t="s">
        <v>223</v>
      </c>
      <c r="AH121" t="str">
        <f>VLOOKUP(AnalizaCzyste[[#This Row],[Jak się nazywa uczelnia którą ukończyłeś? (proszę o wybranie jednej uczelni podlegającej ocenie)]],KategorieUczelni[],2,0)</f>
        <v>Publiczna</v>
      </c>
      <c r="AI121">
        <v>2011</v>
      </c>
      <c r="AJ121" t="s">
        <v>148</v>
      </c>
      <c r="AK121" t="s">
        <v>1784</v>
      </c>
      <c r="AL121" t="s">
        <v>150</v>
      </c>
      <c r="AM121" t="s">
        <v>162</v>
      </c>
      <c r="AN121" t="s">
        <v>169</v>
      </c>
      <c r="AO121" t="s">
        <v>150</v>
      </c>
      <c r="AP121" t="s">
        <v>150</v>
      </c>
      <c r="AQ121">
        <v>2</v>
      </c>
      <c r="AR121" t="s">
        <v>302</v>
      </c>
      <c r="AS121" t="s">
        <v>153</v>
      </c>
      <c r="AT121" t="s">
        <v>1785</v>
      </c>
      <c r="AU121" t="s">
        <v>1786</v>
      </c>
      <c r="AV121" t="s">
        <v>1787</v>
      </c>
      <c r="AW121" t="s">
        <v>157</v>
      </c>
      <c r="AY121" s="1" t="s">
        <v>123</v>
      </c>
      <c r="CS121" s="1" t="s">
        <v>123</v>
      </c>
      <c r="DC121" s="1" t="s">
        <v>123</v>
      </c>
      <c r="DM121" s="1" t="s">
        <v>123</v>
      </c>
      <c r="EP121" s="1" t="s">
        <v>123</v>
      </c>
      <c r="FP121" s="1" t="s">
        <v>123</v>
      </c>
      <c r="GX121" t="s">
        <v>1788</v>
      </c>
      <c r="GY121" t="s">
        <v>1789</v>
      </c>
      <c r="GZ121" t="s">
        <v>1790</v>
      </c>
      <c r="HA121" t="s">
        <v>140</v>
      </c>
      <c r="HB121">
        <v>1986</v>
      </c>
      <c r="HC121" t="str">
        <f>VLOOKUP(AnalizaCzyste[[#This Row],[Rok urodzenia]],KategorieWiekowe[],2,1)</f>
        <v>26-35 lat</v>
      </c>
      <c r="HD121" t="s">
        <v>398</v>
      </c>
      <c r="HF121" t="s">
        <v>1791</v>
      </c>
    </row>
    <row r="122" spans="1:216" x14ac:dyDescent="0.45">
      <c r="A122">
        <v>85</v>
      </c>
      <c r="B122">
        <f>_xlfn.IFNA(VLOOKUP(AnalizaCzyste[[#This Row],[Zakończono wypełnianie]],Zakończone[],2,0),"BRAK")</f>
        <v>50</v>
      </c>
      <c r="C122">
        <f t="shared" si="3"/>
        <v>36</v>
      </c>
      <c r="D122" t="s">
        <v>873</v>
      </c>
      <c r="E122" t="s">
        <v>118</v>
      </c>
      <c r="F122" t="s">
        <v>797</v>
      </c>
      <c r="J122" t="s">
        <v>119</v>
      </c>
      <c r="K122" t="s">
        <v>874</v>
      </c>
      <c r="L122" t="s">
        <v>875</v>
      </c>
      <c r="M122">
        <v>1971</v>
      </c>
      <c r="N122">
        <v>0</v>
      </c>
      <c r="O122" t="s">
        <v>122</v>
      </c>
      <c r="P122" s="1" t="s">
        <v>123</v>
      </c>
      <c r="AF122" s="1" t="s">
        <v>124</v>
      </c>
      <c r="AG122" t="s">
        <v>223</v>
      </c>
      <c r="AH122" t="str">
        <f>VLOOKUP(AnalizaCzyste[[#This Row],[Jak się nazywa uczelnia którą ukończyłeś? (proszę o wybranie jednej uczelni podlegającej ocenie)]],KategorieUczelni[],2,0)</f>
        <v>Publiczna</v>
      </c>
      <c r="AI122">
        <v>2012</v>
      </c>
      <c r="AJ122" t="s">
        <v>148</v>
      </c>
      <c r="AK122" t="s">
        <v>876</v>
      </c>
      <c r="AL122" t="s">
        <v>150</v>
      </c>
      <c r="AM122" t="s">
        <v>162</v>
      </c>
      <c r="AN122" t="s">
        <v>128</v>
      </c>
      <c r="AO122" t="s">
        <v>236</v>
      </c>
      <c r="AP122" t="s">
        <v>151</v>
      </c>
      <c r="AQ122">
        <v>2</v>
      </c>
      <c r="AR122" t="s">
        <v>131</v>
      </c>
      <c r="AS122" t="s">
        <v>153</v>
      </c>
      <c r="AT122" t="s">
        <v>877</v>
      </c>
      <c r="AU122" t="s">
        <v>532</v>
      </c>
      <c r="AV122" t="s">
        <v>532</v>
      </c>
      <c r="AW122" t="s">
        <v>157</v>
      </c>
      <c r="AX122" t="s">
        <v>878</v>
      </c>
      <c r="AY122" s="1" t="s">
        <v>123</v>
      </c>
      <c r="CS122" s="1" t="s">
        <v>123</v>
      </c>
      <c r="DC122" s="1" t="s">
        <v>123</v>
      </c>
      <c r="DM122" s="1" t="s">
        <v>123</v>
      </c>
      <c r="EP122" s="1" t="s">
        <v>123</v>
      </c>
      <c r="FP122" s="1" t="s">
        <v>123</v>
      </c>
      <c r="FQ122" t="s">
        <v>132</v>
      </c>
      <c r="GX122" t="s">
        <v>532</v>
      </c>
      <c r="GY122" t="s">
        <v>532</v>
      </c>
      <c r="GZ122" t="s">
        <v>532</v>
      </c>
      <c r="HA122" t="s">
        <v>186</v>
      </c>
      <c r="HB122">
        <v>1988</v>
      </c>
      <c r="HC122" t="str">
        <f>VLOOKUP(AnalizaCzyste[[#This Row],[Rok urodzenia]],KategorieWiekowe[],2,1)</f>
        <v>26-35 lat</v>
      </c>
      <c r="HD122" t="s">
        <v>246</v>
      </c>
      <c r="HG122" t="s">
        <v>879</v>
      </c>
    </row>
    <row r="123" spans="1:216" x14ac:dyDescent="0.45">
      <c r="A123">
        <v>206</v>
      </c>
      <c r="B123" t="str">
        <f>_xlfn.IFNA(VLOOKUP(AnalizaCzyste[[#This Row],[Zakończono wypełnianie]],Zakończone[],2,0),"BRAK")</f>
        <v>BRAK</v>
      </c>
      <c r="C123">
        <f t="shared" si="3"/>
        <v>32</v>
      </c>
      <c r="D123" t="s">
        <v>1722</v>
      </c>
      <c r="E123" t="s">
        <v>118</v>
      </c>
      <c r="F123" t="s">
        <v>1647</v>
      </c>
      <c r="J123" t="s">
        <v>286</v>
      </c>
      <c r="K123" t="s">
        <v>1723</v>
      </c>
      <c r="L123" t="s">
        <v>1723</v>
      </c>
      <c r="M123">
        <v>0</v>
      </c>
      <c r="N123">
        <v>0</v>
      </c>
      <c r="O123" t="s">
        <v>122</v>
      </c>
      <c r="P123" s="1" t="s">
        <v>123</v>
      </c>
      <c r="AF123" s="1" t="s">
        <v>124</v>
      </c>
      <c r="AG123" s="20" t="s">
        <v>223</v>
      </c>
      <c r="AH123" s="20" t="str">
        <f>VLOOKUP(AnalizaCzyste[[#This Row],[Jak się nazywa uczelnia którą ukończyłeś? (proszę o wybranie jednej uczelni podlegającej ocenie)]],KategorieUczelni[],2,0)</f>
        <v>Publiczna</v>
      </c>
      <c r="AI123">
        <v>2005</v>
      </c>
      <c r="AJ123" t="s">
        <v>148</v>
      </c>
      <c r="AK123" t="s">
        <v>1725</v>
      </c>
      <c r="AL123" t="s">
        <v>150</v>
      </c>
      <c r="AM123" t="s">
        <v>162</v>
      </c>
      <c r="AN123" t="s">
        <v>162</v>
      </c>
      <c r="AO123" t="s">
        <v>162</v>
      </c>
      <c r="AP123" t="s">
        <v>162</v>
      </c>
      <c r="AQ123">
        <v>2</v>
      </c>
      <c r="AR123" t="s">
        <v>131</v>
      </c>
      <c r="AS123" t="s">
        <v>302</v>
      </c>
      <c r="AT123" t="s">
        <v>1726</v>
      </c>
      <c r="AU123" t="s">
        <v>1727</v>
      </c>
      <c r="AV123" t="s">
        <v>1728</v>
      </c>
      <c r="AW123" t="s">
        <v>157</v>
      </c>
      <c r="AY123" s="1" t="s">
        <v>123</v>
      </c>
      <c r="CS123" s="1" t="s">
        <v>123</v>
      </c>
      <c r="DC123" s="1" t="s">
        <v>123</v>
      </c>
      <c r="DM123" s="1" t="s">
        <v>123</v>
      </c>
      <c r="EP123" s="1" t="s">
        <v>123</v>
      </c>
      <c r="FP123" s="1" t="s">
        <v>123</v>
      </c>
      <c r="HA123" t="s">
        <v>140</v>
      </c>
      <c r="HB123">
        <v>1981</v>
      </c>
      <c r="HC123" t="str">
        <f>VLOOKUP(AnalizaCzyste[[#This Row],[Rok urodzenia]],KategorieWiekowe[],2,1)</f>
        <v>36-45 lat</v>
      </c>
      <c r="HD123" t="s">
        <v>483</v>
      </c>
      <c r="HF123" t="s">
        <v>142</v>
      </c>
      <c r="HG123" t="s">
        <v>180</v>
      </c>
    </row>
    <row r="124" spans="1:216" x14ac:dyDescent="0.45">
      <c r="A124">
        <v>30</v>
      </c>
      <c r="B124">
        <f>_xlfn.IFNA(VLOOKUP(AnalizaCzyste[[#This Row],[Zakończono wypełnianie]],Zakończone[],2,0),"BRAK")</f>
        <v>21</v>
      </c>
      <c r="C124">
        <f t="shared" si="3"/>
        <v>48</v>
      </c>
      <c r="D124" t="s">
        <v>442</v>
      </c>
      <c r="E124" t="s">
        <v>118</v>
      </c>
      <c r="J124" t="s">
        <v>119</v>
      </c>
      <c r="K124" t="s">
        <v>443</v>
      </c>
      <c r="L124" t="s">
        <v>444</v>
      </c>
      <c r="M124">
        <v>6812</v>
      </c>
      <c r="N124">
        <v>0</v>
      </c>
      <c r="O124" t="s">
        <v>122</v>
      </c>
      <c r="P124" s="1" t="s">
        <v>123</v>
      </c>
      <c r="AF124" s="1" t="s">
        <v>124</v>
      </c>
      <c r="AG124" t="s">
        <v>445</v>
      </c>
      <c r="AH124" t="str">
        <f>VLOOKUP(AnalizaCzyste[[#This Row],[Jak się nazywa uczelnia którą ukończyłeś? (proszę o wybranie jednej uczelni podlegającej ocenie)]],KategorieUczelni[],2,0)</f>
        <v>Publiczna</v>
      </c>
      <c r="AI124">
        <v>2019</v>
      </c>
      <c r="AJ124" t="s">
        <v>148</v>
      </c>
      <c r="AK124" t="s">
        <v>446</v>
      </c>
      <c r="AL124" t="s">
        <v>150</v>
      </c>
      <c r="AM124" t="s">
        <v>150</v>
      </c>
      <c r="AN124" t="s">
        <v>169</v>
      </c>
      <c r="AO124" t="s">
        <v>169</v>
      </c>
      <c r="AP124" t="s">
        <v>132</v>
      </c>
      <c r="AQ124" t="s">
        <v>237</v>
      </c>
      <c r="AR124" t="s">
        <v>226</v>
      </c>
      <c r="AS124" t="s">
        <v>132</v>
      </c>
      <c r="AT124" t="s">
        <v>447</v>
      </c>
      <c r="AU124" t="s">
        <v>448</v>
      </c>
      <c r="AV124" t="s">
        <v>449</v>
      </c>
      <c r="AW124" t="s">
        <v>157</v>
      </c>
      <c r="AY124" s="1" t="s">
        <v>123</v>
      </c>
      <c r="CS124" s="1" t="s">
        <v>387</v>
      </c>
      <c r="CT124" t="s">
        <v>445</v>
      </c>
      <c r="CU124" t="s">
        <v>450</v>
      </c>
      <c r="CV124" t="s">
        <v>169</v>
      </c>
      <c r="CW124" t="s">
        <v>169</v>
      </c>
      <c r="CX124" t="s">
        <v>169</v>
      </c>
      <c r="CY124" t="s">
        <v>150</v>
      </c>
      <c r="CZ124" t="s">
        <v>150</v>
      </c>
      <c r="DA124" t="s">
        <v>150</v>
      </c>
      <c r="DB124" t="s">
        <v>451</v>
      </c>
      <c r="DC124" s="1" t="s">
        <v>123</v>
      </c>
      <c r="DM124" s="1" t="s">
        <v>123</v>
      </c>
      <c r="EP124" s="1" t="s">
        <v>123</v>
      </c>
      <c r="EQ124" t="s">
        <v>180</v>
      </c>
      <c r="ER124" t="s">
        <v>132</v>
      </c>
      <c r="FP124" s="1" t="s">
        <v>123</v>
      </c>
      <c r="FQ124" t="s">
        <v>132</v>
      </c>
      <c r="FS124" t="s">
        <v>132</v>
      </c>
      <c r="GX124" t="s">
        <v>452</v>
      </c>
      <c r="GY124" t="s">
        <v>453</v>
      </c>
      <c r="GZ124" t="s">
        <v>454</v>
      </c>
      <c r="HA124" t="s">
        <v>140</v>
      </c>
      <c r="HB124">
        <v>1994</v>
      </c>
      <c r="HC124" t="str">
        <f>VLOOKUP(AnalizaCzyste[[#This Row],[Rok urodzenia]],KategorieWiekowe[],2,1)</f>
        <v>26-35 lat</v>
      </c>
      <c r="HD124" t="s">
        <v>220</v>
      </c>
      <c r="HF124" t="s">
        <v>455</v>
      </c>
      <c r="HG124" t="s">
        <v>456</v>
      </c>
    </row>
    <row r="125" spans="1:216" x14ac:dyDescent="0.45">
      <c r="A125">
        <v>38</v>
      </c>
      <c r="B125">
        <f>_xlfn.IFNA(VLOOKUP(AnalizaCzyste[[#This Row],[Zakończono wypełnianie]],Zakończone[],2,0),"BRAK")</f>
        <v>26</v>
      </c>
      <c r="C125">
        <f t="shared" si="3"/>
        <v>46</v>
      </c>
      <c r="D125" t="s">
        <v>511</v>
      </c>
      <c r="E125" t="s">
        <v>118</v>
      </c>
      <c r="F125" t="s">
        <v>375</v>
      </c>
      <c r="J125" t="s">
        <v>119</v>
      </c>
      <c r="K125" t="s">
        <v>512</v>
      </c>
      <c r="L125" t="s">
        <v>513</v>
      </c>
      <c r="M125">
        <v>424</v>
      </c>
      <c r="N125">
        <v>0</v>
      </c>
      <c r="O125" t="s">
        <v>122</v>
      </c>
      <c r="P125" s="1" t="s">
        <v>123</v>
      </c>
      <c r="AF125" s="1" t="s">
        <v>124</v>
      </c>
      <c r="AG125" t="s">
        <v>445</v>
      </c>
      <c r="AH125" t="str">
        <f>VLOOKUP(AnalizaCzyste[[#This Row],[Jak się nazywa uczelnia którą ukończyłeś? (proszę o wybranie jednej uczelni podlegającej ocenie)]],KategorieUczelni[],2,0)</f>
        <v>Publiczna</v>
      </c>
      <c r="AI125">
        <v>2018</v>
      </c>
      <c r="AJ125" t="s">
        <v>148</v>
      </c>
      <c r="AK125" t="s">
        <v>514</v>
      </c>
      <c r="AL125" t="s">
        <v>150</v>
      </c>
      <c r="AM125" t="s">
        <v>169</v>
      </c>
      <c r="AN125" t="s">
        <v>169</v>
      </c>
      <c r="AO125" t="s">
        <v>150</v>
      </c>
      <c r="AP125" t="s">
        <v>132</v>
      </c>
      <c r="AQ125" t="s">
        <v>515</v>
      </c>
      <c r="AR125" t="s">
        <v>302</v>
      </c>
      <c r="AS125" t="s">
        <v>132</v>
      </c>
      <c r="AT125" t="s">
        <v>516</v>
      </c>
      <c r="AU125" t="s">
        <v>517</v>
      </c>
      <c r="AV125" t="s">
        <v>142</v>
      </c>
      <c r="AW125" t="s">
        <v>157</v>
      </c>
      <c r="AY125" s="1" t="s">
        <v>123</v>
      </c>
      <c r="CS125" s="1" t="s">
        <v>123</v>
      </c>
      <c r="DC125" s="1" t="s">
        <v>214</v>
      </c>
      <c r="DD125" t="s">
        <v>445</v>
      </c>
      <c r="DE125" t="s">
        <v>518</v>
      </c>
      <c r="DF125" t="s">
        <v>169</v>
      </c>
      <c r="DG125" t="s">
        <v>150</v>
      </c>
      <c r="DH125" t="s">
        <v>162</v>
      </c>
      <c r="DI125" t="s">
        <v>150</v>
      </c>
      <c r="DJ125" t="s">
        <v>150</v>
      </c>
      <c r="DK125" t="s">
        <v>151</v>
      </c>
      <c r="DM125" s="1" t="s">
        <v>123</v>
      </c>
      <c r="EP125" s="1" t="s">
        <v>123</v>
      </c>
      <c r="EQ125" t="s">
        <v>180</v>
      </c>
      <c r="ER125" t="s">
        <v>132</v>
      </c>
      <c r="FP125" s="1" t="s">
        <v>123</v>
      </c>
      <c r="FQ125" t="s">
        <v>132</v>
      </c>
      <c r="FS125" t="s">
        <v>132</v>
      </c>
      <c r="GX125" t="s">
        <v>519</v>
      </c>
      <c r="GY125" t="s">
        <v>520</v>
      </c>
      <c r="GZ125" t="s">
        <v>142</v>
      </c>
      <c r="HA125" t="s">
        <v>186</v>
      </c>
      <c r="HB125">
        <v>1994</v>
      </c>
      <c r="HC125" t="str">
        <f>VLOOKUP(AnalizaCzyste[[#This Row],[Rok urodzenia]],KategorieWiekowe[],2,1)</f>
        <v>26-35 lat</v>
      </c>
      <c r="HD125" t="s">
        <v>141</v>
      </c>
      <c r="HG125" t="s">
        <v>521</v>
      </c>
    </row>
    <row r="126" spans="1:216" x14ac:dyDescent="0.45">
      <c r="A126">
        <v>50</v>
      </c>
      <c r="B126">
        <f>_xlfn.IFNA(VLOOKUP(AnalizaCzyste[[#This Row],[Zakończono wypełnianie]],Zakończone[],2,0),"BRAK")</f>
        <v>30</v>
      </c>
      <c r="C126">
        <f t="shared" si="3"/>
        <v>32</v>
      </c>
      <c r="D126" t="s">
        <v>585</v>
      </c>
      <c r="E126" t="s">
        <v>118</v>
      </c>
      <c r="F126" t="s">
        <v>375</v>
      </c>
      <c r="J126" t="s">
        <v>119</v>
      </c>
      <c r="K126" t="s">
        <v>586</v>
      </c>
      <c r="L126" t="s">
        <v>587</v>
      </c>
      <c r="M126">
        <v>387</v>
      </c>
      <c r="N126">
        <v>0</v>
      </c>
      <c r="O126" t="s">
        <v>122</v>
      </c>
      <c r="P126" s="1" t="s">
        <v>416</v>
      </c>
      <c r="Q126" t="s">
        <v>445</v>
      </c>
      <c r="R126" t="s">
        <v>148</v>
      </c>
      <c r="S126" t="s">
        <v>588</v>
      </c>
      <c r="T126" t="s">
        <v>162</v>
      </c>
      <c r="U126" t="s">
        <v>150</v>
      </c>
      <c r="V126" t="s">
        <v>162</v>
      </c>
      <c r="W126" t="s">
        <v>589</v>
      </c>
      <c r="X126" t="s">
        <v>302</v>
      </c>
      <c r="Y126" t="s">
        <v>153</v>
      </c>
      <c r="AA126" t="s">
        <v>590</v>
      </c>
      <c r="AB126" t="s">
        <v>591</v>
      </c>
      <c r="AC126" t="s">
        <v>172</v>
      </c>
      <c r="AE126">
        <v>6</v>
      </c>
      <c r="AF126" s="1" t="s">
        <v>123</v>
      </c>
      <c r="AH126" t="e">
        <f>VLOOKUP(AnalizaCzyste[[#This Row],[Jak się nazywa uczelnia którą ukończyłeś? (proszę o wybranie jednej uczelni podlegającej ocenie)]],KategorieUczelni[],2,0)</f>
        <v>#N/A</v>
      </c>
      <c r="AY126" s="1" t="s">
        <v>123</v>
      </c>
      <c r="CS126" s="1" t="s">
        <v>123</v>
      </c>
      <c r="DC126" s="1" t="s">
        <v>123</v>
      </c>
      <c r="DM126" s="1" t="s">
        <v>123</v>
      </c>
      <c r="EP126" s="1" t="s">
        <v>123</v>
      </c>
      <c r="FP126" s="1" t="s">
        <v>123</v>
      </c>
      <c r="FQ126" t="s">
        <v>132</v>
      </c>
      <c r="GX126" t="s">
        <v>592</v>
      </c>
      <c r="GY126" t="s">
        <v>593</v>
      </c>
      <c r="GZ126" t="s">
        <v>594</v>
      </c>
      <c r="HA126" t="s">
        <v>140</v>
      </c>
      <c r="HB126">
        <v>1997</v>
      </c>
      <c r="HC126" t="str">
        <f>VLOOKUP(AnalizaCzyste[[#This Row],[Rok urodzenia]],KategorieWiekowe[],2,1)</f>
        <v>poniżej 26 lat</v>
      </c>
      <c r="HD126" t="s">
        <v>141</v>
      </c>
      <c r="HF126" t="s">
        <v>595</v>
      </c>
    </row>
    <row r="127" spans="1:216" x14ac:dyDescent="0.45">
      <c r="A127">
        <v>52</v>
      </c>
      <c r="B127">
        <f>_xlfn.IFNA(VLOOKUP(AnalizaCzyste[[#This Row],[Zakończono wypełnianie]],Zakończone[],2,0),"BRAK")</f>
        <v>31</v>
      </c>
      <c r="C127">
        <f t="shared" si="3"/>
        <v>38</v>
      </c>
      <c r="D127" t="s">
        <v>598</v>
      </c>
      <c r="E127" t="s">
        <v>118</v>
      </c>
      <c r="F127" t="s">
        <v>359</v>
      </c>
      <c r="J127" t="s">
        <v>119</v>
      </c>
      <c r="K127" t="s">
        <v>599</v>
      </c>
      <c r="L127" t="s">
        <v>600</v>
      </c>
      <c r="M127">
        <v>61362</v>
      </c>
      <c r="N127">
        <v>0</v>
      </c>
      <c r="O127" t="s">
        <v>122</v>
      </c>
      <c r="P127" s="1" t="s">
        <v>123</v>
      </c>
      <c r="AF127" s="1" t="s">
        <v>124</v>
      </c>
      <c r="AG127" t="s">
        <v>445</v>
      </c>
      <c r="AH127" t="str">
        <f>VLOOKUP(AnalizaCzyste[[#This Row],[Jak się nazywa uczelnia którą ukończyłeś? (proszę o wybranie jednej uczelni podlegającej ocenie)]],KategorieUczelni[],2,0)</f>
        <v>Publiczna</v>
      </c>
      <c r="AI127">
        <v>2018</v>
      </c>
      <c r="AJ127" t="s">
        <v>148</v>
      </c>
      <c r="AK127" t="s">
        <v>601</v>
      </c>
      <c r="AL127" t="s">
        <v>150</v>
      </c>
      <c r="AM127" t="s">
        <v>162</v>
      </c>
      <c r="AN127" t="s">
        <v>128</v>
      </c>
      <c r="AO127" t="s">
        <v>129</v>
      </c>
      <c r="AP127" t="s">
        <v>132</v>
      </c>
      <c r="AQ127" t="s">
        <v>602</v>
      </c>
      <c r="AR127" t="s">
        <v>131</v>
      </c>
      <c r="AS127" t="s">
        <v>132</v>
      </c>
      <c r="AU127" t="s">
        <v>603</v>
      </c>
      <c r="AV127" t="s">
        <v>604</v>
      </c>
      <c r="AW127" t="s">
        <v>157</v>
      </c>
      <c r="AY127" s="1" t="s">
        <v>123</v>
      </c>
      <c r="CS127" s="1" t="s">
        <v>123</v>
      </c>
      <c r="DC127" s="1" t="s">
        <v>123</v>
      </c>
      <c r="DM127" s="1" t="s">
        <v>123</v>
      </c>
      <c r="EP127" s="1" t="s">
        <v>123</v>
      </c>
      <c r="EQ127" t="s">
        <v>180</v>
      </c>
      <c r="ER127" t="s">
        <v>132</v>
      </c>
      <c r="FP127" s="1" t="s">
        <v>123</v>
      </c>
      <c r="FQ127" t="s">
        <v>132</v>
      </c>
      <c r="FS127" t="s">
        <v>132</v>
      </c>
      <c r="GX127" t="s">
        <v>605</v>
      </c>
      <c r="GY127" t="s">
        <v>606</v>
      </c>
      <c r="GZ127" t="s">
        <v>607</v>
      </c>
      <c r="HA127" t="s">
        <v>140</v>
      </c>
      <c r="HB127">
        <v>1994</v>
      </c>
      <c r="HC127" t="str">
        <f>VLOOKUP(AnalizaCzyste[[#This Row],[Rok urodzenia]],KategorieWiekowe[],2,1)</f>
        <v>26-35 lat</v>
      </c>
      <c r="HD127" t="s">
        <v>483</v>
      </c>
      <c r="HF127" t="s">
        <v>608</v>
      </c>
      <c r="HG127" t="s">
        <v>609</v>
      </c>
    </row>
    <row r="128" spans="1:216" x14ac:dyDescent="0.45">
      <c r="A128">
        <v>81</v>
      </c>
      <c r="B128">
        <f>_xlfn.IFNA(VLOOKUP(AnalizaCzyste[[#This Row],[Zakończono wypełnianie]],Zakończone[],2,0),"BRAK")</f>
        <v>46</v>
      </c>
      <c r="C128">
        <f t="shared" si="3"/>
        <v>33</v>
      </c>
      <c r="D128" t="s">
        <v>370</v>
      </c>
      <c r="E128" t="s">
        <v>118</v>
      </c>
      <c r="F128" t="s">
        <v>774</v>
      </c>
      <c r="J128" t="s">
        <v>119</v>
      </c>
      <c r="K128" t="s">
        <v>821</v>
      </c>
      <c r="L128" t="s">
        <v>822</v>
      </c>
      <c r="M128">
        <v>3447</v>
      </c>
      <c r="N128">
        <v>0</v>
      </c>
      <c r="O128" t="s">
        <v>122</v>
      </c>
      <c r="P128" s="1" t="s">
        <v>123</v>
      </c>
      <c r="AF128" s="1" t="s">
        <v>124</v>
      </c>
      <c r="AG128" t="s">
        <v>813</v>
      </c>
      <c r="AH128" t="str">
        <f>VLOOKUP(AnalizaCzyste[[#This Row],[Jak się nazywa uczelnia którą ukończyłeś? (proszę o wybranie jednej uczelni podlegającej ocenie)]],KategorieUczelni[],2,0)</f>
        <v>Publiczna</v>
      </c>
      <c r="AI128">
        <v>1960</v>
      </c>
      <c r="AJ128" t="s">
        <v>148</v>
      </c>
      <c r="AK128" t="s">
        <v>823</v>
      </c>
      <c r="AL128" t="s">
        <v>150</v>
      </c>
      <c r="AM128" t="s">
        <v>150</v>
      </c>
      <c r="AN128" t="s">
        <v>151</v>
      </c>
      <c r="AO128" t="s">
        <v>236</v>
      </c>
      <c r="AP128" t="s">
        <v>236</v>
      </c>
      <c r="AQ128" t="s">
        <v>814</v>
      </c>
      <c r="AR128" t="s">
        <v>131</v>
      </c>
      <c r="AS128" t="s">
        <v>131</v>
      </c>
      <c r="AU128" t="s">
        <v>824</v>
      </c>
      <c r="AV128" t="s">
        <v>825</v>
      </c>
      <c r="AW128" t="s">
        <v>157</v>
      </c>
      <c r="AY128" s="1" t="s">
        <v>123</v>
      </c>
      <c r="CS128" s="1" t="s">
        <v>123</v>
      </c>
      <c r="DC128" s="1" t="s">
        <v>123</v>
      </c>
      <c r="DM128" s="1" t="s">
        <v>123</v>
      </c>
      <c r="EP128" s="1" t="s">
        <v>123</v>
      </c>
      <c r="FP128" s="1" t="s">
        <v>123</v>
      </c>
      <c r="FQ128" t="s">
        <v>132</v>
      </c>
      <c r="GX128" t="s">
        <v>826</v>
      </c>
      <c r="GY128" t="s">
        <v>824</v>
      </c>
      <c r="GZ128" t="s">
        <v>827</v>
      </c>
      <c r="HA128" t="s">
        <v>186</v>
      </c>
      <c r="HB128">
        <v>1934</v>
      </c>
      <c r="HC128" t="str">
        <f>VLOOKUP(AnalizaCzyste[[#This Row],[Rok urodzenia]],KategorieWiekowe[],2,1)</f>
        <v>powyżej 65 lat</v>
      </c>
      <c r="HD128" t="s">
        <v>220</v>
      </c>
    </row>
    <row r="129" spans="1:216" x14ac:dyDescent="0.45">
      <c r="A129">
        <v>193</v>
      </c>
      <c r="B129">
        <f>_xlfn.IFNA(VLOOKUP(AnalizaCzyste[[#This Row],[Zakończono wypełnianie]],Zakończone[],2,0),"BRAK")</f>
        <v>110</v>
      </c>
      <c r="C129">
        <f t="shared" si="3"/>
        <v>35</v>
      </c>
      <c r="D129" t="s">
        <v>1131</v>
      </c>
      <c r="E129" t="s">
        <v>118</v>
      </c>
      <c r="J129" t="s">
        <v>119</v>
      </c>
      <c r="K129" t="s">
        <v>1634</v>
      </c>
      <c r="L129" t="s">
        <v>1635</v>
      </c>
      <c r="M129">
        <v>545</v>
      </c>
      <c r="N129">
        <v>0</v>
      </c>
      <c r="O129" t="s">
        <v>122</v>
      </c>
      <c r="P129" s="1" t="s">
        <v>123</v>
      </c>
      <c r="AF129" s="1" t="s">
        <v>124</v>
      </c>
      <c r="AG129" t="s">
        <v>1636</v>
      </c>
      <c r="AH129" t="str">
        <f>VLOOKUP(AnalizaCzyste[[#This Row],[Jak się nazywa uczelnia którą ukończyłeś? (proszę o wybranie jednej uczelni podlegającej ocenie)]],KategorieUczelni[],2,0)</f>
        <v>Publiczna</v>
      </c>
      <c r="AI129">
        <v>2001</v>
      </c>
      <c r="AJ129" t="s">
        <v>148</v>
      </c>
      <c r="AK129" t="s">
        <v>1637</v>
      </c>
      <c r="AL129" t="s">
        <v>150</v>
      </c>
      <c r="AM129" t="s">
        <v>150</v>
      </c>
      <c r="AN129" t="s">
        <v>169</v>
      </c>
      <c r="AO129" t="s">
        <v>150</v>
      </c>
      <c r="AP129" t="s">
        <v>169</v>
      </c>
      <c r="AQ129" t="s">
        <v>1638</v>
      </c>
      <c r="AR129" t="s">
        <v>152</v>
      </c>
      <c r="AS129" t="s">
        <v>153</v>
      </c>
      <c r="AT129" t="s">
        <v>1639</v>
      </c>
      <c r="AU129" t="s">
        <v>1640</v>
      </c>
      <c r="AV129" t="s">
        <v>386</v>
      </c>
      <c r="AW129" t="s">
        <v>157</v>
      </c>
      <c r="AY129" s="1" t="s">
        <v>123</v>
      </c>
      <c r="CS129" s="1" t="s">
        <v>123</v>
      </c>
      <c r="DC129" s="1" t="s">
        <v>123</v>
      </c>
      <c r="DM129" s="1" t="s">
        <v>123</v>
      </c>
      <c r="EP129" s="1" t="s">
        <v>123</v>
      </c>
      <c r="FP129" s="1" t="s">
        <v>123</v>
      </c>
      <c r="GX129" t="s">
        <v>1641</v>
      </c>
      <c r="GY129" t="s">
        <v>1642</v>
      </c>
      <c r="GZ129" t="s">
        <v>1643</v>
      </c>
      <c r="HA129" t="s">
        <v>140</v>
      </c>
      <c r="HB129">
        <v>1977</v>
      </c>
      <c r="HC129" t="str">
        <f>VLOOKUP(AnalizaCzyste[[#This Row],[Rok urodzenia]],KategorieWiekowe[],2,1)</f>
        <v>36-45 lat</v>
      </c>
      <c r="HD129" t="s">
        <v>141</v>
      </c>
      <c r="HE129" t="s">
        <v>1644</v>
      </c>
      <c r="HF129" t="s">
        <v>1645</v>
      </c>
    </row>
    <row r="130" spans="1:216" x14ac:dyDescent="0.45">
      <c r="A130">
        <v>78</v>
      </c>
      <c r="B130">
        <f>_xlfn.IFNA(VLOOKUP(AnalizaCzyste[[#This Row],[Zakończono wypełnianie]],Zakończone[],2,0),"BRAK")</f>
        <v>44</v>
      </c>
      <c r="C130">
        <f t="shared" si="3"/>
        <v>36</v>
      </c>
      <c r="D130" t="s">
        <v>796</v>
      </c>
      <c r="E130" t="s">
        <v>118</v>
      </c>
      <c r="F130" t="s">
        <v>797</v>
      </c>
      <c r="J130" t="s">
        <v>119</v>
      </c>
      <c r="K130" t="s">
        <v>798</v>
      </c>
      <c r="L130" t="s">
        <v>799</v>
      </c>
      <c r="M130">
        <v>2364</v>
      </c>
      <c r="N130">
        <v>0</v>
      </c>
      <c r="O130" t="s">
        <v>122</v>
      </c>
      <c r="P130" s="1" t="s">
        <v>123</v>
      </c>
      <c r="AF130" s="1" t="s">
        <v>124</v>
      </c>
      <c r="AG130" t="s">
        <v>800</v>
      </c>
      <c r="AH130" t="str">
        <f>VLOOKUP(AnalizaCzyste[[#This Row],[Jak się nazywa uczelnia którą ukończyłeś? (proszę o wybranie jednej uczelni podlegającej ocenie)]],KategorieUczelni[],2,0)</f>
        <v>Publiczna</v>
      </c>
      <c r="AI130">
        <v>2002</v>
      </c>
      <c r="AJ130" t="s">
        <v>126</v>
      </c>
      <c r="AK130" t="s">
        <v>801</v>
      </c>
      <c r="AL130" t="s">
        <v>150</v>
      </c>
      <c r="AM130" t="s">
        <v>162</v>
      </c>
      <c r="AN130" t="s">
        <v>151</v>
      </c>
      <c r="AO130" t="s">
        <v>129</v>
      </c>
      <c r="AP130" t="s">
        <v>236</v>
      </c>
      <c r="AQ130">
        <v>3</v>
      </c>
      <c r="AR130" t="s">
        <v>152</v>
      </c>
      <c r="AS130" t="s">
        <v>152</v>
      </c>
      <c r="AT130" t="s">
        <v>802</v>
      </c>
      <c r="AU130" t="s">
        <v>803</v>
      </c>
      <c r="AV130" t="s">
        <v>804</v>
      </c>
      <c r="AW130" t="s">
        <v>157</v>
      </c>
      <c r="AY130" s="1" t="s">
        <v>123</v>
      </c>
      <c r="CS130" s="1" t="s">
        <v>123</v>
      </c>
      <c r="DC130" s="1" t="s">
        <v>123</v>
      </c>
      <c r="DM130" s="1" t="s">
        <v>123</v>
      </c>
      <c r="EP130" s="1" t="s">
        <v>123</v>
      </c>
      <c r="FP130" s="1" t="s">
        <v>123</v>
      </c>
      <c r="FQ130" t="s">
        <v>132</v>
      </c>
      <c r="GX130" t="s">
        <v>805</v>
      </c>
      <c r="GY130" t="s">
        <v>806</v>
      </c>
      <c r="GZ130" t="s">
        <v>807</v>
      </c>
      <c r="HA130" t="s">
        <v>140</v>
      </c>
      <c r="HB130">
        <v>1978</v>
      </c>
      <c r="HC130" t="str">
        <f>VLOOKUP(AnalizaCzyste[[#This Row],[Rok urodzenia]],KategorieWiekowe[],2,1)</f>
        <v>36-45 lat</v>
      </c>
      <c r="HD130" t="s">
        <v>141</v>
      </c>
      <c r="HF130" t="s">
        <v>386</v>
      </c>
      <c r="HG130" t="s">
        <v>386</v>
      </c>
    </row>
    <row r="131" spans="1:216" x14ac:dyDescent="0.45">
      <c r="A131">
        <v>248</v>
      </c>
      <c r="B131">
        <f>_xlfn.IFNA(VLOOKUP(AnalizaCzyste[[#This Row],[Zakończono wypełnianie]],Zakończone[],2,0),"BRAK")</f>
        <v>133</v>
      </c>
      <c r="C131">
        <f t="shared" si="3"/>
        <v>32</v>
      </c>
      <c r="D131" t="s">
        <v>1142</v>
      </c>
      <c r="E131" t="s">
        <v>118</v>
      </c>
      <c r="J131" t="s">
        <v>119</v>
      </c>
      <c r="K131" t="s">
        <v>1979</v>
      </c>
      <c r="L131" t="s">
        <v>1980</v>
      </c>
      <c r="M131">
        <v>1026</v>
      </c>
      <c r="N131">
        <v>0</v>
      </c>
      <c r="O131" t="s">
        <v>122</v>
      </c>
      <c r="P131" s="1" t="s">
        <v>416</v>
      </c>
      <c r="Q131" t="s">
        <v>813</v>
      </c>
      <c r="R131" t="s">
        <v>148</v>
      </c>
      <c r="S131" t="s">
        <v>1982</v>
      </c>
      <c r="T131" t="s">
        <v>162</v>
      </c>
      <c r="U131" t="s">
        <v>162</v>
      </c>
      <c r="V131" t="s">
        <v>150</v>
      </c>
      <c r="W131" t="s">
        <v>1983</v>
      </c>
      <c r="X131" t="s">
        <v>1984</v>
      </c>
      <c r="Y131" t="s">
        <v>194</v>
      </c>
      <c r="Z131" t="s">
        <v>1985</v>
      </c>
      <c r="AA131" t="s">
        <v>1986</v>
      </c>
      <c r="AB131" t="s">
        <v>1987</v>
      </c>
      <c r="AC131" t="s">
        <v>157</v>
      </c>
      <c r="AE131">
        <v>4</v>
      </c>
      <c r="AF131" s="1" t="s">
        <v>123</v>
      </c>
      <c r="AH131" t="e">
        <f>VLOOKUP(AnalizaCzyste[[#This Row],[Jak się nazywa uczelnia którą ukończyłeś? (proszę o wybranie jednej uczelni podlegającej ocenie)]],KategorieUczelni[],2,0)</f>
        <v>#N/A</v>
      </c>
      <c r="AY131" s="1" t="s">
        <v>123</v>
      </c>
      <c r="CS131" s="1" t="s">
        <v>123</v>
      </c>
      <c r="DC131" s="1" t="s">
        <v>123</v>
      </c>
      <c r="DM131" s="1" t="s">
        <v>123</v>
      </c>
      <c r="EP131" s="1" t="s">
        <v>123</v>
      </c>
      <c r="FP131" s="1" t="s">
        <v>123</v>
      </c>
      <c r="GX131" t="s">
        <v>1988</v>
      </c>
      <c r="GY131" t="s">
        <v>1989</v>
      </c>
      <c r="GZ131" t="s">
        <v>1990</v>
      </c>
      <c r="HA131" t="s">
        <v>186</v>
      </c>
      <c r="HB131">
        <v>1992</v>
      </c>
      <c r="HC131" t="str">
        <f>VLOOKUP(AnalizaCzyste[[#This Row],[Rok urodzenia]],KategorieWiekowe[],2,1)</f>
        <v>26-35 lat</v>
      </c>
      <c r="HD131" t="s">
        <v>246</v>
      </c>
      <c r="HF131" t="s">
        <v>1991</v>
      </c>
    </row>
    <row r="132" spans="1:216" x14ac:dyDescent="0.45">
      <c r="A132">
        <v>123</v>
      </c>
      <c r="B132">
        <f>_xlfn.IFNA(VLOOKUP(AnalizaCzyste[[#This Row],[Zakończono wypełnianie]],Zakończone[],2,0),"BRAK")</f>
        <v>72</v>
      </c>
      <c r="C132">
        <f t="shared" si="3"/>
        <v>34</v>
      </c>
      <c r="D132" t="s">
        <v>1142</v>
      </c>
      <c r="E132" t="s">
        <v>118</v>
      </c>
      <c r="J132" t="s">
        <v>119</v>
      </c>
      <c r="K132" t="s">
        <v>1143</v>
      </c>
      <c r="L132" t="s">
        <v>1144</v>
      </c>
      <c r="M132">
        <v>258</v>
      </c>
      <c r="N132">
        <v>0</v>
      </c>
      <c r="O132" t="s">
        <v>122</v>
      </c>
      <c r="P132" s="1" t="s">
        <v>123</v>
      </c>
      <c r="AF132" s="1" t="s">
        <v>124</v>
      </c>
      <c r="AG132" t="s">
        <v>1439</v>
      </c>
      <c r="AH132" t="str">
        <f>VLOOKUP(AnalizaCzyste[[#This Row],[Jak się nazywa uczelnia którą ukończyłeś? (proszę o wybranie jednej uczelni podlegającej ocenie)]],KategorieUczelni[],2,0)</f>
        <v>Niepubliczna</v>
      </c>
      <c r="AI132">
        <v>2016</v>
      </c>
      <c r="AJ132" t="s">
        <v>126</v>
      </c>
      <c r="AK132" t="s">
        <v>1146</v>
      </c>
      <c r="AL132" t="s">
        <v>150</v>
      </c>
      <c r="AM132" t="s">
        <v>150</v>
      </c>
      <c r="AN132" t="s">
        <v>169</v>
      </c>
      <c r="AO132" t="s">
        <v>169</v>
      </c>
      <c r="AP132" t="s">
        <v>169</v>
      </c>
      <c r="AQ132">
        <v>3</v>
      </c>
      <c r="AR132" t="s">
        <v>302</v>
      </c>
      <c r="AS132" t="s">
        <v>943</v>
      </c>
      <c r="AU132" t="s">
        <v>1147</v>
      </c>
      <c r="AV132" t="s">
        <v>1148</v>
      </c>
      <c r="AW132" t="s">
        <v>892</v>
      </c>
      <c r="AY132" s="1" t="s">
        <v>123</v>
      </c>
      <c r="CS132" s="1" t="s">
        <v>123</v>
      </c>
      <c r="DC132" s="1" t="s">
        <v>123</v>
      </c>
      <c r="DM132" s="1" t="s">
        <v>123</v>
      </c>
      <c r="EP132" s="1" t="s">
        <v>123</v>
      </c>
      <c r="EQ132" t="s">
        <v>178</v>
      </c>
      <c r="ER132">
        <v>1</v>
      </c>
      <c r="FP132" s="1" t="s">
        <v>123</v>
      </c>
      <c r="GX132" t="s">
        <v>1149</v>
      </c>
      <c r="GY132" t="s">
        <v>1149</v>
      </c>
      <c r="GZ132" t="s">
        <v>1150</v>
      </c>
      <c r="HA132" t="s">
        <v>186</v>
      </c>
      <c r="HB132">
        <v>1986</v>
      </c>
      <c r="HC132" t="str">
        <f>VLOOKUP(AnalizaCzyste[[#This Row],[Rok urodzenia]],KategorieWiekowe[],2,1)</f>
        <v>26-35 lat</v>
      </c>
      <c r="HD132" t="s">
        <v>398</v>
      </c>
    </row>
    <row r="133" spans="1:216" x14ac:dyDescent="0.45">
      <c r="A133">
        <v>33</v>
      </c>
      <c r="B133">
        <f>_xlfn.IFNA(VLOOKUP(AnalizaCzyste[[#This Row],[Zakończono wypełnianie]],Zakończone[],2,0),"BRAK")</f>
        <v>23</v>
      </c>
      <c r="C133">
        <f t="shared" ref="C133:C135" si="4">COUNTA(O133:HH133)</f>
        <v>31</v>
      </c>
      <c r="D133" t="s">
        <v>472</v>
      </c>
      <c r="E133" t="s">
        <v>118</v>
      </c>
      <c r="F133" t="s">
        <v>375</v>
      </c>
      <c r="J133" t="s">
        <v>119</v>
      </c>
      <c r="K133" t="s">
        <v>473</v>
      </c>
      <c r="L133" t="s">
        <v>474</v>
      </c>
      <c r="M133">
        <v>2507</v>
      </c>
      <c r="N133">
        <v>0</v>
      </c>
      <c r="O133" t="s">
        <v>122</v>
      </c>
      <c r="P133" s="1" t="s">
        <v>416</v>
      </c>
      <c r="Q133" t="s">
        <v>445</v>
      </c>
      <c r="R133" t="s">
        <v>148</v>
      </c>
      <c r="S133" t="s">
        <v>475</v>
      </c>
      <c r="T133" t="s">
        <v>169</v>
      </c>
      <c r="U133" t="s">
        <v>169</v>
      </c>
      <c r="V133" t="s">
        <v>151</v>
      </c>
      <c r="W133" t="s">
        <v>476</v>
      </c>
      <c r="X133" t="s">
        <v>302</v>
      </c>
      <c r="Y133" t="s">
        <v>302</v>
      </c>
      <c r="AA133" t="s">
        <v>477</v>
      </c>
      <c r="AB133" t="s">
        <v>478</v>
      </c>
      <c r="AC133" t="s">
        <v>157</v>
      </c>
      <c r="AE133">
        <v>10</v>
      </c>
      <c r="AF133" s="1" t="s">
        <v>123</v>
      </c>
      <c r="AH133" t="e">
        <f>VLOOKUP(AnalizaCzyste[[#This Row],[Jak się nazywa uczelnia którą ukończyłeś? (proszę o wybranie jednej uczelni podlegającej ocenie)]],KategorieUczelni[],2,0)</f>
        <v>#N/A</v>
      </c>
      <c r="AY133" s="1" t="s">
        <v>123</v>
      </c>
      <c r="CS133" s="1" t="s">
        <v>123</v>
      </c>
      <c r="DC133" s="1" t="s">
        <v>123</v>
      </c>
      <c r="DM133" s="1" t="s">
        <v>123</v>
      </c>
      <c r="EP133" s="1" t="s">
        <v>123</v>
      </c>
      <c r="FP133" s="1" t="s">
        <v>123</v>
      </c>
      <c r="FQ133" t="s">
        <v>132</v>
      </c>
      <c r="GX133" t="s">
        <v>480</v>
      </c>
      <c r="GY133" t="s">
        <v>481</v>
      </c>
      <c r="GZ133" t="s">
        <v>482</v>
      </c>
      <c r="HA133" t="s">
        <v>140</v>
      </c>
      <c r="HB133">
        <v>1996</v>
      </c>
      <c r="HC133" t="str">
        <f>VLOOKUP(AnalizaCzyste[[#This Row],[Rok urodzenia]],KategorieWiekowe[],2,1)</f>
        <v>poniżej 26 lat</v>
      </c>
      <c r="HD133" t="s">
        <v>483</v>
      </c>
    </row>
    <row r="134" spans="1:216" x14ac:dyDescent="0.45">
      <c r="A134">
        <v>58</v>
      </c>
      <c r="B134">
        <f>_xlfn.IFNA(VLOOKUP(AnalizaCzyste[[#This Row],[Zakończono wypełnianie]],Zakończone[],2,0),"BRAK")</f>
        <v>34</v>
      </c>
      <c r="C134">
        <f t="shared" si="4"/>
        <v>31</v>
      </c>
      <c r="D134" t="s">
        <v>645</v>
      </c>
      <c r="E134" t="s">
        <v>118</v>
      </c>
      <c r="F134" t="s">
        <v>375</v>
      </c>
      <c r="J134" t="s">
        <v>119</v>
      </c>
      <c r="K134" t="s">
        <v>646</v>
      </c>
      <c r="L134" t="s">
        <v>647</v>
      </c>
      <c r="M134">
        <v>551</v>
      </c>
      <c r="N134">
        <v>0</v>
      </c>
      <c r="O134" t="s">
        <v>122</v>
      </c>
      <c r="P134" s="1" t="s">
        <v>416</v>
      </c>
      <c r="Q134" t="s">
        <v>160</v>
      </c>
      <c r="R134" t="s">
        <v>148</v>
      </c>
      <c r="S134" t="s">
        <v>648</v>
      </c>
      <c r="T134" t="s">
        <v>128</v>
      </c>
      <c r="U134" t="s">
        <v>162</v>
      </c>
      <c r="V134" t="s">
        <v>162</v>
      </c>
      <c r="W134" t="s">
        <v>237</v>
      </c>
      <c r="X134" t="s">
        <v>302</v>
      </c>
      <c r="Y134" t="s">
        <v>153</v>
      </c>
      <c r="AA134" t="s">
        <v>649</v>
      </c>
      <c r="AB134" t="s">
        <v>650</v>
      </c>
      <c r="AC134" t="s">
        <v>157</v>
      </c>
      <c r="AE134">
        <v>8</v>
      </c>
      <c r="AF134" s="1" t="s">
        <v>123</v>
      </c>
      <c r="AH134" t="e">
        <f>VLOOKUP(AnalizaCzyste[[#This Row],[Jak się nazywa uczelnia którą ukończyłeś? (proszę o wybranie jednej uczelni podlegającej ocenie)]],KategorieUczelni[],2,0)</f>
        <v>#N/A</v>
      </c>
      <c r="AY134" s="1" t="s">
        <v>123</v>
      </c>
      <c r="CS134" s="1" t="s">
        <v>123</v>
      </c>
      <c r="DC134" s="1" t="s">
        <v>123</v>
      </c>
      <c r="DM134" s="1" t="s">
        <v>123</v>
      </c>
      <c r="EP134" s="1" t="s">
        <v>123</v>
      </c>
      <c r="FP134" s="1" t="s">
        <v>123</v>
      </c>
      <c r="FQ134" t="s">
        <v>132</v>
      </c>
      <c r="GX134" t="s">
        <v>651</v>
      </c>
      <c r="GY134" t="s">
        <v>652</v>
      </c>
      <c r="GZ134" t="s">
        <v>653</v>
      </c>
      <c r="HA134" t="s">
        <v>140</v>
      </c>
      <c r="HB134">
        <v>1998</v>
      </c>
      <c r="HC134" t="str">
        <f>VLOOKUP(AnalizaCzyste[[#This Row],[Rok urodzenia]],KategorieWiekowe[],2,1)</f>
        <v>poniżej 26 lat</v>
      </c>
      <c r="HD134" t="s">
        <v>141</v>
      </c>
    </row>
    <row r="135" spans="1:216" x14ac:dyDescent="0.45">
      <c r="A135">
        <v>82</v>
      </c>
      <c r="B135">
        <f>_xlfn.IFNA(VLOOKUP(AnalizaCzyste[[#This Row],[Zakończono wypełnianie]],Zakończone[],2,0),"BRAK")</f>
        <v>47</v>
      </c>
      <c r="C135">
        <f t="shared" si="4"/>
        <v>30</v>
      </c>
      <c r="D135" t="s">
        <v>828</v>
      </c>
      <c r="E135" t="s">
        <v>118</v>
      </c>
      <c r="J135" t="s">
        <v>119</v>
      </c>
      <c r="K135" t="s">
        <v>829</v>
      </c>
      <c r="L135" t="s">
        <v>830</v>
      </c>
      <c r="M135">
        <v>3349</v>
      </c>
      <c r="N135">
        <v>0</v>
      </c>
      <c r="O135" t="s">
        <v>122</v>
      </c>
      <c r="P135" s="1" t="s">
        <v>123</v>
      </c>
      <c r="AF135" s="1" t="s">
        <v>123</v>
      </c>
      <c r="AH135" t="e">
        <f>VLOOKUP(AnalizaCzyste[[#This Row],[Jak się nazywa uczelnia którą ukończyłeś? (proszę o wybranie jednej uczelni podlegającej ocenie)]],KategorieUczelni[],2,0)</f>
        <v>#N/A</v>
      </c>
      <c r="AY135" s="1" t="s">
        <v>123</v>
      </c>
      <c r="CS135" s="1" t="s">
        <v>123</v>
      </c>
      <c r="DC135" s="1" t="s">
        <v>123</v>
      </c>
      <c r="DM135" s="1" t="s">
        <v>123</v>
      </c>
      <c r="EP135" s="1" t="s">
        <v>177</v>
      </c>
      <c r="EQ135" t="s">
        <v>178</v>
      </c>
      <c r="ER135">
        <v>1</v>
      </c>
      <c r="ES135" t="s">
        <v>191</v>
      </c>
      <c r="ET135" t="s">
        <v>162</v>
      </c>
      <c r="EU135" t="s">
        <v>162</v>
      </c>
      <c r="EV135" t="s">
        <v>128</v>
      </c>
      <c r="EW135" t="s">
        <v>178</v>
      </c>
      <c r="EX135" t="s">
        <v>831</v>
      </c>
      <c r="EY135" t="s">
        <v>832</v>
      </c>
      <c r="EZ135" t="s">
        <v>173</v>
      </c>
      <c r="FP135" s="1" t="s">
        <v>123</v>
      </c>
      <c r="FQ135" t="s">
        <v>132</v>
      </c>
      <c r="FS135" t="s">
        <v>132</v>
      </c>
      <c r="GX135" t="s">
        <v>833</v>
      </c>
      <c r="GY135" t="s">
        <v>834</v>
      </c>
      <c r="GZ135" t="s">
        <v>835</v>
      </c>
      <c r="HA135" t="s">
        <v>140</v>
      </c>
      <c r="HB135">
        <v>1977</v>
      </c>
      <c r="HC135" t="str">
        <f>VLOOKUP(AnalizaCzyste[[#This Row],[Rok urodzenia]],KategorieWiekowe[],2,1)</f>
        <v>36-45 lat</v>
      </c>
      <c r="HD135" t="s">
        <v>398</v>
      </c>
      <c r="HF135" t="s">
        <v>836</v>
      </c>
    </row>
    <row r="136" spans="1:216" ht="14.65" thickBot="1" x14ac:dyDescent="0.5">
      <c r="O136" s="6">
        <f t="shared" ref="O136:AU136" si="5">COUNTA((O3:O135))</f>
        <v>133</v>
      </c>
      <c r="P136" s="6">
        <f t="shared" si="5"/>
        <v>133</v>
      </c>
      <c r="Q136" s="1">
        <f t="shared" si="5"/>
        <v>14</v>
      </c>
      <c r="R136" s="1">
        <f t="shared" si="5"/>
        <v>14</v>
      </c>
      <c r="S136" s="1">
        <f t="shared" si="5"/>
        <v>14</v>
      </c>
      <c r="T136" s="1">
        <f t="shared" si="5"/>
        <v>14</v>
      </c>
      <c r="U136" s="1">
        <f t="shared" si="5"/>
        <v>14</v>
      </c>
      <c r="V136" s="1">
        <f t="shared" si="5"/>
        <v>14</v>
      </c>
      <c r="W136" s="1">
        <f t="shared" si="5"/>
        <v>14</v>
      </c>
      <c r="X136" s="1">
        <f t="shared" si="5"/>
        <v>14</v>
      </c>
      <c r="Y136" s="1">
        <f t="shared" si="5"/>
        <v>14</v>
      </c>
      <c r="Z136" s="1">
        <f t="shared" si="5"/>
        <v>9</v>
      </c>
      <c r="AA136" s="1">
        <f t="shared" si="5"/>
        <v>14</v>
      </c>
      <c r="AB136" s="1">
        <f t="shared" si="5"/>
        <v>14</v>
      </c>
      <c r="AC136" s="1">
        <f t="shared" si="5"/>
        <v>13</v>
      </c>
      <c r="AD136" s="1">
        <f t="shared" si="5"/>
        <v>2</v>
      </c>
      <c r="AE136" s="1">
        <f t="shared" si="5"/>
        <v>14</v>
      </c>
      <c r="AF136" s="6">
        <f t="shared" si="5"/>
        <v>133</v>
      </c>
      <c r="AG136" s="1">
        <f t="shared" si="5"/>
        <v>120</v>
      </c>
      <c r="AH136" s="1"/>
      <c r="AI136" s="1">
        <f t="shared" si="5"/>
        <v>119</v>
      </c>
      <c r="AJ136" s="1">
        <f t="shared" si="5"/>
        <v>120</v>
      </c>
      <c r="AK136" s="1">
        <f t="shared" si="5"/>
        <v>120</v>
      </c>
      <c r="AL136" s="1">
        <f t="shared" si="5"/>
        <v>120</v>
      </c>
      <c r="AM136" s="1">
        <f t="shared" si="5"/>
        <v>120</v>
      </c>
      <c r="AN136" s="1">
        <f t="shared" si="5"/>
        <v>120</v>
      </c>
      <c r="AO136" s="1">
        <f t="shared" si="5"/>
        <v>120</v>
      </c>
      <c r="AP136" s="1">
        <f t="shared" si="5"/>
        <v>120</v>
      </c>
      <c r="AQ136" s="1">
        <f t="shared" si="5"/>
        <v>120</v>
      </c>
      <c r="AR136" s="1">
        <f t="shared" si="5"/>
        <v>120</v>
      </c>
      <c r="AS136" s="1">
        <f t="shared" si="5"/>
        <v>120</v>
      </c>
      <c r="AT136" s="1">
        <f t="shared" si="5"/>
        <v>98</v>
      </c>
      <c r="AU136" s="1">
        <f t="shared" si="5"/>
        <v>120</v>
      </c>
      <c r="AV136" s="1">
        <f t="shared" ref="AV136:CA136" si="6">COUNTA((AV3:AV135))</f>
        <v>120</v>
      </c>
      <c r="AW136" s="1">
        <f t="shared" si="6"/>
        <v>108</v>
      </c>
      <c r="AX136" s="1">
        <f t="shared" si="6"/>
        <v>38</v>
      </c>
      <c r="AY136" s="6">
        <f t="shared" si="6"/>
        <v>133</v>
      </c>
      <c r="AZ136" s="1">
        <f t="shared" si="6"/>
        <v>17</v>
      </c>
      <c r="BA136" s="1">
        <f t="shared" si="6"/>
        <v>17</v>
      </c>
      <c r="BB136" s="1">
        <f t="shared" si="6"/>
        <v>17</v>
      </c>
      <c r="BC136" s="1">
        <f t="shared" si="6"/>
        <v>17</v>
      </c>
      <c r="BD136" s="1">
        <f t="shared" si="6"/>
        <v>17</v>
      </c>
      <c r="BE136" s="1">
        <f t="shared" si="6"/>
        <v>17</v>
      </c>
      <c r="BF136" s="1">
        <f t="shared" si="6"/>
        <v>17</v>
      </c>
      <c r="BG136" s="1">
        <f t="shared" si="6"/>
        <v>17</v>
      </c>
      <c r="BH136" s="1">
        <f t="shared" si="6"/>
        <v>17</v>
      </c>
      <c r="BI136" s="1">
        <f t="shared" si="6"/>
        <v>17</v>
      </c>
      <c r="BJ136" s="1">
        <f t="shared" si="6"/>
        <v>17</v>
      </c>
      <c r="BK136" s="1">
        <f t="shared" si="6"/>
        <v>15</v>
      </c>
      <c r="BL136" s="1">
        <f t="shared" si="6"/>
        <v>17</v>
      </c>
      <c r="BM136" s="1">
        <f t="shared" si="6"/>
        <v>1</v>
      </c>
      <c r="BN136" s="1">
        <f t="shared" si="6"/>
        <v>8</v>
      </c>
      <c r="BO136" s="1">
        <f t="shared" si="6"/>
        <v>17</v>
      </c>
      <c r="BP136" s="1">
        <f t="shared" si="6"/>
        <v>5</v>
      </c>
      <c r="BQ136" s="1">
        <f t="shared" si="6"/>
        <v>5</v>
      </c>
      <c r="BR136" s="1">
        <f t="shared" si="6"/>
        <v>5</v>
      </c>
      <c r="BS136" s="1">
        <f t="shared" si="6"/>
        <v>5</v>
      </c>
      <c r="BT136" s="1">
        <f t="shared" si="6"/>
        <v>5</v>
      </c>
      <c r="BU136" s="1">
        <f t="shared" si="6"/>
        <v>5</v>
      </c>
      <c r="BV136" s="1">
        <f t="shared" si="6"/>
        <v>5</v>
      </c>
      <c r="BW136" s="1">
        <f t="shared" si="6"/>
        <v>5</v>
      </c>
      <c r="BX136" s="1">
        <f t="shared" si="6"/>
        <v>5</v>
      </c>
      <c r="BY136" s="1">
        <f t="shared" si="6"/>
        <v>5</v>
      </c>
      <c r="BZ136" s="1">
        <f t="shared" si="6"/>
        <v>3</v>
      </c>
      <c r="CA136" s="1">
        <f t="shared" si="6"/>
        <v>5</v>
      </c>
      <c r="CB136" s="1">
        <f t="shared" ref="CB136:CS136" si="7">COUNTA((CB3:CB135))</f>
        <v>0</v>
      </c>
      <c r="CC136" s="1">
        <f t="shared" si="7"/>
        <v>3</v>
      </c>
      <c r="CD136" s="1">
        <f t="shared" si="7"/>
        <v>5</v>
      </c>
      <c r="CE136" s="1">
        <f t="shared" si="7"/>
        <v>2</v>
      </c>
      <c r="CF136" s="1">
        <f t="shared" si="7"/>
        <v>2</v>
      </c>
      <c r="CG136" s="1">
        <f t="shared" si="7"/>
        <v>2</v>
      </c>
      <c r="CH136" s="1">
        <f t="shared" si="7"/>
        <v>2</v>
      </c>
      <c r="CI136" s="1">
        <f t="shared" si="7"/>
        <v>2</v>
      </c>
      <c r="CJ136" s="1">
        <f t="shared" si="7"/>
        <v>2</v>
      </c>
      <c r="CK136" s="1">
        <f t="shared" si="7"/>
        <v>2</v>
      </c>
      <c r="CL136" s="1">
        <f t="shared" si="7"/>
        <v>2</v>
      </c>
      <c r="CM136" s="1">
        <f t="shared" si="7"/>
        <v>2</v>
      </c>
      <c r="CN136" s="1">
        <f t="shared" si="7"/>
        <v>2</v>
      </c>
      <c r="CO136" s="1">
        <f t="shared" si="7"/>
        <v>2</v>
      </c>
      <c r="CP136" s="1">
        <f t="shared" si="7"/>
        <v>2</v>
      </c>
      <c r="CQ136" s="1">
        <f t="shared" si="7"/>
        <v>0</v>
      </c>
      <c r="CR136" s="1">
        <f t="shared" si="7"/>
        <v>1</v>
      </c>
      <c r="CS136" s="6">
        <f t="shared" si="7"/>
        <v>133</v>
      </c>
      <c r="DC136" s="6">
        <f>COUNTA((DC3:DC135))</f>
        <v>133</v>
      </c>
      <c r="DM136" s="6">
        <f>COUNTA((DM3:DM135))</f>
        <v>133</v>
      </c>
      <c r="EP136" s="6">
        <f>COUNTA((EP3:EP135))</f>
        <v>133</v>
      </c>
      <c r="FP136" s="6">
        <f>COUNTA((FP3:FP135))</f>
        <v>133</v>
      </c>
      <c r="HA136" s="6">
        <f>COUNTA((HA3:HA135))</f>
        <v>133</v>
      </c>
      <c r="HB136" s="6">
        <f>COUNTA((HB3:HB135))</f>
        <v>133</v>
      </c>
      <c r="HC136" s="6"/>
      <c r="HD136" s="6">
        <f>COUNTA((HD3:HD135))</f>
        <v>133</v>
      </c>
      <c r="HE136" s="6">
        <f>COUNTA((HE3:HE135))</f>
        <v>7</v>
      </c>
      <c r="HF136" s="6">
        <f>COUNTA((HF3:HF135))</f>
        <v>84</v>
      </c>
      <c r="HG136" s="6">
        <f>COUNTA((HG3:HG135))</f>
        <v>52</v>
      </c>
      <c r="HH136" s="6">
        <f>COUNTA((HH3:HH135))</f>
        <v>12</v>
      </c>
    </row>
    <row r="137" spans="1:216" ht="15" thickTop="1" thickBot="1" x14ac:dyDescent="0.5">
      <c r="B137" s="20" t="s">
        <v>2292</v>
      </c>
      <c r="O137" s="7">
        <f>COUNTIF(AnalizaCzyste[Czy jesteś osobą pełnoletnią?],"*"&amp;"Tak"&amp;"*")</f>
        <v>133</v>
      </c>
      <c r="P137" s="7">
        <f>COUNTIF(AnalizaCzyste[Czy jesteś studentem uczelni wyższej?],"*"&amp;"Tak"&amp;"*")</f>
        <v>14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7">
        <f>COUNTIF(AnalizaCzyste[Czy jesteś absolwentem uczelni wyższej?],"*"&amp;"Tak"&amp;"*")</f>
        <v>120</v>
      </c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7">
        <f>COUNTIF(AnalizaCzyste[Czy jesteś rodzicem / opiekunem absolwenta uczelni wyższej?],"*"&amp;"Tak"&amp;"*")</f>
        <v>17</v>
      </c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7">
        <f>COUNTIF(AnalizaCzyste[Czy jesteś aktualnie pracownikiem administracyjnym uczelni wyższej?],"*"&amp;"Tak"&amp;"*")</f>
        <v>4</v>
      </c>
      <c r="CT137" s="8"/>
      <c r="CU137" s="8"/>
      <c r="CV137" s="8"/>
      <c r="CW137" s="8"/>
      <c r="CX137" s="8"/>
      <c r="CY137" s="8"/>
      <c r="CZ137" s="8"/>
      <c r="DA137" s="8"/>
      <c r="DB137" s="8"/>
      <c r="DC137" s="7">
        <f>COUNTIF(AnalizaCzyste[Czy jesteś aktualnie pracownikiem naukowym lub dydaktycznym uczelni wyższej?],"*"&amp;"Tak"&amp;"*")</f>
        <v>16</v>
      </c>
      <c r="DD137" s="8"/>
      <c r="DE137" s="8"/>
      <c r="DF137" s="8"/>
      <c r="DG137" s="8"/>
      <c r="DH137" s="8"/>
      <c r="DI137" s="8"/>
      <c r="DJ137" s="8"/>
      <c r="DK137" s="8"/>
      <c r="DL137" s="8"/>
      <c r="DM137" s="7">
        <f>COUNTIF(AnalizaCzyste[Czy jesteś przedstawicielem władz uczelni z grupy rektorów, prorektorów, dziekanów, prodziekanów, członków senatu lub członków rady uczelni?],"*"&amp;"Tak"&amp;"*")</f>
        <v>5</v>
      </c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7">
        <f>COUNTIF(AnalizaCzyste[Czy jesteś przedstawicielem firmy, w której są zatrudniani absolwenci uczelni wyższych (tytuł licencjata, magistra lub wyższy)?],"*"&amp;"Tak"&amp;"*")</f>
        <v>18</v>
      </c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7">
        <f>COUNTIF(AnalizaCzyste[Czy jesteś przedstawicielem władz samorządowych lub centralnych Rzeczypospolitej Polskiej?],"*"&amp;"Tak"&amp;"*")</f>
        <v>2</v>
      </c>
      <c r="FQ137" s="7">
        <f>COUNTIF(AnalizaCzyste[Proszę wskaż jaki poziom władzy samorządowej lub centralnej reprezentujesz.],"*"&amp;"Tak"&amp;"*")</f>
        <v>0</v>
      </c>
      <c r="FR137" s="7">
        <f>COUNTIF(AnalizaCzyste[Proszę o podanie nazwy organu władzy jaki reprezentujesz.],"*"&amp;"Tak"&amp;"*")</f>
        <v>0</v>
      </c>
      <c r="FS137" s="7">
        <f>COUNTIF(AnalizaCzyste[Ile uczelni będziesz oceniać?26],"*"&amp;"Tak"&amp;"*")</f>
        <v>0</v>
      </c>
      <c r="FT137" s="7">
        <f>COUNTIF(AnalizaCzyste[Jak się nazywa uczelnia, którą ocenisz?],"*"&amp;"Tak"&amp;"*")</f>
        <v>0</v>
      </c>
      <c r="FU137" s="7">
        <f>COUNTIF(AnalizaCzyste[Efekty działań ocenianej uczelni na rzesz jakości edukacji są zgodne ze strategią rozwoju w regionie.],"*"&amp;"Tak"&amp;"*")</f>
        <v>0</v>
      </c>
      <c r="FV137" s="7">
        <f>COUNTIF(AnalizaCzyste[Wartość wykształcenia zdobywanego przez studentów na ocenianej uczelni jest wysoka.27],"*"&amp;"Tak"&amp;"*")</f>
        <v>0</v>
      </c>
      <c r="FW137" s="7">
        <f>COUNTIF(AnalizaCzyste[Zdobyte przez studentów ocenianej uczelni wykształcenie miało/ma pozytywny wpływ na ich zarobki.28],"*"&amp;"Tak"&amp;"*")</f>
        <v>0</v>
      </c>
      <c r="FX137" s="7">
        <f>COUNTIF(AnalizaCzyste[Efekty działań ocenianej uczelni na rzecz jakości edukacji mają dobry wpływ na rozwój regionu.29],"*"&amp;"Tak"&amp;"*")</f>
        <v>0</v>
      </c>
      <c r="FY137" s="7">
        <f>COUNTIF(AnalizaCzyste[Efekty działań ocenianej uczelni na rzecz jakości edukacji mają dobry wpływ na rozwój Polski.30],"*"&amp;"Tak"&amp;"*")</f>
        <v>0</v>
      </c>
      <c r="FZ137" s="7">
        <f>COUNTIF(AnalizaCzyste[Współpraca ocenianej uczelni z biznesem ma pozytywne efekty dla rozwoju regionu / kraju.31],"*"&amp;"Tak"&amp;"*")</f>
        <v>0</v>
      </c>
      <c r="GA137" s="7">
        <f>COUNTIF(AnalizaCzyste[Ogólny poziom mojej satysfakcji z jakości usług edukacyjnych ocenianej uczelni jest wysoki.32],"*"&amp;"Tak"&amp;"*")</f>
        <v>0</v>
      </c>
      <c r="GB137" s="7">
        <f>COUNTIF(AnalizaCzyste[Pole dodatkowe33],"*"&amp;"Tak"&amp;"*")</f>
        <v>0</v>
      </c>
      <c r="GC137" s="7">
        <f>COUNTIF(AnalizaCzyste[Jakie inne efekty pracy ocenianej uczelni technicznej dostrzegasz obecnie?],"*"&amp;"Tak"&amp;"*")</f>
        <v>0</v>
      </c>
      <c r="GD137" s="7">
        <f>COUNTIF(AnalizaCzyste[Czy będziesz oceniać drugą uczelnię?],"*"&amp;"Tak"&amp;"*")</f>
        <v>0</v>
      </c>
      <c r="GE137" s="7">
        <f>COUNTIF(AnalizaCzyste[Jak się nazywa uczelnia, którą ocenisz?34],"*"&amp;"Tak"&amp;"*")</f>
        <v>0</v>
      </c>
      <c r="GF137" s="7">
        <f>COUNTIF(AnalizaCzyste[Efekty działań ocenianej uczelni na rzesz jakości edukacji są zgodne ze strategią rozwoju w regionie.35],"*"&amp;"Tak"&amp;"*")</f>
        <v>0</v>
      </c>
      <c r="GG137" s="7">
        <f>COUNTIF(AnalizaCzyste[Wartość wykształcenia zdobywanego przez studentów na ocenianej uczelni jest wysoka.36],"*"&amp;"Tak"&amp;"*")</f>
        <v>0</v>
      </c>
      <c r="GH137" s="7">
        <f>COUNTIF(AnalizaCzyste[Zdobyte przez studentów ocenianej uczelni wykształcenie miało/ma pozytywny wpływ na ich zarobki.37],"*"&amp;"Tak"&amp;"*")</f>
        <v>0</v>
      </c>
      <c r="GI137" s="7">
        <f>COUNTIF(AnalizaCzyste[Efekty działań ocenianej uczelni na rzecz jakości edukacji mają dobry wpływ na rozwój regionu.38],"*"&amp;"Tak"&amp;"*")</f>
        <v>0</v>
      </c>
      <c r="GJ137" s="7">
        <f>COUNTIF(AnalizaCzyste[Efekty działań ocenianej uczelni na rzecz jakości edukacji mają dobry wpływ na rozwój Polski.39],"*"&amp;"Tak"&amp;"*")</f>
        <v>0</v>
      </c>
      <c r="GK137" s="7">
        <f>COUNTIF(AnalizaCzyste[Współpraca ocenianej uczelni z biznesem ma pozytywne efekty dla rozwoju regionu / kraju.40],"*"&amp;"Tak"&amp;"*")</f>
        <v>0</v>
      </c>
      <c r="GL137" s="7">
        <f>COUNTIF(AnalizaCzyste[Ogólny poziom mojej satysfakcji z jakości usług edukacyjnych ocenianej uczelni jest wysoki.41],"*"&amp;"Tak"&amp;"*")</f>
        <v>0</v>
      </c>
      <c r="GM137" s="7">
        <f>COUNTIF(AnalizaCzyste[Jakie inne efekty pracy ocenianej uczelni dostrzegasz obecnie?],"*"&amp;"Tak"&amp;"*")</f>
        <v>0</v>
      </c>
      <c r="GN137" s="7">
        <f>COUNTIF(AnalizaCzyste[Czy będziesz oceniać trzecią uczelnię?],"*"&amp;"Tak"&amp;"*")</f>
        <v>0</v>
      </c>
      <c r="GO137" s="7">
        <f>COUNTIF(AnalizaCzyste[Jak się nazywa uczelnia, którą ocenisz?42],"*"&amp;"Tak"&amp;"*")</f>
        <v>0</v>
      </c>
      <c r="GP137" s="7">
        <f>COUNTIF(AnalizaCzyste[Efekty działań ocenianej uczelni na rzesz jakości edukacji są zgodne ze strategią rozwoju w regionie.43],"*"&amp;"Tak"&amp;"*")</f>
        <v>0</v>
      </c>
      <c r="GQ137" s="7">
        <f>COUNTIF(AnalizaCzyste[Wartość wykształcenia zdobywanego przez studentów na ocenianej uczelni jest wysoka.44],"*"&amp;"Tak"&amp;"*")</f>
        <v>0</v>
      </c>
      <c r="GR137" s="7">
        <f>COUNTIF(AnalizaCzyste[Zdobyte przez studentów ocenianej uczelni wykształcenie miało/ma pozytywny wpływ na ich zarobki.45],"*"&amp;"Tak"&amp;"*")</f>
        <v>0</v>
      </c>
      <c r="GS137" s="7">
        <f>COUNTIF(AnalizaCzyste[Efekty działań ocenianej uczelni na rzecz jakości edukacji mają dobry wpływ na rozwój regionu.46],"*"&amp;"Tak"&amp;"*")</f>
        <v>0</v>
      </c>
      <c r="GT137" s="7">
        <f>COUNTIF(AnalizaCzyste[Efekty działań ocenianej uczelni na rzecz jakości edukacji mają dobry wpływ na rozwój Polski.47],"*"&amp;"Tak"&amp;"*")</f>
        <v>0</v>
      </c>
      <c r="GU137" s="7">
        <f>COUNTIF(AnalizaCzyste[Współpraca ocenianej uczelni z biznesem ma pozytywne efekty dla rozwoju regionu / kraju.48],"*"&amp;"Tak"&amp;"*")</f>
        <v>0</v>
      </c>
      <c r="GV137" s="7">
        <f>COUNTIF(AnalizaCzyste[Ogólny poziom mojej satysfakcji z jakości usług edukacyjnych ocenianej uczelni jest wysoki.49],"*"&amp;"Tak"&amp;"*")</f>
        <v>0</v>
      </c>
      <c r="GW137" s="7">
        <f>COUNTIF(AnalizaCzyste[Jakie inne efekty pracy ocenianej uczelni dostrzegasz obecnie?50],"*"&amp;"Tak"&amp;"*")</f>
        <v>0</v>
      </c>
      <c r="GX137" s="7">
        <f>COUNTIF(AnalizaCzyste[Jakie, Twoim zdaniem, elementy decydują o tym, że uczelnie są lepsze lub gorsze.],"*"&amp;"Tak"&amp;"*")</f>
        <v>5</v>
      </c>
      <c r="GY137" s="7">
        <f>COUNTIF(AnalizaCzyste[Kolumna51],"*"&amp;"Tak"&amp;"*")</f>
        <v>10</v>
      </c>
      <c r="GZ137" s="7">
        <f>COUNTIF(AnalizaCzyste[Kolumna52],"*"&amp;"Tak"&amp;"*")</f>
        <v>3</v>
      </c>
      <c r="HA137" s="7">
        <f>COUNTIF(AnalizaCzyste[Płeć],"*"&amp;"Mężczyzna"&amp;"*")</f>
        <v>66</v>
      </c>
      <c r="HB137" s="7">
        <f>COUNTIF(AnalizaCzyste[Rok urodzenia],"*"&amp;"Tak"&amp;"*")</f>
        <v>0</v>
      </c>
      <c r="HC137" s="7"/>
      <c r="HD137" s="7">
        <f>COUNTIF(AnalizaCzyste[Z jakiej wielkości miejscowości pochodzisz? (dotyczy miejscowości, w której się wychowałaś/eś],"*"&amp;"Tak"&amp;"*")</f>
        <v>0</v>
      </c>
    </row>
    <row r="138" spans="1:216" ht="15" thickTop="1" thickBot="1" x14ac:dyDescent="0.5">
      <c r="B138" s="20" t="s">
        <v>2293</v>
      </c>
      <c r="O138" s="7">
        <f>COUNTIF(AnalizaCzyste[Czy jesteś osobą pełnoletnią?],"*"&amp;"Nie"&amp;"*")</f>
        <v>0</v>
      </c>
      <c r="P138" s="7">
        <f>COUNTIF(AnalizaCzyste[Czy jesteś studentem uczelni wyższej?],"*"&amp;"Nie (przejście"&amp;"*")</f>
        <v>119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7">
        <f>COUNTIF(AnalizaCzyste[Czy jesteś absolwentem uczelni wyższej?],"*"&amp;"Nie (przejście"&amp;"*")</f>
        <v>13</v>
      </c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7">
        <f>COUNTIF(AnalizaCzyste[Czy jesteś rodzicem / opiekunem absolwenta uczelni wyższej?],"*"&amp;"Nie (przejście"&amp;"*")</f>
        <v>116</v>
      </c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7">
        <f>COUNTIF(AnalizaCzyste[Czy jesteś aktualnie pracownikiem administracyjnym uczelni wyższej?],"*"&amp;"Nie (przejście"&amp;"*")</f>
        <v>129</v>
      </c>
      <c r="CT138" s="8"/>
      <c r="CU138" s="8"/>
      <c r="CV138" s="8"/>
      <c r="CW138" s="8"/>
      <c r="CX138" s="8"/>
      <c r="CY138" s="8"/>
      <c r="CZ138" s="8"/>
      <c r="DA138" s="8"/>
      <c r="DB138" s="8"/>
      <c r="DC138" s="7">
        <f>COUNTIF(AnalizaCzyste[Czy jesteś aktualnie pracownikiem naukowym lub dydaktycznym uczelni wyższej?],"*"&amp;"Nie (przejście"&amp;"*")</f>
        <v>117</v>
      </c>
      <c r="DD138" s="8"/>
      <c r="DE138" s="8"/>
      <c r="DF138" s="8"/>
      <c r="DG138" s="8"/>
      <c r="DH138" s="8"/>
      <c r="DI138" s="8"/>
      <c r="DJ138" s="8"/>
      <c r="DK138" s="8"/>
      <c r="DL138" s="8"/>
      <c r="DM138" s="7">
        <f>COUNTIF(AnalizaCzyste[Czy jesteś przedstawicielem władz uczelni z grupy rektorów, prorektorów, dziekanów, prodziekanów, członków senatu lub członków rady uczelni?],"*"&amp;"Nie (przejście"&amp;"*")</f>
        <v>128</v>
      </c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7">
        <f>COUNTIF(AnalizaCzyste[Czy jesteś przedstawicielem firmy, w której są zatrudniani absolwenci uczelni wyższych (tytuł licencjata, magistra lub wyższy)?],"*"&amp;"Nie (przejście"&amp;"*")</f>
        <v>115</v>
      </c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7">
        <f>COUNTIF(AnalizaCzyste[Czy jesteś przedstawicielem władz samorządowych lub centralnych Rzeczypospolitej Polskiej?],"*"&amp;"Nie (przejście"&amp;"*")</f>
        <v>131</v>
      </c>
      <c r="FQ138" s="7">
        <f>COUNTIF(AnalizaCzyste[Proszę wskaż jaki poziom władzy samorządowej lub centralnej reprezentujesz.],"*"&amp;"Nie (przejście"&amp;"*")</f>
        <v>0</v>
      </c>
      <c r="FR138" s="7">
        <f>COUNTIF(AnalizaCzyste[Proszę o podanie nazwy organu władzy jaki reprezentujesz.],"*"&amp;"Nie (przejście"&amp;"*")</f>
        <v>0</v>
      </c>
      <c r="FS138" s="7">
        <f>COUNTIF(AnalizaCzyste[Ile uczelni będziesz oceniać?26],"*"&amp;"Nie (przejście"&amp;"*")</f>
        <v>0</v>
      </c>
      <c r="FT138" s="7">
        <f>COUNTIF(AnalizaCzyste[Jak się nazywa uczelnia, którą ocenisz?],"*"&amp;"Nie (przejście"&amp;"*")</f>
        <v>0</v>
      </c>
      <c r="FU138" s="7">
        <f>COUNTIF(AnalizaCzyste[Efekty działań ocenianej uczelni na rzesz jakości edukacji są zgodne ze strategią rozwoju w regionie.],"*"&amp;"Nie (przejście"&amp;"*")</f>
        <v>0</v>
      </c>
      <c r="FV138" s="7">
        <f>COUNTIF(AnalizaCzyste[Wartość wykształcenia zdobywanego przez studentów na ocenianej uczelni jest wysoka.27],"*"&amp;"Nie (przejście"&amp;"*")</f>
        <v>0</v>
      </c>
      <c r="FW138" s="7">
        <f>COUNTIF(AnalizaCzyste[Zdobyte przez studentów ocenianej uczelni wykształcenie miało/ma pozytywny wpływ na ich zarobki.28],"*"&amp;"Nie (przejście"&amp;"*")</f>
        <v>0</v>
      </c>
      <c r="FX138" s="7">
        <f>COUNTIF(AnalizaCzyste[Efekty działań ocenianej uczelni na rzecz jakości edukacji mają dobry wpływ na rozwój regionu.29],"*"&amp;"Nie (przejście"&amp;"*")</f>
        <v>0</v>
      </c>
      <c r="FY138" s="7">
        <f>COUNTIF(AnalizaCzyste[Efekty działań ocenianej uczelni na rzecz jakości edukacji mają dobry wpływ na rozwój Polski.30],"*"&amp;"Nie (przejście"&amp;"*")</f>
        <v>0</v>
      </c>
      <c r="FZ138" s="7">
        <f>COUNTIF(AnalizaCzyste[Współpraca ocenianej uczelni z biznesem ma pozytywne efekty dla rozwoju regionu / kraju.31],"*"&amp;"Nie (przejście"&amp;"*")</f>
        <v>0</v>
      </c>
      <c r="GA138" s="7">
        <f>COUNTIF(AnalizaCzyste[Ogólny poziom mojej satysfakcji z jakości usług edukacyjnych ocenianej uczelni jest wysoki.32],"*"&amp;"Nie (przejście"&amp;"*")</f>
        <v>0</v>
      </c>
      <c r="GB138" s="7">
        <f>COUNTIF(AnalizaCzyste[Pole dodatkowe33],"*"&amp;"Nie (przejście"&amp;"*")</f>
        <v>0</v>
      </c>
      <c r="GC138" s="7">
        <f>COUNTIF(AnalizaCzyste[Jakie inne efekty pracy ocenianej uczelni technicznej dostrzegasz obecnie?],"*"&amp;"Nie (przejście"&amp;"*")</f>
        <v>0</v>
      </c>
      <c r="GD138" s="7">
        <f>COUNTIF(AnalizaCzyste[Czy będziesz oceniać drugą uczelnię?],"*"&amp;"Nie (przejście"&amp;"*")</f>
        <v>2</v>
      </c>
      <c r="GE138" s="7">
        <f>COUNTIF(AnalizaCzyste[Jak się nazywa uczelnia, którą ocenisz?34],"*"&amp;"Nie (przejście"&amp;"*")</f>
        <v>0</v>
      </c>
      <c r="GF138" s="7">
        <f>COUNTIF(AnalizaCzyste[Efekty działań ocenianej uczelni na rzesz jakości edukacji są zgodne ze strategią rozwoju w regionie.35],"*"&amp;"Nie (przejście"&amp;"*")</f>
        <v>0</v>
      </c>
      <c r="GG138" s="7">
        <f>COUNTIF(AnalizaCzyste[Wartość wykształcenia zdobywanego przez studentów na ocenianej uczelni jest wysoka.36],"*"&amp;"Nie (przejście"&amp;"*")</f>
        <v>0</v>
      </c>
      <c r="GH138" s="7">
        <f>COUNTIF(AnalizaCzyste[Zdobyte przez studentów ocenianej uczelni wykształcenie miało/ma pozytywny wpływ na ich zarobki.37],"*"&amp;"Nie (przejście"&amp;"*")</f>
        <v>0</v>
      </c>
      <c r="GI138" s="7">
        <f>COUNTIF(AnalizaCzyste[Efekty działań ocenianej uczelni na rzecz jakości edukacji mają dobry wpływ na rozwój regionu.38],"*"&amp;"Nie (przejście"&amp;"*")</f>
        <v>0</v>
      </c>
      <c r="GJ138" s="7">
        <f>COUNTIF(AnalizaCzyste[Efekty działań ocenianej uczelni na rzecz jakości edukacji mają dobry wpływ na rozwój Polski.39],"*"&amp;"Nie (przejście"&amp;"*")</f>
        <v>0</v>
      </c>
      <c r="GK138" s="7">
        <f>COUNTIF(AnalizaCzyste[Współpraca ocenianej uczelni z biznesem ma pozytywne efekty dla rozwoju regionu / kraju.40],"*"&amp;"Nie (przejście"&amp;"*")</f>
        <v>0</v>
      </c>
      <c r="GL138" s="7">
        <f>COUNTIF(AnalizaCzyste[Ogólny poziom mojej satysfakcji z jakości usług edukacyjnych ocenianej uczelni jest wysoki.41],"*"&amp;"Nie (przejście"&amp;"*")</f>
        <v>0</v>
      </c>
      <c r="GM138" s="7">
        <f>COUNTIF(AnalizaCzyste[Jakie inne efekty pracy ocenianej uczelni dostrzegasz obecnie?],"*"&amp;"Nie (przejście"&amp;"*")</f>
        <v>0</v>
      </c>
      <c r="GN138" s="7">
        <f>COUNTIF(AnalizaCzyste[Czy będziesz oceniać trzecią uczelnię?],"*"&amp;"Nie (przejście"&amp;"*")</f>
        <v>0</v>
      </c>
      <c r="GO138" s="7">
        <f>COUNTIF(AnalizaCzyste[Jak się nazywa uczelnia, którą ocenisz?42],"*"&amp;"Nie (przejście"&amp;"*")</f>
        <v>0</v>
      </c>
      <c r="GP138" s="7">
        <f>COUNTIF(AnalizaCzyste[Efekty działań ocenianej uczelni na rzesz jakości edukacji są zgodne ze strategią rozwoju w regionie.43],"*"&amp;"Nie (przejście"&amp;"*")</f>
        <v>0</v>
      </c>
      <c r="GQ138" s="7">
        <f>COUNTIF(AnalizaCzyste[Wartość wykształcenia zdobywanego przez studentów na ocenianej uczelni jest wysoka.44],"*"&amp;"Nie (przejście"&amp;"*")</f>
        <v>0</v>
      </c>
      <c r="GR138" s="7">
        <f>COUNTIF(AnalizaCzyste[Zdobyte przez studentów ocenianej uczelni wykształcenie miało/ma pozytywny wpływ na ich zarobki.45],"*"&amp;"Nie (przejście"&amp;"*")</f>
        <v>0</v>
      </c>
      <c r="GS138" s="7">
        <f>COUNTIF(AnalizaCzyste[Efekty działań ocenianej uczelni na rzecz jakości edukacji mają dobry wpływ na rozwój regionu.46],"*"&amp;"Nie (przejście"&amp;"*")</f>
        <v>0</v>
      </c>
      <c r="GT138" s="7">
        <f>COUNTIF(AnalizaCzyste[Efekty działań ocenianej uczelni na rzecz jakości edukacji mają dobry wpływ na rozwój Polski.47],"*"&amp;"Nie (przejście"&amp;"*")</f>
        <v>0</v>
      </c>
      <c r="GU138" s="7">
        <f>COUNTIF(AnalizaCzyste[Współpraca ocenianej uczelni z biznesem ma pozytywne efekty dla rozwoju regionu / kraju.48],"*"&amp;"Nie (przejście"&amp;"*")</f>
        <v>0</v>
      </c>
      <c r="GV138" s="7">
        <f>COUNTIF(AnalizaCzyste[Ogólny poziom mojej satysfakcji z jakości usług edukacyjnych ocenianej uczelni jest wysoki.49],"*"&amp;"Nie (przejście"&amp;"*")</f>
        <v>0</v>
      </c>
      <c r="GW138" s="7">
        <f>COUNTIF(AnalizaCzyste[Jakie inne efekty pracy ocenianej uczelni dostrzegasz obecnie?50],"*"&amp;"Nie (przejście"&amp;"*")</f>
        <v>0</v>
      </c>
      <c r="GX138" s="7">
        <f>COUNTIF(AnalizaCzyste[Jakie, Twoim zdaniem, elementy decydują o tym, że uczelnie są lepsze lub gorsze.],"*"&amp;"Nie (przejście"&amp;"*")</f>
        <v>0</v>
      </c>
      <c r="GY138" s="7">
        <f>COUNTIF(AnalizaCzyste[Kolumna51],"*"&amp;"Nie (przejście"&amp;"*")</f>
        <v>0</v>
      </c>
      <c r="GZ138" s="7">
        <f>COUNTIF(AnalizaCzyste[Kolumna52],"*"&amp;"Nie (przejście"&amp;"*")</f>
        <v>0</v>
      </c>
      <c r="HA138" s="7">
        <f>COUNTIF(AnalizaCzyste[Płeć],"*"&amp;"Kobieta"&amp;"*")</f>
        <v>67</v>
      </c>
      <c r="HB138" s="7">
        <f>COUNTIF(AnalizaCzyste[Rok urodzenia],"*"&amp;"Nie (przejście"&amp;"*")</f>
        <v>0</v>
      </c>
      <c r="HC138" s="7"/>
      <c r="HD138" s="7">
        <f>COUNTIF(AnalizaCzyste[Z jakiej wielkości miejscowości pochodzisz? (dotyczy miejscowości, w której się wychowałaś/eś],"*"&amp;"Nie (przejście"&amp;"*")</f>
        <v>0</v>
      </c>
    </row>
    <row r="139" spans="1:216" ht="14.65" thickTop="1" x14ac:dyDescent="0.45">
      <c r="B139" s="20" t="s">
        <v>2294</v>
      </c>
      <c r="O139" s="7">
        <f>COUNTBLANK(AnalizaCzyste[Czy jesteś osobą pełnoletnią?])</f>
        <v>0</v>
      </c>
      <c r="P139" s="7">
        <f>COUNTBLANK(AnalizaCzyste[Czy jesteś studentem uczelni wyższej?])</f>
        <v>0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7">
        <f>COUNTBLANK(AnalizaCzyste[Czy jesteś absolwentem uczelni wyższej?])</f>
        <v>0</v>
      </c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7">
        <f>COUNTBLANK(AnalizaCzyste[Czy jesteś rodzicem / opiekunem absolwenta uczelni wyższej?])</f>
        <v>0</v>
      </c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7">
        <f>COUNTBLANK(AnalizaCzyste[Czy jesteś aktualnie pracownikiem administracyjnym uczelni wyższej?])</f>
        <v>0</v>
      </c>
      <c r="CT139" s="8"/>
      <c r="CU139" s="8"/>
      <c r="CV139" s="8"/>
      <c r="CW139" s="8"/>
      <c r="CX139" s="8"/>
      <c r="CY139" s="8"/>
      <c r="CZ139" s="8"/>
      <c r="DA139" s="8"/>
      <c r="DB139" s="8"/>
      <c r="DC139" s="7">
        <f>COUNTBLANK(AnalizaCzyste[Czy jesteś aktualnie pracownikiem naukowym lub dydaktycznym uczelni wyższej?])</f>
        <v>0</v>
      </c>
      <c r="DD139" s="8"/>
      <c r="DE139" s="8"/>
      <c r="DF139" s="8"/>
      <c r="DG139" s="8"/>
      <c r="DH139" s="8"/>
      <c r="DI139" s="8"/>
      <c r="DJ139" s="8"/>
      <c r="DK139" s="8"/>
      <c r="DL139" s="8"/>
      <c r="DM139" s="7">
        <f>COUNTBLANK(AnalizaCzyste[Czy jesteś przedstawicielem władz uczelni z grupy rektorów, prorektorów, dziekanów, prodziekanów, członków senatu lub członków rady uczelni?])</f>
        <v>0</v>
      </c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7">
        <f>COUNTBLANK(AnalizaCzyste[Czy jesteś przedstawicielem firmy, w której są zatrudniani absolwenci uczelni wyższych (tytuł licencjata, magistra lub wyższy)?])</f>
        <v>0</v>
      </c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7">
        <f>COUNTBLANK(AnalizaCzyste[Czy jesteś przedstawicielem władz samorządowych lub centralnych Rzeczypospolitej Polskiej?])</f>
        <v>0</v>
      </c>
      <c r="FQ139" s="7">
        <f>COUNTBLANK(AnalizaCzyste[Proszę wskaż jaki poziom władzy samorządowej lub centralnej reprezentujesz.])</f>
        <v>66</v>
      </c>
      <c r="FR139" s="7">
        <f>COUNTBLANK(AnalizaCzyste[Proszę o podanie nazwy organu władzy jaki reprezentujesz.])</f>
        <v>131</v>
      </c>
      <c r="FS139" s="7">
        <f>COUNTBLANK(AnalizaCzyste[Ile uczelni będziesz oceniać?26])</f>
        <v>96</v>
      </c>
      <c r="FT139" s="7">
        <f>COUNTBLANK(AnalizaCzyste[Jak się nazywa uczelnia, którą ocenisz?])</f>
        <v>131</v>
      </c>
      <c r="FU139" s="7">
        <f>COUNTBLANK(AnalizaCzyste[Efekty działań ocenianej uczelni na rzesz jakości edukacji są zgodne ze strategią rozwoju w regionie.])</f>
        <v>131</v>
      </c>
      <c r="FV139" s="7">
        <f>COUNTBLANK(AnalizaCzyste[Wartość wykształcenia zdobywanego przez studentów na ocenianej uczelni jest wysoka.27])</f>
        <v>131</v>
      </c>
      <c r="FW139" s="7">
        <f>COUNTBLANK(AnalizaCzyste[Zdobyte przez studentów ocenianej uczelni wykształcenie miało/ma pozytywny wpływ na ich zarobki.28])</f>
        <v>131</v>
      </c>
      <c r="FX139" s="7">
        <f>COUNTBLANK(AnalizaCzyste[Efekty działań ocenianej uczelni na rzecz jakości edukacji mają dobry wpływ na rozwój regionu.29])</f>
        <v>131</v>
      </c>
      <c r="FY139" s="7">
        <f>COUNTBLANK(AnalizaCzyste[Efekty działań ocenianej uczelni na rzecz jakości edukacji mają dobry wpływ na rozwój Polski.30])</f>
        <v>131</v>
      </c>
      <c r="FZ139" s="7">
        <f>COUNTBLANK(AnalizaCzyste[Współpraca ocenianej uczelni z biznesem ma pozytywne efekty dla rozwoju regionu / kraju.31])</f>
        <v>131</v>
      </c>
      <c r="GA139" s="7">
        <f>COUNTBLANK(AnalizaCzyste[Ogólny poziom mojej satysfakcji z jakości usług edukacyjnych ocenianej uczelni jest wysoki.32])</f>
        <v>131</v>
      </c>
      <c r="GB139" s="7">
        <f>COUNTBLANK(AnalizaCzyste[Pole dodatkowe33])</f>
        <v>133</v>
      </c>
      <c r="GC139" s="7">
        <f>COUNTBLANK(AnalizaCzyste[Jakie inne efekty pracy ocenianej uczelni technicznej dostrzegasz obecnie?])</f>
        <v>132</v>
      </c>
      <c r="GD139" s="7">
        <f>COUNTBLANK(AnalizaCzyste[Czy będziesz oceniać drugą uczelnię?])</f>
        <v>131</v>
      </c>
      <c r="GE139" s="7">
        <f>COUNTBLANK(AnalizaCzyste[Jak się nazywa uczelnia, którą ocenisz?34])</f>
        <v>133</v>
      </c>
      <c r="GF139" s="7">
        <f>COUNTBLANK(AnalizaCzyste[Efekty działań ocenianej uczelni na rzesz jakości edukacji są zgodne ze strategią rozwoju w regionie.35])</f>
        <v>133</v>
      </c>
      <c r="GG139" s="7">
        <f>COUNTBLANK(AnalizaCzyste[Wartość wykształcenia zdobywanego przez studentów na ocenianej uczelni jest wysoka.36])</f>
        <v>133</v>
      </c>
      <c r="GH139" s="7">
        <f>COUNTBLANK(AnalizaCzyste[Zdobyte przez studentów ocenianej uczelni wykształcenie miało/ma pozytywny wpływ na ich zarobki.37])</f>
        <v>133</v>
      </c>
      <c r="GI139" s="7">
        <f>COUNTBLANK(AnalizaCzyste[Efekty działań ocenianej uczelni na rzecz jakości edukacji mają dobry wpływ na rozwój regionu.38])</f>
        <v>133</v>
      </c>
      <c r="GJ139" s="7">
        <f>COUNTBLANK(AnalizaCzyste[Efekty działań ocenianej uczelni na rzecz jakości edukacji mają dobry wpływ na rozwój Polski.39])</f>
        <v>133</v>
      </c>
      <c r="GK139" s="7">
        <f>COUNTBLANK(AnalizaCzyste[Współpraca ocenianej uczelni z biznesem ma pozytywne efekty dla rozwoju regionu / kraju.40])</f>
        <v>133</v>
      </c>
      <c r="GL139" s="7">
        <f>COUNTBLANK(AnalizaCzyste[Ogólny poziom mojej satysfakcji z jakości usług edukacyjnych ocenianej uczelni jest wysoki.41])</f>
        <v>133</v>
      </c>
      <c r="GM139" s="7">
        <f>COUNTBLANK(AnalizaCzyste[Jakie inne efekty pracy ocenianej uczelni dostrzegasz obecnie?])</f>
        <v>133</v>
      </c>
      <c r="GN139" s="7">
        <f>COUNTBLANK(AnalizaCzyste[Czy będziesz oceniać trzecią uczelnię?])</f>
        <v>133</v>
      </c>
      <c r="GO139" s="7">
        <f>COUNTBLANK(AnalizaCzyste[Jak się nazywa uczelnia, którą ocenisz?42])</f>
        <v>133</v>
      </c>
      <c r="GP139" s="7">
        <f>COUNTBLANK(AnalizaCzyste[Efekty działań ocenianej uczelni na rzesz jakości edukacji są zgodne ze strategią rozwoju w regionie.43])</f>
        <v>133</v>
      </c>
      <c r="GQ139" s="7">
        <f>COUNTBLANK(AnalizaCzyste[Wartość wykształcenia zdobywanego przez studentów na ocenianej uczelni jest wysoka.44])</f>
        <v>133</v>
      </c>
      <c r="GR139" s="7">
        <f>COUNTBLANK(AnalizaCzyste[Zdobyte przez studentów ocenianej uczelni wykształcenie miało/ma pozytywny wpływ na ich zarobki.45])</f>
        <v>133</v>
      </c>
      <c r="GS139" s="7">
        <f>COUNTBLANK(AnalizaCzyste[Efekty działań ocenianej uczelni na rzecz jakości edukacji mają dobry wpływ na rozwój regionu.46])</f>
        <v>133</v>
      </c>
      <c r="GT139" s="7">
        <f>COUNTBLANK(AnalizaCzyste[Efekty działań ocenianej uczelni na rzecz jakości edukacji mają dobry wpływ na rozwój Polski.47])</f>
        <v>133</v>
      </c>
      <c r="GU139" s="7">
        <f>COUNTBLANK(AnalizaCzyste[Współpraca ocenianej uczelni z biznesem ma pozytywne efekty dla rozwoju regionu / kraju.48])</f>
        <v>133</v>
      </c>
      <c r="GV139" s="7">
        <f>COUNTBLANK(AnalizaCzyste[Ogólny poziom mojej satysfakcji z jakości usług edukacyjnych ocenianej uczelni jest wysoki.49])</f>
        <v>133</v>
      </c>
      <c r="GW139" s="7">
        <f>COUNTBLANK(AnalizaCzyste[Jakie inne efekty pracy ocenianej uczelni dostrzegasz obecnie?50])</f>
        <v>133</v>
      </c>
      <c r="GX139" s="7">
        <f>COUNTBLANK(AnalizaCzyste[Jakie, Twoim zdaniem, elementy decydują o tym, że uczelnie są lepsze lub gorsze.])</f>
        <v>1</v>
      </c>
      <c r="GY139" s="7">
        <f>COUNTBLANK(AnalizaCzyste[Kolumna51])</f>
        <v>1</v>
      </c>
      <c r="GZ139" s="7">
        <f>COUNTBLANK(AnalizaCzyste[Kolumna52])</f>
        <v>1</v>
      </c>
      <c r="HA139" s="7">
        <f>COUNTBLANK(AnalizaCzyste[Płeć])</f>
        <v>0</v>
      </c>
      <c r="HB139" s="7">
        <f>COUNTBLANK(AnalizaCzyste[Rok urodzenia])</f>
        <v>0</v>
      </c>
      <c r="HC139" s="7"/>
      <c r="HD139" s="7">
        <f>COUNTBLANK(AnalizaCzyste[Z jakiej wielkości miejscowości pochodzisz? (dotyczy miejscowości, w której się wychowałaś/eś])</f>
        <v>0</v>
      </c>
    </row>
    <row r="140" spans="1:216" ht="14.65" thickBot="1" x14ac:dyDescent="0.5">
      <c r="O140">
        <f>SUM(O137:O139)</f>
        <v>133</v>
      </c>
      <c r="P140">
        <f t="shared" ref="P140:CB140" si="8">SUM(P137:P139)</f>
        <v>133</v>
      </c>
      <c r="Q140">
        <f t="shared" si="8"/>
        <v>0</v>
      </c>
      <c r="R140">
        <f t="shared" si="8"/>
        <v>0</v>
      </c>
      <c r="S140">
        <f t="shared" si="8"/>
        <v>0</v>
      </c>
      <c r="T140">
        <f t="shared" si="8"/>
        <v>0</v>
      </c>
      <c r="U140">
        <f t="shared" si="8"/>
        <v>0</v>
      </c>
      <c r="V140">
        <f t="shared" si="8"/>
        <v>0</v>
      </c>
      <c r="W140">
        <f t="shared" si="8"/>
        <v>0</v>
      </c>
      <c r="X140">
        <f t="shared" si="8"/>
        <v>0</v>
      </c>
      <c r="Y140">
        <f t="shared" si="8"/>
        <v>0</v>
      </c>
      <c r="Z140">
        <f t="shared" si="8"/>
        <v>0</v>
      </c>
      <c r="AA140">
        <f t="shared" si="8"/>
        <v>0</v>
      </c>
      <c r="AB140">
        <f t="shared" si="8"/>
        <v>0</v>
      </c>
      <c r="AC140">
        <f t="shared" si="8"/>
        <v>0</v>
      </c>
      <c r="AD140">
        <f t="shared" si="8"/>
        <v>0</v>
      </c>
      <c r="AE140">
        <f t="shared" si="8"/>
        <v>0</v>
      </c>
      <c r="AF140">
        <f t="shared" si="8"/>
        <v>133</v>
      </c>
      <c r="AG140">
        <f t="shared" si="8"/>
        <v>0</v>
      </c>
      <c r="AI140">
        <f t="shared" si="8"/>
        <v>0</v>
      </c>
      <c r="AJ140">
        <f t="shared" si="8"/>
        <v>0</v>
      </c>
      <c r="AK140">
        <f t="shared" si="8"/>
        <v>0</v>
      </c>
      <c r="AL140">
        <f t="shared" si="8"/>
        <v>0</v>
      </c>
      <c r="AM140">
        <f t="shared" si="8"/>
        <v>0</v>
      </c>
      <c r="AN140">
        <f t="shared" si="8"/>
        <v>0</v>
      </c>
      <c r="AO140">
        <f t="shared" si="8"/>
        <v>0</v>
      </c>
      <c r="AP140">
        <f t="shared" si="8"/>
        <v>0</v>
      </c>
      <c r="AQ140">
        <f t="shared" si="8"/>
        <v>0</v>
      </c>
      <c r="AR140">
        <f t="shared" si="8"/>
        <v>0</v>
      </c>
      <c r="AS140">
        <f t="shared" si="8"/>
        <v>0</v>
      </c>
      <c r="AT140">
        <f t="shared" si="8"/>
        <v>0</v>
      </c>
      <c r="AU140">
        <f t="shared" si="8"/>
        <v>0</v>
      </c>
      <c r="AV140">
        <f t="shared" si="8"/>
        <v>0</v>
      </c>
      <c r="AW140">
        <f t="shared" si="8"/>
        <v>0</v>
      </c>
      <c r="AX140">
        <f t="shared" si="8"/>
        <v>0</v>
      </c>
      <c r="AY140">
        <f t="shared" si="8"/>
        <v>133</v>
      </c>
      <c r="AZ140">
        <f t="shared" si="8"/>
        <v>0</v>
      </c>
      <c r="BA140">
        <f t="shared" si="8"/>
        <v>0</v>
      </c>
      <c r="BB140">
        <f t="shared" si="8"/>
        <v>0</v>
      </c>
      <c r="BC140">
        <f t="shared" si="8"/>
        <v>0</v>
      </c>
      <c r="BD140">
        <f t="shared" si="8"/>
        <v>0</v>
      </c>
      <c r="BE140">
        <f t="shared" si="8"/>
        <v>0</v>
      </c>
      <c r="BF140">
        <f t="shared" si="8"/>
        <v>0</v>
      </c>
      <c r="BG140">
        <f t="shared" si="8"/>
        <v>0</v>
      </c>
      <c r="BH140">
        <f t="shared" si="8"/>
        <v>0</v>
      </c>
      <c r="BI140">
        <f t="shared" si="8"/>
        <v>0</v>
      </c>
      <c r="BJ140">
        <f t="shared" si="8"/>
        <v>0</v>
      </c>
      <c r="BK140">
        <f t="shared" si="8"/>
        <v>0</v>
      </c>
      <c r="BL140">
        <f t="shared" si="8"/>
        <v>0</v>
      </c>
      <c r="BM140">
        <f t="shared" si="8"/>
        <v>0</v>
      </c>
      <c r="BN140">
        <f t="shared" si="8"/>
        <v>0</v>
      </c>
      <c r="BO140">
        <f t="shared" si="8"/>
        <v>0</v>
      </c>
      <c r="BP140">
        <f t="shared" si="8"/>
        <v>0</v>
      </c>
      <c r="BQ140">
        <f t="shared" si="8"/>
        <v>0</v>
      </c>
      <c r="BR140">
        <f t="shared" si="8"/>
        <v>0</v>
      </c>
      <c r="BS140">
        <f t="shared" si="8"/>
        <v>0</v>
      </c>
      <c r="BT140">
        <f t="shared" si="8"/>
        <v>0</v>
      </c>
      <c r="BU140">
        <f t="shared" si="8"/>
        <v>0</v>
      </c>
      <c r="BV140">
        <f t="shared" si="8"/>
        <v>0</v>
      </c>
      <c r="BW140">
        <f t="shared" si="8"/>
        <v>0</v>
      </c>
      <c r="BX140">
        <f t="shared" si="8"/>
        <v>0</v>
      </c>
      <c r="BY140">
        <f t="shared" si="8"/>
        <v>0</v>
      </c>
      <c r="BZ140">
        <f t="shared" si="8"/>
        <v>0</v>
      </c>
      <c r="CA140">
        <f t="shared" si="8"/>
        <v>0</v>
      </c>
      <c r="CB140">
        <f t="shared" si="8"/>
        <v>0</v>
      </c>
      <c r="CC140">
        <f t="shared" ref="CC140:DM140" si="9">SUM(CC137:CC139)</f>
        <v>0</v>
      </c>
      <c r="CD140">
        <f t="shared" si="9"/>
        <v>0</v>
      </c>
      <c r="CE140">
        <f t="shared" si="9"/>
        <v>0</v>
      </c>
      <c r="CF140">
        <f t="shared" si="9"/>
        <v>0</v>
      </c>
      <c r="CG140">
        <f t="shared" si="9"/>
        <v>0</v>
      </c>
      <c r="CH140">
        <f t="shared" si="9"/>
        <v>0</v>
      </c>
      <c r="CI140">
        <f t="shared" si="9"/>
        <v>0</v>
      </c>
      <c r="CJ140">
        <f t="shared" si="9"/>
        <v>0</v>
      </c>
      <c r="CK140">
        <f t="shared" si="9"/>
        <v>0</v>
      </c>
      <c r="CL140">
        <f t="shared" si="9"/>
        <v>0</v>
      </c>
      <c r="CM140">
        <f t="shared" si="9"/>
        <v>0</v>
      </c>
      <c r="CN140">
        <f t="shared" si="9"/>
        <v>0</v>
      </c>
      <c r="CO140">
        <f t="shared" si="9"/>
        <v>0</v>
      </c>
      <c r="CP140">
        <f t="shared" si="9"/>
        <v>0</v>
      </c>
      <c r="CQ140">
        <f t="shared" si="9"/>
        <v>0</v>
      </c>
      <c r="CR140">
        <f t="shared" si="9"/>
        <v>0</v>
      </c>
      <c r="CS140">
        <f t="shared" si="9"/>
        <v>133</v>
      </c>
      <c r="CT140">
        <f t="shared" si="9"/>
        <v>0</v>
      </c>
      <c r="CU140">
        <f t="shared" si="9"/>
        <v>0</v>
      </c>
      <c r="CV140">
        <f t="shared" si="9"/>
        <v>0</v>
      </c>
      <c r="CW140">
        <f t="shared" si="9"/>
        <v>0</v>
      </c>
      <c r="CX140">
        <f t="shared" si="9"/>
        <v>0</v>
      </c>
      <c r="CY140">
        <f t="shared" si="9"/>
        <v>0</v>
      </c>
      <c r="CZ140">
        <f t="shared" si="9"/>
        <v>0</v>
      </c>
      <c r="DA140">
        <f t="shared" si="9"/>
        <v>0</v>
      </c>
      <c r="DB140">
        <f t="shared" si="9"/>
        <v>0</v>
      </c>
      <c r="DC140">
        <f t="shared" si="9"/>
        <v>133</v>
      </c>
      <c r="DD140">
        <f t="shared" si="9"/>
        <v>0</v>
      </c>
      <c r="DE140">
        <f t="shared" si="9"/>
        <v>0</v>
      </c>
      <c r="DF140">
        <f t="shared" si="9"/>
        <v>0</v>
      </c>
      <c r="DG140">
        <f t="shared" si="9"/>
        <v>0</v>
      </c>
      <c r="DH140">
        <f t="shared" si="9"/>
        <v>0</v>
      </c>
      <c r="DI140">
        <f t="shared" si="9"/>
        <v>0</v>
      </c>
      <c r="DJ140">
        <f t="shared" si="9"/>
        <v>0</v>
      </c>
      <c r="DK140">
        <f t="shared" si="9"/>
        <v>0</v>
      </c>
      <c r="DL140">
        <f t="shared" si="9"/>
        <v>0</v>
      </c>
      <c r="DM140">
        <f t="shared" si="9"/>
        <v>133</v>
      </c>
      <c r="DN140">
        <f>SUM(DN137:DN139)</f>
        <v>0</v>
      </c>
      <c r="DO140">
        <f t="shared" ref="DO140:FZ140" si="10">SUM(DO137:DO139)</f>
        <v>0</v>
      </c>
      <c r="DP140">
        <f t="shared" si="10"/>
        <v>0</v>
      </c>
      <c r="DQ140">
        <f t="shared" si="10"/>
        <v>0</v>
      </c>
      <c r="DR140">
        <f t="shared" si="10"/>
        <v>0</v>
      </c>
      <c r="DS140">
        <f t="shared" si="10"/>
        <v>0</v>
      </c>
      <c r="DT140">
        <f t="shared" si="10"/>
        <v>0</v>
      </c>
      <c r="DU140">
        <f t="shared" si="10"/>
        <v>0</v>
      </c>
      <c r="DV140">
        <f t="shared" si="10"/>
        <v>0</v>
      </c>
      <c r="DW140">
        <f t="shared" si="10"/>
        <v>0</v>
      </c>
      <c r="DX140">
        <f t="shared" si="10"/>
        <v>0</v>
      </c>
      <c r="DY140">
        <f t="shared" si="10"/>
        <v>0</v>
      </c>
      <c r="DZ140">
        <f t="shared" si="10"/>
        <v>0</v>
      </c>
      <c r="EA140">
        <f t="shared" si="10"/>
        <v>0</v>
      </c>
      <c r="EB140">
        <f t="shared" si="10"/>
        <v>0</v>
      </c>
      <c r="EC140">
        <f t="shared" si="10"/>
        <v>0</v>
      </c>
      <c r="ED140">
        <f t="shared" si="10"/>
        <v>0</v>
      </c>
      <c r="EE140">
        <f t="shared" si="10"/>
        <v>0</v>
      </c>
      <c r="EF140">
        <f t="shared" si="10"/>
        <v>0</v>
      </c>
      <c r="EG140">
        <f t="shared" si="10"/>
        <v>0</v>
      </c>
      <c r="EH140">
        <f t="shared" si="10"/>
        <v>0</v>
      </c>
      <c r="EI140">
        <f t="shared" si="10"/>
        <v>0</v>
      </c>
      <c r="EJ140">
        <f t="shared" si="10"/>
        <v>0</v>
      </c>
      <c r="EK140">
        <f t="shared" si="10"/>
        <v>0</v>
      </c>
      <c r="EL140">
        <f t="shared" si="10"/>
        <v>0</v>
      </c>
      <c r="EM140">
        <f t="shared" si="10"/>
        <v>0</v>
      </c>
      <c r="EN140">
        <f t="shared" si="10"/>
        <v>0</v>
      </c>
      <c r="EO140">
        <f t="shared" si="10"/>
        <v>0</v>
      </c>
      <c r="EP140">
        <f t="shared" si="10"/>
        <v>133</v>
      </c>
      <c r="EQ140">
        <f t="shared" si="10"/>
        <v>0</v>
      </c>
      <c r="ER140">
        <f t="shared" si="10"/>
        <v>0</v>
      </c>
      <c r="ES140">
        <f t="shared" si="10"/>
        <v>0</v>
      </c>
      <c r="ET140">
        <f t="shared" si="10"/>
        <v>0</v>
      </c>
      <c r="EU140">
        <f t="shared" si="10"/>
        <v>0</v>
      </c>
      <c r="EV140">
        <f t="shared" si="10"/>
        <v>0</v>
      </c>
      <c r="EW140">
        <f t="shared" si="10"/>
        <v>0</v>
      </c>
      <c r="EX140">
        <f t="shared" si="10"/>
        <v>0</v>
      </c>
      <c r="EY140">
        <f t="shared" si="10"/>
        <v>0</v>
      </c>
      <c r="EZ140">
        <f t="shared" si="10"/>
        <v>0</v>
      </c>
      <c r="FA140">
        <f t="shared" si="10"/>
        <v>0</v>
      </c>
      <c r="FB140">
        <f t="shared" si="10"/>
        <v>0</v>
      </c>
      <c r="FC140">
        <f t="shared" si="10"/>
        <v>0</v>
      </c>
      <c r="FD140">
        <f t="shared" si="10"/>
        <v>0</v>
      </c>
      <c r="FE140">
        <f t="shared" si="10"/>
        <v>0</v>
      </c>
      <c r="FF140">
        <f t="shared" si="10"/>
        <v>0</v>
      </c>
      <c r="FG140">
        <f t="shared" si="10"/>
        <v>0</v>
      </c>
      <c r="FH140">
        <f t="shared" si="10"/>
        <v>0</v>
      </c>
      <c r="FI140">
        <f t="shared" si="10"/>
        <v>0</v>
      </c>
      <c r="FJ140">
        <f t="shared" si="10"/>
        <v>0</v>
      </c>
      <c r="FK140">
        <f t="shared" si="10"/>
        <v>0</v>
      </c>
      <c r="FL140">
        <f t="shared" si="10"/>
        <v>0</v>
      </c>
      <c r="FM140">
        <f t="shared" si="10"/>
        <v>0</v>
      </c>
      <c r="FN140">
        <f t="shared" si="10"/>
        <v>0</v>
      </c>
      <c r="FO140">
        <f t="shared" si="10"/>
        <v>0</v>
      </c>
      <c r="FP140">
        <f t="shared" si="10"/>
        <v>133</v>
      </c>
      <c r="FQ140">
        <f t="shared" si="10"/>
        <v>66</v>
      </c>
      <c r="FR140">
        <f t="shared" si="10"/>
        <v>131</v>
      </c>
      <c r="FS140">
        <f t="shared" si="10"/>
        <v>96</v>
      </c>
      <c r="FT140">
        <f t="shared" si="10"/>
        <v>131</v>
      </c>
      <c r="FU140">
        <f t="shared" si="10"/>
        <v>131</v>
      </c>
      <c r="FV140">
        <f t="shared" si="10"/>
        <v>131</v>
      </c>
      <c r="FW140">
        <f t="shared" si="10"/>
        <v>131</v>
      </c>
      <c r="FX140">
        <f t="shared" si="10"/>
        <v>131</v>
      </c>
      <c r="FY140">
        <f t="shared" si="10"/>
        <v>131</v>
      </c>
      <c r="FZ140">
        <f t="shared" si="10"/>
        <v>131</v>
      </c>
      <c r="GA140">
        <f t="shared" ref="GA140:HA140" si="11">SUM(GA137:GA139)</f>
        <v>131</v>
      </c>
      <c r="GB140">
        <f t="shared" si="11"/>
        <v>133</v>
      </c>
      <c r="GC140">
        <f t="shared" si="11"/>
        <v>132</v>
      </c>
      <c r="GD140">
        <f t="shared" si="11"/>
        <v>133</v>
      </c>
      <c r="GE140">
        <f t="shared" si="11"/>
        <v>133</v>
      </c>
      <c r="GF140">
        <f t="shared" si="11"/>
        <v>133</v>
      </c>
      <c r="GG140">
        <f t="shared" si="11"/>
        <v>133</v>
      </c>
      <c r="GH140">
        <f t="shared" si="11"/>
        <v>133</v>
      </c>
      <c r="GI140">
        <f t="shared" si="11"/>
        <v>133</v>
      </c>
      <c r="GJ140">
        <f t="shared" si="11"/>
        <v>133</v>
      </c>
      <c r="GK140">
        <f t="shared" si="11"/>
        <v>133</v>
      </c>
      <c r="GL140">
        <f t="shared" si="11"/>
        <v>133</v>
      </c>
      <c r="GM140">
        <f t="shared" si="11"/>
        <v>133</v>
      </c>
      <c r="GN140">
        <f t="shared" si="11"/>
        <v>133</v>
      </c>
      <c r="GO140">
        <f t="shared" si="11"/>
        <v>133</v>
      </c>
      <c r="GP140">
        <f t="shared" si="11"/>
        <v>133</v>
      </c>
      <c r="GQ140">
        <f t="shared" si="11"/>
        <v>133</v>
      </c>
      <c r="GR140">
        <f t="shared" si="11"/>
        <v>133</v>
      </c>
      <c r="GS140">
        <f t="shared" si="11"/>
        <v>133</v>
      </c>
      <c r="GT140">
        <f t="shared" si="11"/>
        <v>133</v>
      </c>
      <c r="GU140">
        <f t="shared" si="11"/>
        <v>133</v>
      </c>
      <c r="GV140">
        <f t="shared" si="11"/>
        <v>133</v>
      </c>
      <c r="GW140">
        <f t="shared" si="11"/>
        <v>133</v>
      </c>
      <c r="GX140">
        <f t="shared" si="11"/>
        <v>6</v>
      </c>
      <c r="GY140">
        <f t="shared" si="11"/>
        <v>11</v>
      </c>
      <c r="GZ140">
        <f t="shared" si="11"/>
        <v>4</v>
      </c>
      <c r="HA140">
        <f t="shared" si="11"/>
        <v>133</v>
      </c>
      <c r="HB140">
        <f>SUM(HB136,HB139)</f>
        <v>133</v>
      </c>
      <c r="HD140">
        <f>SUM(HD136,HD139)</f>
        <v>133</v>
      </c>
    </row>
    <row r="141" spans="1:216" ht="14.65" thickTop="1" x14ac:dyDescent="0.45">
      <c r="P141" s="7"/>
    </row>
  </sheetData>
  <sheetProtection formatCells="0" formatColumns="0" formatRows="0" insertColumns="0" insertRows="0" insertHyperlinks="0" deleteColumns="0" deleteRows="0" sort="0" autoFilter="0" pivotTables="0"/>
  <conditionalFormatting sqref="L2:L135">
    <cfRule type="duplicateValues" dxfId="511" priority="10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71E8-7E4D-4EB0-8B9D-4313E5C2A0BB}">
  <dimension ref="A2:F56"/>
  <sheetViews>
    <sheetView workbookViewId="0">
      <selection activeCell="B9" sqref="B9"/>
    </sheetView>
  </sheetViews>
  <sheetFormatPr defaultRowHeight="14.25" x14ac:dyDescent="0.45"/>
  <cols>
    <col min="1" max="1" width="31.796875" style="28" bestFit="1" customWidth="1"/>
    <col min="2" max="2" width="38.53125" style="28" bestFit="1" customWidth="1"/>
    <col min="3" max="3" width="9.59765625" bestFit="1" customWidth="1"/>
    <col min="4" max="4" width="13.1328125" bestFit="1" customWidth="1"/>
    <col min="5" max="5" width="44.9296875" bestFit="1" customWidth="1"/>
    <col min="6" max="6" width="58.3984375" bestFit="1" customWidth="1"/>
  </cols>
  <sheetData>
    <row r="2" spans="1:6" x14ac:dyDescent="0.45">
      <c r="A2" s="21" t="s">
        <v>74</v>
      </c>
      <c r="B2" s="22" t="s">
        <v>2278</v>
      </c>
    </row>
    <row r="4" spans="1:6" x14ac:dyDescent="0.45">
      <c r="A4" s="23" t="s">
        <v>2279</v>
      </c>
      <c r="B4" s="24" t="s">
        <v>2283</v>
      </c>
    </row>
    <row r="5" spans="1:6" x14ac:dyDescent="0.45">
      <c r="A5" s="25" t="s">
        <v>123</v>
      </c>
      <c r="B5" s="24">
        <v>119</v>
      </c>
    </row>
    <row r="6" spans="1:6" x14ac:dyDescent="0.45">
      <c r="A6" s="26" t="s">
        <v>416</v>
      </c>
      <c r="B6" s="36">
        <v>14</v>
      </c>
    </row>
    <row r="7" spans="1:6" x14ac:dyDescent="0.45">
      <c r="A7" s="27" t="s">
        <v>2280</v>
      </c>
      <c r="B7" s="22">
        <v>133</v>
      </c>
    </row>
    <row r="9" spans="1:6" x14ac:dyDescent="0.45">
      <c r="A9" s="21" t="s">
        <v>74</v>
      </c>
      <c r="B9" s="22" t="s">
        <v>2278</v>
      </c>
    </row>
    <row r="11" spans="1:6" ht="28.5" x14ac:dyDescent="0.45">
      <c r="A11" s="23" t="s">
        <v>2279</v>
      </c>
      <c r="B11" s="24" t="s">
        <v>2281</v>
      </c>
    </row>
    <row r="12" spans="1:6" x14ac:dyDescent="0.45">
      <c r="A12" s="25" t="s">
        <v>123</v>
      </c>
      <c r="B12" s="24">
        <v>13</v>
      </c>
    </row>
    <row r="13" spans="1:6" ht="28.5" x14ac:dyDescent="0.45">
      <c r="A13" s="26" t="s">
        <v>124</v>
      </c>
      <c r="B13" s="36">
        <v>120</v>
      </c>
    </row>
    <row r="14" spans="1:6" x14ac:dyDescent="0.45">
      <c r="A14" s="27" t="s">
        <v>2280</v>
      </c>
      <c r="B14" s="22">
        <v>133</v>
      </c>
    </row>
    <row r="16" spans="1:6" x14ac:dyDescent="0.45">
      <c r="A16" s="21" t="s">
        <v>74</v>
      </c>
      <c r="B16" s="22" t="s">
        <v>2278</v>
      </c>
      <c r="E16" s="21" t="s">
        <v>24</v>
      </c>
      <c r="F16" s="22" t="s">
        <v>2278</v>
      </c>
    </row>
    <row r="17" spans="1:6" x14ac:dyDescent="0.45">
      <c r="E17" s="28"/>
      <c r="F17" s="28"/>
    </row>
    <row r="18" spans="1:6" ht="28.5" x14ac:dyDescent="0.45">
      <c r="A18" s="23" t="s">
        <v>2279</v>
      </c>
      <c r="B18" s="24" t="s">
        <v>2284</v>
      </c>
      <c r="E18" s="23" t="s">
        <v>2279</v>
      </c>
      <c r="F18" s="24" t="s">
        <v>2284</v>
      </c>
    </row>
    <row r="19" spans="1:6" x14ac:dyDescent="0.45">
      <c r="A19" s="25" t="s">
        <v>123</v>
      </c>
      <c r="B19" s="24">
        <v>116</v>
      </c>
      <c r="E19" s="25" t="s">
        <v>123</v>
      </c>
      <c r="F19" s="24">
        <v>116</v>
      </c>
    </row>
    <row r="20" spans="1:6" ht="28.5" x14ac:dyDescent="0.45">
      <c r="A20" s="26" t="s">
        <v>159</v>
      </c>
      <c r="B20" s="36">
        <v>17</v>
      </c>
      <c r="E20" s="26" t="s">
        <v>159</v>
      </c>
      <c r="F20" s="36">
        <v>17</v>
      </c>
    </row>
    <row r="21" spans="1:6" x14ac:dyDescent="0.45">
      <c r="A21" s="27" t="s">
        <v>2280</v>
      </c>
      <c r="B21" s="22">
        <v>133</v>
      </c>
      <c r="E21" s="27" t="s">
        <v>2280</v>
      </c>
      <c r="F21" s="22">
        <v>133</v>
      </c>
    </row>
    <row r="23" spans="1:6" x14ac:dyDescent="0.45">
      <c r="A23" s="21" t="s">
        <v>74</v>
      </c>
      <c r="B23" s="22" t="s">
        <v>2278</v>
      </c>
    </row>
    <row r="25" spans="1:6" ht="28.5" x14ac:dyDescent="0.45">
      <c r="A25" s="23" t="s">
        <v>2279</v>
      </c>
      <c r="B25" s="24" t="s">
        <v>2285</v>
      </c>
    </row>
    <row r="26" spans="1:6" x14ac:dyDescent="0.45">
      <c r="A26" s="25" t="s">
        <v>123</v>
      </c>
      <c r="B26" s="24">
        <v>129</v>
      </c>
    </row>
    <row r="27" spans="1:6" ht="28.5" x14ac:dyDescent="0.45">
      <c r="A27" s="26" t="s">
        <v>387</v>
      </c>
      <c r="B27" s="36">
        <v>4</v>
      </c>
    </row>
    <row r="28" spans="1:6" x14ac:dyDescent="0.45">
      <c r="A28" s="27" t="s">
        <v>2280</v>
      </c>
      <c r="B28" s="22">
        <v>133</v>
      </c>
    </row>
    <row r="30" spans="1:6" x14ac:dyDescent="0.45">
      <c r="A30" s="21" t="s">
        <v>74</v>
      </c>
      <c r="B30" s="22" t="s">
        <v>2278</v>
      </c>
    </row>
    <row r="32" spans="1:6" ht="28.5" x14ac:dyDescent="0.45">
      <c r="A32" s="23" t="s">
        <v>2279</v>
      </c>
      <c r="B32" s="24" t="s">
        <v>2286</v>
      </c>
    </row>
    <row r="33" spans="1:2" x14ac:dyDescent="0.45">
      <c r="A33" s="25" t="s">
        <v>123</v>
      </c>
      <c r="B33" s="24">
        <v>117</v>
      </c>
    </row>
    <row r="34" spans="1:2" ht="42.75" x14ac:dyDescent="0.45">
      <c r="A34" s="26" t="s">
        <v>214</v>
      </c>
      <c r="B34" s="36">
        <v>16</v>
      </c>
    </row>
    <row r="35" spans="1:2" x14ac:dyDescent="0.45">
      <c r="A35" s="27" t="s">
        <v>2280</v>
      </c>
      <c r="B35" s="22">
        <v>133</v>
      </c>
    </row>
    <row r="37" spans="1:2" x14ac:dyDescent="0.45">
      <c r="A37" s="21" t="s">
        <v>74</v>
      </c>
      <c r="B37" s="22" t="s">
        <v>2278</v>
      </c>
    </row>
    <row r="39" spans="1:2" ht="57" x14ac:dyDescent="0.45">
      <c r="A39" s="23" t="s">
        <v>2279</v>
      </c>
      <c r="B39" s="24" t="s">
        <v>2289</v>
      </c>
    </row>
    <row r="40" spans="1:2" x14ac:dyDescent="0.45">
      <c r="A40" s="25" t="s">
        <v>123</v>
      </c>
      <c r="B40" s="24">
        <v>128</v>
      </c>
    </row>
    <row r="41" spans="1:2" ht="28.5" x14ac:dyDescent="0.45">
      <c r="A41" s="26" t="s">
        <v>174</v>
      </c>
      <c r="B41" s="36">
        <v>5</v>
      </c>
    </row>
    <row r="42" spans="1:2" x14ac:dyDescent="0.45">
      <c r="A42" s="27" t="s">
        <v>2280</v>
      </c>
      <c r="B42" s="22">
        <v>133</v>
      </c>
    </row>
    <row r="44" spans="1:2" x14ac:dyDescent="0.45">
      <c r="A44" s="21" t="s">
        <v>74</v>
      </c>
      <c r="B44" s="22" t="s">
        <v>2278</v>
      </c>
    </row>
    <row r="46" spans="1:2" ht="57" x14ac:dyDescent="0.45">
      <c r="A46" s="23" t="s">
        <v>2279</v>
      </c>
      <c r="B46" s="24" t="s">
        <v>2291</v>
      </c>
    </row>
    <row r="47" spans="1:2" x14ac:dyDescent="0.45">
      <c r="A47" s="25" t="s">
        <v>123</v>
      </c>
      <c r="B47" s="24">
        <v>115</v>
      </c>
    </row>
    <row r="48" spans="1:2" ht="28.5" x14ac:dyDescent="0.45">
      <c r="A48" s="26" t="s">
        <v>177</v>
      </c>
      <c r="B48" s="36">
        <v>18</v>
      </c>
    </row>
    <row r="49" spans="1:2" x14ac:dyDescent="0.45">
      <c r="A49" s="27" t="s">
        <v>2280</v>
      </c>
      <c r="B49" s="22">
        <v>133</v>
      </c>
    </row>
    <row r="51" spans="1:2" x14ac:dyDescent="0.45">
      <c r="A51" s="21" t="s">
        <v>74</v>
      </c>
      <c r="B51" s="22" t="s">
        <v>2278</v>
      </c>
    </row>
    <row r="53" spans="1:2" ht="42.75" x14ac:dyDescent="0.45">
      <c r="A53" s="23" t="s">
        <v>2279</v>
      </c>
      <c r="B53" s="24" t="s">
        <v>2290</v>
      </c>
    </row>
    <row r="54" spans="1:2" x14ac:dyDescent="0.45">
      <c r="A54" s="25" t="s">
        <v>123</v>
      </c>
      <c r="B54" s="24">
        <v>131</v>
      </c>
    </row>
    <row r="55" spans="1:2" ht="28.5" x14ac:dyDescent="0.45">
      <c r="A55" s="26" t="s">
        <v>2022</v>
      </c>
      <c r="B55" s="36">
        <v>2</v>
      </c>
    </row>
    <row r="56" spans="1:2" x14ac:dyDescent="0.45">
      <c r="A56" s="27" t="s">
        <v>2280</v>
      </c>
      <c r="B56" s="22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E0C-9801-414B-B930-BA6380555AE0}">
  <dimension ref="A2:D21"/>
  <sheetViews>
    <sheetView workbookViewId="0"/>
  </sheetViews>
  <sheetFormatPr defaultRowHeight="14.25" x14ac:dyDescent="0.45"/>
  <cols>
    <col min="1" max="1" width="127.46484375" bestFit="1" customWidth="1"/>
    <col min="2" max="2" width="26.9296875" bestFit="1" customWidth="1"/>
    <col min="3" max="3" width="31.796875" bestFit="1" customWidth="1"/>
    <col min="4" max="5" width="13.1328125" bestFit="1" customWidth="1"/>
    <col min="6" max="6" width="74.3984375" bestFit="1" customWidth="1"/>
  </cols>
  <sheetData>
    <row r="2" spans="1:4" x14ac:dyDescent="0.45">
      <c r="A2" s="12" t="s">
        <v>74</v>
      </c>
      <c r="B2" s="13" t="s">
        <v>2282</v>
      </c>
    </row>
    <row r="3" spans="1:4" x14ac:dyDescent="0.45">
      <c r="A3" s="12" t="s">
        <v>12</v>
      </c>
      <c r="B3" s="13" t="s">
        <v>2278</v>
      </c>
    </row>
    <row r="4" spans="1:4" x14ac:dyDescent="0.45">
      <c r="A4" s="12" t="s">
        <v>24</v>
      </c>
      <c r="B4" s="13" t="s">
        <v>2278</v>
      </c>
    </row>
    <row r="5" spans="1:4" x14ac:dyDescent="0.45">
      <c r="A5" s="12" t="s">
        <v>34</v>
      </c>
      <c r="B5" s="13" t="s">
        <v>2278</v>
      </c>
    </row>
    <row r="6" spans="1:4" x14ac:dyDescent="0.45">
      <c r="A6" s="12" t="s">
        <v>46</v>
      </c>
      <c r="B6" s="13" t="s">
        <v>2278</v>
      </c>
    </row>
    <row r="7" spans="1:4" x14ac:dyDescent="0.45">
      <c r="A7" s="12" t="s">
        <v>49</v>
      </c>
      <c r="B7" s="13" t="s">
        <v>2278</v>
      </c>
    </row>
    <row r="8" spans="1:4" x14ac:dyDescent="0.45">
      <c r="A8" s="12" t="s">
        <v>50</v>
      </c>
      <c r="B8" s="13" t="s">
        <v>2278</v>
      </c>
    </row>
    <row r="9" spans="1:4" x14ac:dyDescent="0.45">
      <c r="A9" s="12" t="s">
        <v>65</v>
      </c>
      <c r="B9" s="13" t="s">
        <v>2278</v>
      </c>
    </row>
    <row r="10" spans="1:4" x14ac:dyDescent="0.45">
      <c r="A10" s="12" t="s">
        <v>55</v>
      </c>
      <c r="B10" s="13" t="s">
        <v>2278</v>
      </c>
    </row>
    <row r="12" spans="1:4" x14ac:dyDescent="0.45">
      <c r="A12" s="9"/>
      <c r="B12" s="15" t="s">
        <v>2287</v>
      </c>
      <c r="C12" s="10"/>
      <c r="D12" s="11"/>
    </row>
    <row r="13" spans="1:4" x14ac:dyDescent="0.45">
      <c r="A13" s="15" t="s">
        <v>2288</v>
      </c>
      <c r="B13" s="9" t="s">
        <v>123</v>
      </c>
      <c r="C13" s="18" t="s">
        <v>416</v>
      </c>
      <c r="D13" s="14" t="s">
        <v>2280</v>
      </c>
    </row>
    <row r="14" spans="1:4" x14ac:dyDescent="0.45">
      <c r="A14" s="16" t="s">
        <v>2281</v>
      </c>
      <c r="B14" s="9">
        <v>15</v>
      </c>
      <c r="C14" s="18">
        <v>7</v>
      </c>
      <c r="D14" s="14">
        <v>22</v>
      </c>
    </row>
    <row r="15" spans="1:4" x14ac:dyDescent="0.45">
      <c r="A15" s="17" t="s">
        <v>2283</v>
      </c>
      <c r="B15" s="37">
        <v>15</v>
      </c>
      <c r="C15" s="38">
        <v>7</v>
      </c>
      <c r="D15" s="35">
        <v>22</v>
      </c>
    </row>
    <row r="16" spans="1:4" x14ac:dyDescent="0.45">
      <c r="A16" s="17" t="s">
        <v>2284</v>
      </c>
      <c r="B16" s="37">
        <v>13</v>
      </c>
      <c r="C16" s="38">
        <v>6</v>
      </c>
      <c r="D16" s="35">
        <v>19</v>
      </c>
    </row>
    <row r="17" spans="1:4" x14ac:dyDescent="0.45">
      <c r="A17" s="17" t="s">
        <v>2285</v>
      </c>
      <c r="B17" s="37">
        <v>10</v>
      </c>
      <c r="C17" s="38">
        <v>5</v>
      </c>
      <c r="D17" s="35">
        <v>15</v>
      </c>
    </row>
    <row r="18" spans="1:4" x14ac:dyDescent="0.45">
      <c r="A18" s="17" t="s">
        <v>2286</v>
      </c>
      <c r="B18" s="37">
        <v>8</v>
      </c>
      <c r="C18" s="38">
        <v>5</v>
      </c>
      <c r="D18" s="35">
        <v>13</v>
      </c>
    </row>
    <row r="19" spans="1:4" x14ac:dyDescent="0.45">
      <c r="A19" s="17" t="s">
        <v>2289</v>
      </c>
      <c r="B19" s="37">
        <v>8</v>
      </c>
      <c r="C19" s="38">
        <v>5</v>
      </c>
      <c r="D19" s="35">
        <v>13</v>
      </c>
    </row>
    <row r="20" spans="1:4" x14ac:dyDescent="0.45">
      <c r="A20" s="17" t="s">
        <v>2290</v>
      </c>
      <c r="B20" s="37">
        <v>5</v>
      </c>
      <c r="C20" s="38">
        <v>4</v>
      </c>
      <c r="D20" s="35">
        <v>9</v>
      </c>
    </row>
    <row r="21" spans="1:4" x14ac:dyDescent="0.45">
      <c r="A21" s="19" t="s">
        <v>2291</v>
      </c>
      <c r="B21" s="39">
        <v>7</v>
      </c>
      <c r="C21" s="40">
        <v>5</v>
      </c>
      <c r="D21" s="4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76E-32F5-4BBF-BAF5-66EFDC5B3A70}">
  <dimension ref="A1:HF178"/>
  <sheetViews>
    <sheetView workbookViewId="0">
      <selection activeCell="P3" sqref="P3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hidden="1" customWidth="1" outlineLevel="1"/>
    <col min="15" max="15" width="8.1328125" collapsed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31" width="8.1328125" hidden="1" customWidth="1" outlineLevel="1"/>
    <col min="32" max="32" width="11.796875" customWidth="1" collapsed="1"/>
    <col min="33" max="49" width="23.1328125" hidden="1" customWidth="1" outlineLevel="1"/>
    <col min="50" max="50" width="11.796875" customWidth="1" collapsed="1"/>
    <col min="51" max="51" width="8.1328125" hidden="1" customWidth="1" outlineLevel="1"/>
    <col min="52" max="95" width="26.3984375" hidden="1" customWidth="1" outlineLevel="1"/>
    <col min="96" max="96" width="11.796875" customWidth="1" collapsed="1"/>
    <col min="97" max="105" width="19.9296875" hidden="1" customWidth="1" outlineLevel="1"/>
    <col min="106" max="106" width="11.796875" customWidth="1" collapsed="1"/>
    <col min="107" max="115" width="23.33203125" hidden="1" customWidth="1" outlineLevel="1"/>
    <col min="116" max="116" width="11.796875" customWidth="1" collapsed="1"/>
    <col min="117" max="144" width="8.1328125" hidden="1" customWidth="1" outlineLevel="1"/>
    <col min="145" max="145" width="11.796875" customWidth="1" collapsed="1"/>
    <col min="146" max="170" width="8.1328125" hidden="1" customWidth="1" outlineLevel="1"/>
    <col min="171" max="171" width="11.796875" customWidth="1" collapsed="1"/>
    <col min="172" max="207" width="0" hidden="1" customWidth="1" outlineLevel="1"/>
    <col min="208" max="208" width="9.46484375" customWidth="1" collapsed="1"/>
  </cols>
  <sheetData>
    <row r="1" spans="1:214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17</v>
      </c>
      <c r="AP1" t="s">
        <v>29</v>
      </c>
      <c r="AQ1" t="s">
        <v>30</v>
      </c>
      <c r="AS1" t="s">
        <v>31</v>
      </c>
      <c r="AT1" t="s">
        <v>32</v>
      </c>
      <c r="AV1" t="s">
        <v>33</v>
      </c>
      <c r="AX1" s="3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17</v>
      </c>
      <c r="BI1" t="s">
        <v>40</v>
      </c>
      <c r="BJ1" t="s">
        <v>41</v>
      </c>
      <c r="BK1" t="s">
        <v>42</v>
      </c>
      <c r="BM1" t="s">
        <v>43</v>
      </c>
      <c r="BN1" t="s">
        <v>44</v>
      </c>
      <c r="BO1" t="s">
        <v>36</v>
      </c>
      <c r="BP1" t="s">
        <v>37</v>
      </c>
      <c r="BQ1" t="s">
        <v>38</v>
      </c>
      <c r="BR1" t="s">
        <v>39</v>
      </c>
      <c r="BS1" t="s">
        <v>17</v>
      </c>
      <c r="BX1" t="s">
        <v>40</v>
      </c>
      <c r="BY1" t="s">
        <v>41</v>
      </c>
      <c r="BZ1" t="s">
        <v>42</v>
      </c>
      <c r="CB1" t="s">
        <v>43</v>
      </c>
      <c r="CC1" t="s">
        <v>45</v>
      </c>
      <c r="CD1" t="s">
        <v>36</v>
      </c>
      <c r="CE1" t="s">
        <v>37</v>
      </c>
      <c r="CF1" t="s">
        <v>38</v>
      </c>
      <c r="CG1" t="s">
        <v>39</v>
      </c>
      <c r="CH1" t="s">
        <v>17</v>
      </c>
      <c r="CM1" t="s">
        <v>40</v>
      </c>
      <c r="CN1" t="s">
        <v>41</v>
      </c>
      <c r="CO1" t="s">
        <v>42</v>
      </c>
      <c r="CQ1" t="s">
        <v>43</v>
      </c>
      <c r="CR1" s="3" t="s">
        <v>46</v>
      </c>
      <c r="CS1" t="s">
        <v>47</v>
      </c>
      <c r="CT1" t="s">
        <v>48</v>
      </c>
      <c r="CU1" t="s">
        <v>17</v>
      </c>
      <c r="DA1" t="s">
        <v>41</v>
      </c>
      <c r="DB1" s="3" t="s">
        <v>49</v>
      </c>
      <c r="DC1" t="s">
        <v>47</v>
      </c>
      <c r="DD1" t="s">
        <v>48</v>
      </c>
      <c r="DE1" t="s">
        <v>17</v>
      </c>
      <c r="DK1" t="s">
        <v>31</v>
      </c>
      <c r="DL1" s="3" t="s">
        <v>50</v>
      </c>
      <c r="DM1" t="s">
        <v>51</v>
      </c>
      <c r="DQ1" t="s">
        <v>52</v>
      </c>
      <c r="DR1" t="s">
        <v>17</v>
      </c>
      <c r="DY1" t="s">
        <v>53</v>
      </c>
      <c r="EG1" t="s">
        <v>54</v>
      </c>
      <c r="EO1" s="3" t="s">
        <v>55</v>
      </c>
      <c r="EP1" t="s">
        <v>56</v>
      </c>
      <c r="EQ1" t="s">
        <v>57</v>
      </c>
      <c r="ER1" t="s">
        <v>58</v>
      </c>
      <c r="ES1" t="s">
        <v>17</v>
      </c>
      <c r="EV1" t="s">
        <v>59</v>
      </c>
      <c r="EW1" t="s">
        <v>60</v>
      </c>
      <c r="EX1" t="s">
        <v>61</v>
      </c>
      <c r="EY1" t="s">
        <v>62</v>
      </c>
      <c r="EZ1" t="s">
        <v>58</v>
      </c>
      <c r="FA1" t="s">
        <v>17</v>
      </c>
      <c r="FD1" t="s">
        <v>59</v>
      </c>
      <c r="FE1" t="s">
        <v>60</v>
      </c>
      <c r="FF1" t="s">
        <v>61</v>
      </c>
      <c r="FG1" t="s">
        <v>63</v>
      </c>
      <c r="FH1" t="s">
        <v>58</v>
      </c>
      <c r="FI1" t="s">
        <v>17</v>
      </c>
      <c r="FL1" t="s">
        <v>59</v>
      </c>
      <c r="FM1" t="s">
        <v>60</v>
      </c>
      <c r="FN1" t="s">
        <v>64</v>
      </c>
      <c r="FO1" s="3" t="s">
        <v>65</v>
      </c>
      <c r="FP1" t="s">
        <v>66</v>
      </c>
      <c r="FQ1" t="s">
        <v>67</v>
      </c>
      <c r="FR1" t="s">
        <v>57</v>
      </c>
      <c r="FS1" t="s">
        <v>68</v>
      </c>
      <c r="FT1" t="s">
        <v>17</v>
      </c>
      <c r="GB1" t="s">
        <v>69</v>
      </c>
      <c r="GC1" t="s">
        <v>70</v>
      </c>
      <c r="GD1" t="s">
        <v>68</v>
      </c>
      <c r="GE1" t="s">
        <v>17</v>
      </c>
      <c r="GL1" t="s">
        <v>71</v>
      </c>
      <c r="GM1" t="s">
        <v>72</v>
      </c>
      <c r="GN1" t="s">
        <v>68</v>
      </c>
      <c r="GO1" t="s">
        <v>17</v>
      </c>
      <c r="GV1" t="s">
        <v>71</v>
      </c>
      <c r="GW1" t="s">
        <v>73</v>
      </c>
      <c r="GZ1" t="s">
        <v>74</v>
      </c>
      <c r="HA1" t="s">
        <v>75</v>
      </c>
      <c r="HB1" t="s">
        <v>76</v>
      </c>
      <c r="HD1" t="s">
        <v>77</v>
      </c>
      <c r="HE1" t="s">
        <v>78</v>
      </c>
      <c r="HF1" t="s">
        <v>79</v>
      </c>
    </row>
    <row r="2" spans="1:214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86</v>
      </c>
      <c r="AL2" t="s">
        <v>2071</v>
      </c>
      <c r="AM2" t="s">
        <v>87</v>
      </c>
      <c r="AN2" t="s">
        <v>88</v>
      </c>
      <c r="AO2" t="s">
        <v>89</v>
      </c>
      <c r="AP2" t="s">
        <v>29</v>
      </c>
      <c r="AQ2" t="s">
        <v>2072</v>
      </c>
      <c r="AR2" t="s">
        <v>2073</v>
      </c>
      <c r="AS2" t="s">
        <v>31</v>
      </c>
      <c r="AT2" t="s">
        <v>32</v>
      </c>
      <c r="AU2" t="s">
        <v>2070</v>
      </c>
      <c r="AV2" t="s">
        <v>33</v>
      </c>
      <c r="AW2" t="s">
        <v>2074</v>
      </c>
      <c r="AX2" s="1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2075</v>
      </c>
      <c r="BE2" t="s">
        <v>2076</v>
      </c>
      <c r="BF2" t="s">
        <v>90</v>
      </c>
      <c r="BG2" t="s">
        <v>91</v>
      </c>
      <c r="BH2" t="s">
        <v>92</v>
      </c>
      <c r="BI2" t="s">
        <v>40</v>
      </c>
      <c r="BJ2" t="s">
        <v>41</v>
      </c>
      <c r="BK2" t="s">
        <v>42</v>
      </c>
      <c r="BL2" t="s">
        <v>2077</v>
      </c>
      <c r="BM2" t="s">
        <v>43</v>
      </c>
      <c r="BN2" t="s">
        <v>44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45</v>
      </c>
      <c r="CD2" t="s">
        <v>2092</v>
      </c>
      <c r="CE2" t="s">
        <v>2093</v>
      </c>
      <c r="CF2" t="s">
        <v>2094</v>
      </c>
      <c r="CG2" t="s">
        <v>2095</v>
      </c>
      <c r="CH2" t="s">
        <v>2096</v>
      </c>
      <c r="CI2" t="s">
        <v>2097</v>
      </c>
      <c r="CJ2" t="s">
        <v>2098</v>
      </c>
      <c r="CK2" t="s">
        <v>2099</v>
      </c>
      <c r="CL2" t="s">
        <v>2100</v>
      </c>
      <c r="CM2" t="s">
        <v>2101</v>
      </c>
      <c r="CN2" t="s">
        <v>2102</v>
      </c>
      <c r="CO2" t="s">
        <v>2103</v>
      </c>
      <c r="CP2" t="s">
        <v>2104</v>
      </c>
      <c r="CQ2" t="s">
        <v>2105</v>
      </c>
      <c r="CR2" s="1" t="s">
        <v>46</v>
      </c>
      <c r="CS2" t="s">
        <v>47</v>
      </c>
      <c r="CT2" t="s">
        <v>48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2106</v>
      </c>
      <c r="DB2" s="1" t="s">
        <v>49</v>
      </c>
      <c r="DC2" t="s">
        <v>2107</v>
      </c>
      <c r="DD2" t="s">
        <v>2108</v>
      </c>
      <c r="DE2" t="s">
        <v>2109</v>
      </c>
      <c r="DF2" t="s">
        <v>2110</v>
      </c>
      <c r="DG2" t="s">
        <v>2111</v>
      </c>
      <c r="DH2" t="s">
        <v>2112</v>
      </c>
      <c r="DI2" t="s">
        <v>2113</v>
      </c>
      <c r="DJ2" t="s">
        <v>2114</v>
      </c>
      <c r="DK2" t="s">
        <v>2115</v>
      </c>
      <c r="DL2" s="1" t="s">
        <v>50</v>
      </c>
      <c r="DM2" t="s">
        <v>51</v>
      </c>
      <c r="DN2" t="s">
        <v>2067</v>
      </c>
      <c r="DO2" t="s">
        <v>2068</v>
      </c>
      <c r="DP2" t="s">
        <v>2069</v>
      </c>
      <c r="DQ2" t="s">
        <v>52</v>
      </c>
      <c r="DR2" t="s">
        <v>99</v>
      </c>
      <c r="DS2" t="s">
        <v>100</v>
      </c>
      <c r="DT2" t="s">
        <v>101</v>
      </c>
      <c r="DU2" t="s">
        <v>102</v>
      </c>
      <c r="DV2" t="s">
        <v>103</v>
      </c>
      <c r="DW2" t="s">
        <v>104</v>
      </c>
      <c r="DX2" t="s">
        <v>105</v>
      </c>
      <c r="DY2" t="s">
        <v>106</v>
      </c>
      <c r="DZ2" t="s">
        <v>107</v>
      </c>
      <c r="EA2" t="s">
        <v>108</v>
      </c>
      <c r="EB2" t="s">
        <v>109</v>
      </c>
      <c r="EC2" t="s">
        <v>110</v>
      </c>
      <c r="ED2" t="s">
        <v>111</v>
      </c>
      <c r="EE2" t="s">
        <v>112</v>
      </c>
      <c r="EF2" t="s">
        <v>2116</v>
      </c>
      <c r="EG2" t="s">
        <v>2117</v>
      </c>
      <c r="EH2" t="s">
        <v>2118</v>
      </c>
      <c r="EI2" t="s">
        <v>2119</v>
      </c>
      <c r="EJ2" t="s">
        <v>2120</v>
      </c>
      <c r="EK2" t="s">
        <v>2121</v>
      </c>
      <c r="EL2" t="s">
        <v>2122</v>
      </c>
      <c r="EM2" t="s">
        <v>2123</v>
      </c>
      <c r="EN2" t="s">
        <v>2124</v>
      </c>
      <c r="EO2" s="1" t="s">
        <v>55</v>
      </c>
      <c r="EP2" t="s">
        <v>56</v>
      </c>
      <c r="EQ2" t="s">
        <v>57</v>
      </c>
      <c r="ER2" t="s">
        <v>58</v>
      </c>
      <c r="ES2" t="s">
        <v>113</v>
      </c>
      <c r="ET2" t="s">
        <v>114</v>
      </c>
      <c r="EU2" t="s">
        <v>115</v>
      </c>
      <c r="EV2" t="s">
        <v>59</v>
      </c>
      <c r="EW2" t="s">
        <v>60</v>
      </c>
      <c r="EX2" t="s">
        <v>61</v>
      </c>
      <c r="EY2" t="s">
        <v>62</v>
      </c>
      <c r="EZ2" t="s">
        <v>2125</v>
      </c>
      <c r="FA2" t="s">
        <v>2126</v>
      </c>
      <c r="FB2" t="s">
        <v>2127</v>
      </c>
      <c r="FC2" t="s">
        <v>2128</v>
      </c>
      <c r="FD2" t="s">
        <v>2129</v>
      </c>
      <c r="FE2" t="s">
        <v>2130</v>
      </c>
      <c r="FF2" t="s">
        <v>2131</v>
      </c>
      <c r="FG2" t="s">
        <v>63</v>
      </c>
      <c r="FH2" t="s">
        <v>2132</v>
      </c>
      <c r="FI2" t="s">
        <v>2133</v>
      </c>
      <c r="FJ2" t="s">
        <v>2134</v>
      </c>
      <c r="FK2" t="s">
        <v>2135</v>
      </c>
      <c r="FL2" t="s">
        <v>2136</v>
      </c>
      <c r="FM2" t="s">
        <v>2137</v>
      </c>
      <c r="FN2" t="s">
        <v>64</v>
      </c>
      <c r="FO2" s="1" t="s">
        <v>65</v>
      </c>
      <c r="FP2" t="s">
        <v>66</v>
      </c>
      <c r="FQ2" t="s">
        <v>67</v>
      </c>
      <c r="FR2" t="s">
        <v>2138</v>
      </c>
      <c r="FS2" t="s">
        <v>68</v>
      </c>
      <c r="FT2" t="s">
        <v>116</v>
      </c>
      <c r="FU2" t="s">
        <v>2139</v>
      </c>
      <c r="FV2" t="s">
        <v>2140</v>
      </c>
      <c r="FW2" t="s">
        <v>2141</v>
      </c>
      <c r="FX2" t="s">
        <v>2142</v>
      </c>
      <c r="FY2" t="s">
        <v>2143</v>
      </c>
      <c r="FZ2" t="s">
        <v>2144</v>
      </c>
      <c r="GA2" t="s">
        <v>2145</v>
      </c>
      <c r="GB2" t="s">
        <v>69</v>
      </c>
      <c r="GC2" t="s">
        <v>70</v>
      </c>
      <c r="GD2" t="s">
        <v>2146</v>
      </c>
      <c r="GE2" t="s">
        <v>2147</v>
      </c>
      <c r="GF2" t="s">
        <v>2148</v>
      </c>
      <c r="GG2" t="s">
        <v>2149</v>
      </c>
      <c r="GH2" t="s">
        <v>2150</v>
      </c>
      <c r="GI2" t="s">
        <v>2151</v>
      </c>
      <c r="GJ2" t="s">
        <v>2152</v>
      </c>
      <c r="GK2" t="s">
        <v>2153</v>
      </c>
      <c r="GL2" t="s">
        <v>71</v>
      </c>
      <c r="GM2" t="s">
        <v>72</v>
      </c>
      <c r="GN2" t="s">
        <v>2154</v>
      </c>
      <c r="GO2" t="s">
        <v>2155</v>
      </c>
      <c r="GP2" t="s">
        <v>2156</v>
      </c>
      <c r="GQ2" t="s">
        <v>2157</v>
      </c>
      <c r="GR2" t="s">
        <v>2158</v>
      </c>
      <c r="GS2" t="s">
        <v>2159</v>
      </c>
      <c r="GT2" t="s">
        <v>2160</v>
      </c>
      <c r="GU2" t="s">
        <v>2161</v>
      </c>
      <c r="GV2" t="s">
        <v>2162</v>
      </c>
      <c r="GW2" t="s">
        <v>73</v>
      </c>
      <c r="GX2" t="s">
        <v>2163</v>
      </c>
      <c r="GY2" t="s">
        <v>2164</v>
      </c>
      <c r="GZ2" t="s">
        <v>74</v>
      </c>
      <c r="HA2" t="s">
        <v>75</v>
      </c>
      <c r="HB2" t="s">
        <v>76</v>
      </c>
      <c r="HC2" t="s">
        <v>2165</v>
      </c>
      <c r="HD2" t="s">
        <v>77</v>
      </c>
      <c r="HE2" t="s">
        <v>78</v>
      </c>
      <c r="HF2" t="s">
        <v>79</v>
      </c>
    </row>
    <row r="3" spans="1:214" x14ac:dyDescent="0.45">
      <c r="A3">
        <v>1</v>
      </c>
      <c r="B3">
        <f>_xlfn.IFNA(VLOOKUP(Analiza[[#This Row],[Zakończono wypełnianie]],Zakończone[],2,0),"BRAK")</f>
        <v>1</v>
      </c>
      <c r="C3">
        <f t="shared" ref="C3:C34" si="0">COUNTA(O3:HF3)</f>
        <v>34</v>
      </c>
      <c r="D3" t="s">
        <v>117</v>
      </c>
      <c r="E3" t="s">
        <v>118</v>
      </c>
      <c r="J3" t="s">
        <v>119</v>
      </c>
      <c r="K3" t="s">
        <v>120</v>
      </c>
      <c r="L3" t="s">
        <v>121</v>
      </c>
      <c r="M3">
        <v>65871</v>
      </c>
      <c r="N3">
        <v>0</v>
      </c>
      <c r="O3" t="s">
        <v>122</v>
      </c>
      <c r="P3" s="1" t="s">
        <v>123</v>
      </c>
      <c r="AF3" s="1" t="s">
        <v>124</v>
      </c>
      <c r="AG3" t="s">
        <v>125</v>
      </c>
      <c r="AI3" t="s">
        <v>126</v>
      </c>
      <c r="AJ3" t="s">
        <v>127</v>
      </c>
      <c r="AK3" t="s">
        <v>128</v>
      </c>
      <c r="AL3" t="s">
        <v>128</v>
      </c>
      <c r="AM3" t="s">
        <v>129</v>
      </c>
      <c r="AN3" t="s">
        <v>129</v>
      </c>
      <c r="AO3" t="s">
        <v>129</v>
      </c>
      <c r="AP3" t="s">
        <v>130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W3" t="s">
        <v>136</v>
      </c>
      <c r="AX3" s="1" t="s">
        <v>123</v>
      </c>
      <c r="CR3" s="1" t="s">
        <v>123</v>
      </c>
      <c r="DB3" s="1" t="s">
        <v>123</v>
      </c>
      <c r="DL3" s="1" t="s">
        <v>123</v>
      </c>
      <c r="EO3" s="1" t="s">
        <v>123</v>
      </c>
      <c r="FO3" s="1" t="s">
        <v>123</v>
      </c>
      <c r="FP3" t="s">
        <v>132</v>
      </c>
      <c r="GW3" t="s">
        <v>137</v>
      </c>
      <c r="GX3" t="s">
        <v>138</v>
      </c>
      <c r="GY3" t="s">
        <v>139</v>
      </c>
      <c r="GZ3" t="s">
        <v>140</v>
      </c>
      <c r="HA3">
        <v>1987</v>
      </c>
      <c r="HB3" t="s">
        <v>141</v>
      </c>
      <c r="HD3" t="s">
        <v>142</v>
      </c>
      <c r="HE3" t="s">
        <v>142</v>
      </c>
      <c r="HF3" t="s">
        <v>143</v>
      </c>
    </row>
    <row r="4" spans="1:214" x14ac:dyDescent="0.45">
      <c r="A4">
        <v>2</v>
      </c>
      <c r="B4">
        <f>_xlfn.IFNA(VLOOKUP(Analiza[[#This Row],[Zakończono wypełnianie]],Zakończone[],2,0),"BRAK")</f>
        <v>2</v>
      </c>
      <c r="C4">
        <f t="shared" si="0"/>
        <v>95</v>
      </c>
      <c r="D4" t="s">
        <v>144</v>
      </c>
      <c r="E4" t="s">
        <v>118</v>
      </c>
      <c r="J4" t="s">
        <v>119</v>
      </c>
      <c r="K4" t="s">
        <v>145</v>
      </c>
      <c r="L4" t="s">
        <v>146</v>
      </c>
      <c r="M4">
        <v>1573</v>
      </c>
      <c r="N4">
        <v>0</v>
      </c>
      <c r="O4" t="s">
        <v>122</v>
      </c>
      <c r="P4" s="1" t="s">
        <v>123</v>
      </c>
      <c r="AF4" s="1" t="s">
        <v>124</v>
      </c>
      <c r="AG4" t="s">
        <v>234</v>
      </c>
      <c r="AH4">
        <v>1986</v>
      </c>
      <c r="AI4" t="s">
        <v>148</v>
      </c>
      <c r="AJ4" t="s">
        <v>149</v>
      </c>
      <c r="AK4" t="s">
        <v>150</v>
      </c>
      <c r="AL4" t="s">
        <v>150</v>
      </c>
      <c r="AM4" t="s">
        <v>150</v>
      </c>
      <c r="AN4" t="s">
        <v>151</v>
      </c>
      <c r="AO4" t="s">
        <v>150</v>
      </c>
      <c r="AP4">
        <v>3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s="1" t="s">
        <v>159</v>
      </c>
      <c r="AY4">
        <v>2</v>
      </c>
      <c r="AZ4" t="s">
        <v>160</v>
      </c>
      <c r="BA4">
        <v>2013</v>
      </c>
      <c r="BB4" t="s">
        <v>148</v>
      </c>
      <c r="BC4" t="s">
        <v>161</v>
      </c>
      <c r="BD4" t="s">
        <v>162</v>
      </c>
      <c r="BE4" t="s">
        <v>150</v>
      </c>
      <c r="BF4" t="s">
        <v>150</v>
      </c>
      <c r="BG4" t="s">
        <v>150</v>
      </c>
      <c r="BH4" t="s">
        <v>150</v>
      </c>
      <c r="BI4" t="s">
        <v>163</v>
      </c>
      <c r="BJ4" t="s">
        <v>164</v>
      </c>
      <c r="BK4" t="s">
        <v>157</v>
      </c>
      <c r="BM4" t="s">
        <v>165</v>
      </c>
      <c r="BN4" t="s">
        <v>166</v>
      </c>
      <c r="BO4" t="s">
        <v>167</v>
      </c>
      <c r="BP4">
        <v>2015</v>
      </c>
      <c r="BQ4" t="s">
        <v>148</v>
      </c>
      <c r="BR4" t="s">
        <v>168</v>
      </c>
      <c r="BS4" t="s">
        <v>150</v>
      </c>
      <c r="BT4" t="s">
        <v>169</v>
      </c>
      <c r="BU4" t="s">
        <v>150</v>
      </c>
      <c r="BV4" t="s">
        <v>150</v>
      </c>
      <c r="BW4" t="s">
        <v>150</v>
      </c>
      <c r="BX4" t="s">
        <v>170</v>
      </c>
      <c r="BY4" t="s">
        <v>171</v>
      </c>
      <c r="BZ4" t="s">
        <v>172</v>
      </c>
      <c r="CC4" t="s">
        <v>173</v>
      </c>
      <c r="CR4" s="1" t="s">
        <v>123</v>
      </c>
      <c r="DB4" s="1" t="s">
        <v>123</v>
      </c>
      <c r="DL4" s="1" t="s">
        <v>174</v>
      </c>
      <c r="DP4" t="s">
        <v>175</v>
      </c>
      <c r="DQ4" t="s">
        <v>176</v>
      </c>
      <c r="DR4" t="s">
        <v>162</v>
      </c>
      <c r="DS4" t="s">
        <v>150</v>
      </c>
      <c r="DT4" t="s">
        <v>151</v>
      </c>
      <c r="DU4" t="s">
        <v>151</v>
      </c>
      <c r="DV4" t="s">
        <v>162</v>
      </c>
      <c r="DW4" t="s">
        <v>162</v>
      </c>
      <c r="DX4" t="s">
        <v>150</v>
      </c>
      <c r="DY4">
        <v>25</v>
      </c>
      <c r="DZ4">
        <v>25</v>
      </c>
      <c r="EA4">
        <v>2</v>
      </c>
      <c r="EB4">
        <v>5</v>
      </c>
      <c r="EC4">
        <v>8</v>
      </c>
      <c r="ED4">
        <v>25</v>
      </c>
      <c r="EE4">
        <v>10</v>
      </c>
      <c r="EG4">
        <v>20</v>
      </c>
      <c r="EH4">
        <v>20</v>
      </c>
      <c r="EI4">
        <v>1</v>
      </c>
      <c r="EJ4">
        <v>4</v>
      </c>
      <c r="EK4">
        <v>25</v>
      </c>
      <c r="EL4">
        <v>25</v>
      </c>
      <c r="EM4">
        <v>5</v>
      </c>
      <c r="EO4" s="1" t="s">
        <v>177</v>
      </c>
      <c r="EP4" t="s">
        <v>178</v>
      </c>
      <c r="EQ4">
        <v>1</v>
      </c>
      <c r="ER4" t="s">
        <v>179</v>
      </c>
      <c r="ES4" t="s">
        <v>150</v>
      </c>
      <c r="ET4" t="s">
        <v>150</v>
      </c>
      <c r="EU4" t="s">
        <v>151</v>
      </c>
      <c r="EV4" t="s">
        <v>180</v>
      </c>
      <c r="EW4" t="s">
        <v>181</v>
      </c>
      <c r="EX4" t="s">
        <v>182</v>
      </c>
      <c r="EY4" t="s">
        <v>173</v>
      </c>
      <c r="FO4" s="1" t="s">
        <v>123</v>
      </c>
      <c r="FP4" t="s">
        <v>132</v>
      </c>
      <c r="GW4" t="s">
        <v>183</v>
      </c>
      <c r="GX4" t="s">
        <v>184</v>
      </c>
      <c r="GY4" t="s">
        <v>185</v>
      </c>
      <c r="GZ4" t="s">
        <v>186</v>
      </c>
      <c r="HA4">
        <v>1961</v>
      </c>
      <c r="HB4" t="s">
        <v>141</v>
      </c>
      <c r="HD4" t="s">
        <v>187</v>
      </c>
    </row>
    <row r="5" spans="1:214" x14ac:dyDescent="0.45">
      <c r="A5">
        <v>3</v>
      </c>
      <c r="B5">
        <f>_xlfn.IFNA(VLOOKUP(Analiza[[#This Row],[Zakończono wypełnianie]],Zakończone[],2,0),"BRAK")</f>
        <v>3</v>
      </c>
      <c r="C5">
        <f t="shared" si="0"/>
        <v>33</v>
      </c>
      <c r="D5" t="s">
        <v>188</v>
      </c>
      <c r="E5" t="s">
        <v>118</v>
      </c>
      <c r="J5" t="s">
        <v>119</v>
      </c>
      <c r="K5" t="s">
        <v>189</v>
      </c>
      <c r="L5" t="s">
        <v>190</v>
      </c>
      <c r="M5">
        <v>853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>
        <v>2017</v>
      </c>
      <c r="AI5" t="s">
        <v>126</v>
      </c>
      <c r="AJ5" t="s">
        <v>192</v>
      </c>
      <c r="AK5" t="s">
        <v>150</v>
      </c>
      <c r="AL5" t="s">
        <v>150</v>
      </c>
      <c r="AM5" t="s">
        <v>162</v>
      </c>
      <c r="AN5" t="s">
        <v>169</v>
      </c>
      <c r="AO5" t="s">
        <v>169</v>
      </c>
      <c r="AP5" t="s">
        <v>193</v>
      </c>
      <c r="AQ5" t="s">
        <v>194</v>
      </c>
      <c r="AR5" t="s">
        <v>194</v>
      </c>
      <c r="AS5" t="s">
        <v>195</v>
      </c>
      <c r="AT5" t="s">
        <v>196</v>
      </c>
      <c r="AU5" t="s">
        <v>197</v>
      </c>
      <c r="AV5" t="s">
        <v>157</v>
      </c>
      <c r="AX5" s="1" t="s">
        <v>123</v>
      </c>
      <c r="CR5" s="1" t="s">
        <v>123</v>
      </c>
      <c r="DB5" s="1" t="s">
        <v>123</v>
      </c>
      <c r="DL5" s="1" t="s">
        <v>123</v>
      </c>
      <c r="EO5" s="1" t="s">
        <v>123</v>
      </c>
      <c r="FO5" s="1" t="s">
        <v>123</v>
      </c>
      <c r="FP5" t="s">
        <v>132</v>
      </c>
      <c r="GW5" t="s">
        <v>198</v>
      </c>
      <c r="GX5" t="s">
        <v>199</v>
      </c>
      <c r="GY5" t="s">
        <v>200</v>
      </c>
      <c r="GZ5" t="s">
        <v>186</v>
      </c>
      <c r="HA5">
        <v>1991</v>
      </c>
      <c r="HB5" t="s">
        <v>141</v>
      </c>
      <c r="HD5" t="s">
        <v>201</v>
      </c>
    </row>
    <row r="6" spans="1:214" x14ac:dyDescent="0.45">
      <c r="A6">
        <v>4</v>
      </c>
      <c r="B6">
        <f>_xlfn.IFNA(VLOOKUP(Analiza[[#This Row],[Zakończono wypełnianie]],Zakończone[],2,0),"BRAK")</f>
        <v>4</v>
      </c>
      <c r="C6">
        <f t="shared" si="0"/>
        <v>44</v>
      </c>
      <c r="D6" t="s">
        <v>202</v>
      </c>
      <c r="E6" t="s">
        <v>118</v>
      </c>
      <c r="J6" t="s">
        <v>119</v>
      </c>
      <c r="K6" t="s">
        <v>203</v>
      </c>
      <c r="L6" t="s">
        <v>204</v>
      </c>
      <c r="M6">
        <v>3161</v>
      </c>
      <c r="N6">
        <v>0</v>
      </c>
      <c r="O6" t="s">
        <v>122</v>
      </c>
      <c r="P6" s="1" t="s">
        <v>123</v>
      </c>
      <c r="AF6" s="1" t="s">
        <v>124</v>
      </c>
      <c r="AG6" t="s">
        <v>234</v>
      </c>
      <c r="AH6">
        <v>1986</v>
      </c>
      <c r="AI6" t="s">
        <v>148</v>
      </c>
      <c r="AJ6" t="s">
        <v>207</v>
      </c>
      <c r="AK6" t="s">
        <v>150</v>
      </c>
      <c r="AL6" t="s">
        <v>150</v>
      </c>
      <c r="AM6" t="s">
        <v>162</v>
      </c>
      <c r="AN6" t="s">
        <v>162</v>
      </c>
      <c r="AO6" t="s">
        <v>162</v>
      </c>
      <c r="AP6" t="s">
        <v>208</v>
      </c>
      <c r="AQ6" t="s">
        <v>209</v>
      </c>
      <c r="AR6" t="s">
        <v>209</v>
      </c>
      <c r="AS6" t="s">
        <v>210</v>
      </c>
      <c r="AT6" t="s">
        <v>211</v>
      </c>
      <c r="AU6" t="s">
        <v>212</v>
      </c>
      <c r="AV6" t="s">
        <v>157</v>
      </c>
      <c r="AW6" t="s">
        <v>213</v>
      </c>
      <c r="AX6" s="1" t="s">
        <v>123</v>
      </c>
      <c r="CR6" s="1" t="s">
        <v>123</v>
      </c>
      <c r="DB6" s="1" t="s">
        <v>214</v>
      </c>
      <c r="DC6" t="s">
        <v>205</v>
      </c>
      <c r="DD6" t="s">
        <v>215</v>
      </c>
      <c r="DE6" t="s">
        <v>150</v>
      </c>
      <c r="DF6" t="s">
        <v>169</v>
      </c>
      <c r="DG6" t="s">
        <v>169</v>
      </c>
      <c r="DH6" t="s">
        <v>150</v>
      </c>
      <c r="DI6" t="s">
        <v>151</v>
      </c>
      <c r="DJ6" t="s">
        <v>151</v>
      </c>
      <c r="DK6" t="s">
        <v>216</v>
      </c>
      <c r="DL6" s="1" t="s">
        <v>123</v>
      </c>
      <c r="EO6" s="1" t="s">
        <v>123</v>
      </c>
      <c r="EP6" t="s">
        <v>178</v>
      </c>
      <c r="EQ6" t="s">
        <v>132</v>
      </c>
      <c r="FO6" s="1" t="s">
        <v>123</v>
      </c>
      <c r="FP6" t="s">
        <v>132</v>
      </c>
      <c r="GW6" t="s">
        <v>217</v>
      </c>
      <c r="GX6" t="s">
        <v>218</v>
      </c>
      <c r="GY6" t="s">
        <v>219</v>
      </c>
      <c r="GZ6" t="s">
        <v>140</v>
      </c>
      <c r="HA6">
        <v>1961</v>
      </c>
      <c r="HB6" t="s">
        <v>220</v>
      </c>
    </row>
    <row r="7" spans="1:214" x14ac:dyDescent="0.45">
      <c r="A7">
        <v>5</v>
      </c>
      <c r="B7">
        <f>_xlfn.IFNA(VLOOKUP(Analiza[[#This Row],[Zakończono wypełnianie]],Zakończone[],2,0),"BRAK")</f>
        <v>5</v>
      </c>
      <c r="C7">
        <f t="shared" si="0"/>
        <v>83</v>
      </c>
      <c r="D7" t="s">
        <v>202</v>
      </c>
      <c r="E7" t="s">
        <v>118</v>
      </c>
      <c r="J7" t="s">
        <v>119</v>
      </c>
      <c r="K7" t="s">
        <v>221</v>
      </c>
      <c r="L7" t="s">
        <v>222</v>
      </c>
      <c r="M7">
        <v>1659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>
        <v>1999</v>
      </c>
      <c r="AI7" t="s">
        <v>148</v>
      </c>
      <c r="AJ7" t="s">
        <v>224</v>
      </c>
      <c r="AK7" t="s">
        <v>162</v>
      </c>
      <c r="AL7" t="s">
        <v>162</v>
      </c>
      <c r="AM7" t="s">
        <v>150</v>
      </c>
      <c r="AN7" t="s">
        <v>150</v>
      </c>
      <c r="AO7" t="s">
        <v>169</v>
      </c>
      <c r="AP7" t="s">
        <v>225</v>
      </c>
      <c r="AQ7" t="s">
        <v>153</v>
      </c>
      <c r="AR7" t="s">
        <v>226</v>
      </c>
      <c r="AS7" t="s">
        <v>227</v>
      </c>
      <c r="AT7" t="s">
        <v>228</v>
      </c>
      <c r="AU7" t="s">
        <v>229</v>
      </c>
      <c r="AV7" t="s">
        <v>230</v>
      </c>
      <c r="AX7" s="1" t="s">
        <v>159</v>
      </c>
      <c r="AY7">
        <v>3</v>
      </c>
      <c r="AZ7" t="s">
        <v>191</v>
      </c>
      <c r="BA7">
        <v>2011</v>
      </c>
      <c r="BB7" t="s">
        <v>126</v>
      </c>
      <c r="BC7" t="s">
        <v>2273</v>
      </c>
      <c r="BD7" t="s">
        <v>169</v>
      </c>
      <c r="BE7" t="s">
        <v>169</v>
      </c>
      <c r="BF7" t="s">
        <v>150</v>
      </c>
      <c r="BG7" t="s">
        <v>162</v>
      </c>
      <c r="BH7" t="s">
        <v>150</v>
      </c>
      <c r="BI7">
        <v>1</v>
      </c>
      <c r="BJ7" t="s">
        <v>232</v>
      </c>
      <c r="BK7" t="s">
        <v>157</v>
      </c>
      <c r="BM7" t="s">
        <v>233</v>
      </c>
      <c r="BN7" t="s">
        <v>166</v>
      </c>
      <c r="BO7" t="s">
        <v>234</v>
      </c>
      <c r="BP7">
        <v>2011</v>
      </c>
      <c r="BQ7" t="s">
        <v>148</v>
      </c>
      <c r="BR7" t="s">
        <v>235</v>
      </c>
      <c r="BS7" t="s">
        <v>151</v>
      </c>
      <c r="BT7" t="s">
        <v>128</v>
      </c>
      <c r="BU7" t="s">
        <v>236</v>
      </c>
      <c r="BV7" t="s">
        <v>128</v>
      </c>
      <c r="BW7" t="s">
        <v>162</v>
      </c>
      <c r="BX7" t="s">
        <v>237</v>
      </c>
      <c r="BZ7" t="s">
        <v>172</v>
      </c>
      <c r="CB7" t="s">
        <v>233</v>
      </c>
      <c r="CC7" t="s">
        <v>238</v>
      </c>
      <c r="CD7" t="s">
        <v>223</v>
      </c>
      <c r="CE7">
        <v>2016</v>
      </c>
      <c r="CF7" t="s">
        <v>148</v>
      </c>
      <c r="CG7" t="s">
        <v>239</v>
      </c>
      <c r="CH7" t="s">
        <v>169</v>
      </c>
      <c r="CI7" t="s">
        <v>169</v>
      </c>
      <c r="CJ7" t="s">
        <v>169</v>
      </c>
      <c r="CK7" t="s">
        <v>150</v>
      </c>
      <c r="CL7" t="s">
        <v>150</v>
      </c>
      <c r="CM7">
        <v>1</v>
      </c>
      <c r="CN7" t="s">
        <v>240</v>
      </c>
      <c r="CO7" t="s">
        <v>157</v>
      </c>
      <c r="CQ7" t="s">
        <v>233</v>
      </c>
      <c r="CR7" s="1" t="s">
        <v>123</v>
      </c>
      <c r="DB7" s="1" t="s">
        <v>214</v>
      </c>
      <c r="DC7" t="s">
        <v>234</v>
      </c>
      <c r="DD7" t="s">
        <v>241</v>
      </c>
      <c r="DE7" t="s">
        <v>162</v>
      </c>
      <c r="DF7" t="s">
        <v>169</v>
      </c>
      <c r="DG7" t="s">
        <v>169</v>
      </c>
      <c r="DH7" t="s">
        <v>151</v>
      </c>
      <c r="DI7" t="s">
        <v>151</v>
      </c>
      <c r="DJ7" t="s">
        <v>151</v>
      </c>
      <c r="DK7" t="s">
        <v>242</v>
      </c>
      <c r="DL7" s="1" t="s">
        <v>123</v>
      </c>
      <c r="EO7" s="1" t="s">
        <v>123</v>
      </c>
      <c r="FO7" s="1" t="s">
        <v>123</v>
      </c>
      <c r="FP7" t="s">
        <v>132</v>
      </c>
      <c r="GW7" t="s">
        <v>243</v>
      </c>
      <c r="GX7" t="s">
        <v>244</v>
      </c>
      <c r="GY7" t="s">
        <v>245</v>
      </c>
      <c r="GZ7" t="s">
        <v>186</v>
      </c>
      <c r="HA7">
        <v>1961</v>
      </c>
      <c r="HB7" t="s">
        <v>246</v>
      </c>
      <c r="HD7" t="s">
        <v>247</v>
      </c>
    </row>
    <row r="8" spans="1:214" x14ac:dyDescent="0.45">
      <c r="A8">
        <v>6</v>
      </c>
      <c r="B8">
        <f>_xlfn.IFNA(VLOOKUP(Analiza[[#This Row],[Zakończono wypełnianie]],Zakończone[],2,0),"BRAK")</f>
        <v>6</v>
      </c>
      <c r="C8">
        <f t="shared" si="0"/>
        <v>32</v>
      </c>
      <c r="D8" t="s">
        <v>248</v>
      </c>
      <c r="E8" t="s">
        <v>118</v>
      </c>
      <c r="J8" t="s">
        <v>119</v>
      </c>
      <c r="K8" t="s">
        <v>249</v>
      </c>
      <c r="L8" t="s">
        <v>250</v>
      </c>
      <c r="M8">
        <v>902</v>
      </c>
      <c r="N8">
        <v>0</v>
      </c>
      <c r="O8" t="s">
        <v>122</v>
      </c>
      <c r="P8" s="1" t="s">
        <v>123</v>
      </c>
      <c r="AF8" s="1" t="s">
        <v>124</v>
      </c>
      <c r="AG8" t="s">
        <v>191</v>
      </c>
      <c r="AH8">
        <v>2013</v>
      </c>
      <c r="AI8" t="s">
        <v>126</v>
      </c>
      <c r="AJ8" t="s">
        <v>251</v>
      </c>
      <c r="AK8" t="s">
        <v>162</v>
      </c>
      <c r="AL8" t="s">
        <v>162</v>
      </c>
      <c r="AM8" t="s">
        <v>151</v>
      </c>
      <c r="AN8" t="s">
        <v>132</v>
      </c>
      <c r="AO8" t="s">
        <v>132</v>
      </c>
      <c r="AP8" t="s">
        <v>252</v>
      </c>
      <c r="AQ8" t="s">
        <v>132</v>
      </c>
      <c r="AR8" t="s">
        <v>132</v>
      </c>
      <c r="AS8" t="s">
        <v>253</v>
      </c>
      <c r="AT8" t="s">
        <v>254</v>
      </c>
      <c r="AU8" t="s">
        <v>255</v>
      </c>
      <c r="AV8" t="s">
        <v>157</v>
      </c>
      <c r="AX8" s="1" t="s">
        <v>123</v>
      </c>
      <c r="CR8" s="1" t="s">
        <v>123</v>
      </c>
      <c r="DB8" s="1" t="s">
        <v>123</v>
      </c>
      <c r="DL8" s="1" t="s">
        <v>123</v>
      </c>
      <c r="EO8" s="1" t="s">
        <v>123</v>
      </c>
      <c r="FO8" s="1" t="s">
        <v>123</v>
      </c>
      <c r="FP8" t="s">
        <v>132</v>
      </c>
      <c r="GW8" t="s">
        <v>256</v>
      </c>
      <c r="GX8" t="s">
        <v>257</v>
      </c>
      <c r="GY8" t="s">
        <v>258</v>
      </c>
      <c r="GZ8" t="s">
        <v>140</v>
      </c>
      <c r="HA8">
        <v>1988</v>
      </c>
      <c r="HB8" t="s">
        <v>141</v>
      </c>
    </row>
    <row r="9" spans="1:214" x14ac:dyDescent="0.45">
      <c r="A9">
        <v>7</v>
      </c>
      <c r="B9">
        <f>_xlfn.IFNA(VLOOKUP(Analiza[[#This Row],[Zakończono wypełnianie]],Zakończone[],2,0),"BRAK")</f>
        <v>7</v>
      </c>
      <c r="C9">
        <f t="shared" si="0"/>
        <v>37</v>
      </c>
      <c r="D9" t="s">
        <v>259</v>
      </c>
      <c r="E9" t="s">
        <v>118</v>
      </c>
      <c r="F9" t="s">
        <v>260</v>
      </c>
      <c r="J9" t="s">
        <v>119</v>
      </c>
      <c r="K9" t="s">
        <v>261</v>
      </c>
      <c r="L9" t="s">
        <v>262</v>
      </c>
      <c r="M9">
        <v>422</v>
      </c>
      <c r="N9">
        <v>0</v>
      </c>
      <c r="O9" t="s">
        <v>122</v>
      </c>
      <c r="P9" s="1" t="s">
        <v>123</v>
      </c>
      <c r="AF9" s="1" t="s">
        <v>124</v>
      </c>
      <c r="AG9" t="s">
        <v>191</v>
      </c>
      <c r="AH9">
        <v>2013</v>
      </c>
      <c r="AI9" t="s">
        <v>126</v>
      </c>
      <c r="AJ9" t="s">
        <v>263</v>
      </c>
      <c r="AK9" t="s">
        <v>169</v>
      </c>
      <c r="AL9" t="s">
        <v>150</v>
      </c>
      <c r="AM9" t="s">
        <v>169</v>
      </c>
      <c r="AN9" t="s">
        <v>169</v>
      </c>
      <c r="AO9" t="s">
        <v>169</v>
      </c>
      <c r="AP9">
        <v>4</v>
      </c>
      <c r="AQ9" t="s">
        <v>153</v>
      </c>
      <c r="AR9" t="s">
        <v>153</v>
      </c>
      <c r="AS9" t="s">
        <v>264</v>
      </c>
      <c r="AT9" t="s">
        <v>265</v>
      </c>
      <c r="AU9" t="s">
        <v>266</v>
      </c>
      <c r="AV9" t="s">
        <v>157</v>
      </c>
      <c r="AX9" s="1" t="s">
        <v>123</v>
      </c>
      <c r="CR9" s="1" t="s">
        <v>123</v>
      </c>
      <c r="DB9" s="1" t="s">
        <v>123</v>
      </c>
      <c r="DL9" s="1" t="s">
        <v>123</v>
      </c>
      <c r="EO9" s="1" t="s">
        <v>123</v>
      </c>
      <c r="EP9" t="s">
        <v>180</v>
      </c>
      <c r="EQ9" t="s">
        <v>132</v>
      </c>
      <c r="FO9" s="1" t="s">
        <v>123</v>
      </c>
      <c r="FP9" t="s">
        <v>132</v>
      </c>
      <c r="FR9" t="s">
        <v>132</v>
      </c>
      <c r="GW9" t="s">
        <v>267</v>
      </c>
      <c r="GX9" t="s">
        <v>267</v>
      </c>
      <c r="GY9" t="s">
        <v>267</v>
      </c>
      <c r="GZ9" t="s">
        <v>186</v>
      </c>
      <c r="HA9">
        <v>1988</v>
      </c>
      <c r="HB9" t="s">
        <v>220</v>
      </c>
      <c r="HD9" t="s">
        <v>268</v>
      </c>
      <c r="HE9" t="s">
        <v>268</v>
      </c>
    </row>
    <row r="10" spans="1:214" x14ac:dyDescent="0.45">
      <c r="A10">
        <v>8</v>
      </c>
      <c r="B10">
        <f>_xlfn.IFNA(VLOOKUP(Analiza[[#This Row],[Zakończono wypełnianie]],Zakończone[],2,0),"BRAK")</f>
        <v>8</v>
      </c>
      <c r="C10">
        <f t="shared" si="0"/>
        <v>58</v>
      </c>
      <c r="D10" t="s">
        <v>269</v>
      </c>
      <c r="E10" t="s">
        <v>118</v>
      </c>
      <c r="J10" t="s">
        <v>119</v>
      </c>
      <c r="K10" t="s">
        <v>270</v>
      </c>
      <c r="L10" t="s">
        <v>271</v>
      </c>
      <c r="M10">
        <v>768</v>
      </c>
      <c r="N10">
        <v>0</v>
      </c>
      <c r="O10" t="s">
        <v>122</v>
      </c>
      <c r="P10" s="1" t="s">
        <v>123</v>
      </c>
      <c r="AF10" s="1" t="s">
        <v>124</v>
      </c>
      <c r="AG10" t="s">
        <v>160</v>
      </c>
      <c r="AH10">
        <v>1973</v>
      </c>
      <c r="AI10" t="s">
        <v>148</v>
      </c>
      <c r="AJ10" t="s">
        <v>272</v>
      </c>
      <c r="AK10" t="s">
        <v>169</v>
      </c>
      <c r="AL10" t="s">
        <v>169</v>
      </c>
      <c r="AM10" t="s">
        <v>150</v>
      </c>
      <c r="AN10" t="s">
        <v>129</v>
      </c>
      <c r="AO10" t="s">
        <v>129</v>
      </c>
      <c r="AP10">
        <v>0</v>
      </c>
      <c r="AQ10" t="s">
        <v>152</v>
      </c>
      <c r="AR10" t="s">
        <v>152</v>
      </c>
      <c r="AS10" t="s">
        <v>273</v>
      </c>
      <c r="AT10" t="s">
        <v>274</v>
      </c>
      <c r="AU10" t="s">
        <v>275</v>
      </c>
      <c r="AV10" t="s">
        <v>172</v>
      </c>
      <c r="AX10" s="1" t="s">
        <v>159</v>
      </c>
      <c r="AY10">
        <v>3</v>
      </c>
      <c r="AZ10" t="s">
        <v>160</v>
      </c>
      <c r="BA10" t="s">
        <v>276</v>
      </c>
      <c r="BB10" t="s">
        <v>148</v>
      </c>
      <c r="BC10" t="s">
        <v>277</v>
      </c>
      <c r="BD10" t="s">
        <v>169</v>
      </c>
      <c r="BE10" t="s">
        <v>169</v>
      </c>
      <c r="BF10" t="s">
        <v>236</v>
      </c>
      <c r="BG10" t="s">
        <v>236</v>
      </c>
      <c r="BH10" t="s">
        <v>236</v>
      </c>
      <c r="BI10">
        <v>0</v>
      </c>
      <c r="BJ10" t="s">
        <v>278</v>
      </c>
      <c r="BK10" t="s">
        <v>172</v>
      </c>
      <c r="BN10" t="s">
        <v>173</v>
      </c>
      <c r="CR10" s="1" t="s">
        <v>123</v>
      </c>
      <c r="DB10" s="1" t="s">
        <v>214</v>
      </c>
      <c r="DC10" t="s">
        <v>862</v>
      </c>
      <c r="DD10" t="s">
        <v>280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281</v>
      </c>
      <c r="DL10" s="1" t="s">
        <v>123</v>
      </c>
      <c r="EO10" s="1" t="s">
        <v>123</v>
      </c>
      <c r="EP10" t="s">
        <v>180</v>
      </c>
      <c r="EQ10" t="s">
        <v>132</v>
      </c>
      <c r="FO10" s="1" t="s">
        <v>123</v>
      </c>
      <c r="FP10" t="s">
        <v>132</v>
      </c>
      <c r="FR10" t="s">
        <v>132</v>
      </c>
      <c r="GW10" t="s">
        <v>282</v>
      </c>
      <c r="GX10" t="s">
        <v>283</v>
      </c>
      <c r="GY10" t="s">
        <v>284</v>
      </c>
      <c r="GZ10" t="s">
        <v>186</v>
      </c>
      <c r="HA10">
        <v>1950</v>
      </c>
      <c r="HB10" t="s">
        <v>141</v>
      </c>
    </row>
    <row r="11" spans="1:214" x14ac:dyDescent="0.45">
      <c r="A11">
        <v>10</v>
      </c>
      <c r="B11">
        <f>_xlfn.IFNA(VLOOKUP(Analiza[[#This Row],[Zakończono wypełnianie]],Zakończone[],2,0),"BRAK")</f>
        <v>9</v>
      </c>
      <c r="C11">
        <f t="shared" si="0"/>
        <v>33</v>
      </c>
      <c r="D11" t="s">
        <v>288</v>
      </c>
      <c r="E11" t="s">
        <v>118</v>
      </c>
      <c r="J11" t="s">
        <v>119</v>
      </c>
      <c r="K11" t="s">
        <v>289</v>
      </c>
      <c r="L11" t="s">
        <v>290</v>
      </c>
      <c r="M11">
        <v>4259</v>
      </c>
      <c r="N11">
        <v>0</v>
      </c>
      <c r="O11" t="s">
        <v>122</v>
      </c>
      <c r="P11" s="1" t="s">
        <v>123</v>
      </c>
      <c r="AF11" s="1" t="s">
        <v>124</v>
      </c>
      <c r="AG11" t="s">
        <v>191</v>
      </c>
      <c r="AH11">
        <v>2013</v>
      </c>
      <c r="AI11" t="s">
        <v>126</v>
      </c>
      <c r="AJ11" t="s">
        <v>291</v>
      </c>
      <c r="AK11" t="s">
        <v>150</v>
      </c>
      <c r="AL11" t="s">
        <v>150</v>
      </c>
      <c r="AM11" t="s">
        <v>169</v>
      </c>
      <c r="AN11" t="s">
        <v>151</v>
      </c>
      <c r="AO11" t="s">
        <v>162</v>
      </c>
      <c r="AP11">
        <v>1</v>
      </c>
      <c r="AQ11" t="s">
        <v>131</v>
      </c>
      <c r="AR11" t="s">
        <v>153</v>
      </c>
      <c r="AS11" t="s">
        <v>292</v>
      </c>
      <c r="AT11" t="s">
        <v>293</v>
      </c>
      <c r="AU11" t="s">
        <v>294</v>
      </c>
      <c r="AV11" t="s">
        <v>157</v>
      </c>
      <c r="AX11" s="1" t="s">
        <v>123</v>
      </c>
      <c r="CR11" s="1" t="s">
        <v>123</v>
      </c>
      <c r="DB11" s="1" t="s">
        <v>123</v>
      </c>
      <c r="DL11" s="1" t="s">
        <v>123</v>
      </c>
      <c r="EO11" s="1" t="s">
        <v>123</v>
      </c>
      <c r="FO11" s="1" t="s">
        <v>123</v>
      </c>
      <c r="FP11" t="s">
        <v>132</v>
      </c>
      <c r="FR11" t="s">
        <v>132</v>
      </c>
      <c r="GW11" t="s">
        <v>295</v>
      </c>
      <c r="GX11" t="s">
        <v>296</v>
      </c>
      <c r="GY11" t="s">
        <v>297</v>
      </c>
      <c r="GZ11" t="s">
        <v>186</v>
      </c>
      <c r="HA11">
        <v>1988</v>
      </c>
      <c r="HB11" t="s">
        <v>141</v>
      </c>
    </row>
    <row r="12" spans="1:214" x14ac:dyDescent="0.45">
      <c r="A12">
        <v>11</v>
      </c>
      <c r="B12">
        <f>_xlfn.IFNA(VLOOKUP(Analiza[[#This Row],[Zakończono wypełnianie]],Zakończone[],2,0),"BRAK")</f>
        <v>10</v>
      </c>
      <c r="C12">
        <f t="shared" si="0"/>
        <v>62</v>
      </c>
      <c r="D12" t="s">
        <v>298</v>
      </c>
      <c r="E12" t="s">
        <v>118</v>
      </c>
      <c r="J12" t="s">
        <v>119</v>
      </c>
      <c r="K12" t="s">
        <v>299</v>
      </c>
      <c r="L12" t="s">
        <v>300</v>
      </c>
      <c r="M12">
        <v>1404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>
        <v>1986</v>
      </c>
      <c r="AI12" t="s">
        <v>126</v>
      </c>
      <c r="AJ12" t="s">
        <v>301</v>
      </c>
      <c r="AK12" t="s">
        <v>150</v>
      </c>
      <c r="AL12" t="s">
        <v>150</v>
      </c>
      <c r="AM12" t="s">
        <v>162</v>
      </c>
      <c r="AN12" t="s">
        <v>151</v>
      </c>
      <c r="AO12" t="s">
        <v>151</v>
      </c>
      <c r="AP12">
        <v>2</v>
      </c>
      <c r="AQ12" t="s">
        <v>302</v>
      </c>
      <c r="AR12" t="s">
        <v>153</v>
      </c>
      <c r="AS12" t="s">
        <v>303</v>
      </c>
      <c r="AT12" t="s">
        <v>304</v>
      </c>
      <c r="AU12" t="s">
        <v>305</v>
      </c>
      <c r="AV12" t="s">
        <v>157</v>
      </c>
      <c r="AX12" s="1" t="s">
        <v>159</v>
      </c>
      <c r="AY12">
        <v>1</v>
      </c>
      <c r="AZ12" t="s">
        <v>223</v>
      </c>
      <c r="BA12">
        <v>2011</v>
      </c>
      <c r="BB12" t="s">
        <v>148</v>
      </c>
      <c r="BC12" t="s">
        <v>127</v>
      </c>
      <c r="BD12" t="s">
        <v>150</v>
      </c>
      <c r="BE12" t="s">
        <v>150</v>
      </c>
      <c r="BF12" t="s">
        <v>169</v>
      </c>
      <c r="BG12" t="s">
        <v>169</v>
      </c>
      <c r="BH12" t="s">
        <v>169</v>
      </c>
      <c r="BI12">
        <v>1</v>
      </c>
      <c r="BJ12" t="s">
        <v>306</v>
      </c>
      <c r="BK12" t="s">
        <v>157</v>
      </c>
      <c r="BM12" t="s">
        <v>307</v>
      </c>
      <c r="BN12" t="s">
        <v>173</v>
      </c>
      <c r="CR12" s="1" t="s">
        <v>123</v>
      </c>
      <c r="DB12" s="1" t="s">
        <v>214</v>
      </c>
      <c r="DC12" t="s">
        <v>191</v>
      </c>
      <c r="DD12" t="s">
        <v>308</v>
      </c>
      <c r="DE12" t="s">
        <v>150</v>
      </c>
      <c r="DF12" t="s">
        <v>150</v>
      </c>
      <c r="DG12" t="s">
        <v>162</v>
      </c>
      <c r="DH12" t="s">
        <v>150</v>
      </c>
      <c r="DI12" t="s">
        <v>150</v>
      </c>
      <c r="DJ12" t="s">
        <v>150</v>
      </c>
      <c r="DK12" t="s">
        <v>309</v>
      </c>
      <c r="DL12" s="1" t="s">
        <v>123</v>
      </c>
      <c r="EO12" s="1" t="s">
        <v>123</v>
      </c>
      <c r="EP12" t="s">
        <v>180</v>
      </c>
      <c r="EQ12" t="s">
        <v>132</v>
      </c>
      <c r="FO12" s="1" t="s">
        <v>123</v>
      </c>
      <c r="FP12" t="s">
        <v>132</v>
      </c>
      <c r="FR12" t="s">
        <v>132</v>
      </c>
      <c r="GW12" t="s">
        <v>310</v>
      </c>
      <c r="GX12" t="s">
        <v>311</v>
      </c>
      <c r="GY12" t="s">
        <v>312</v>
      </c>
      <c r="GZ12" t="s">
        <v>186</v>
      </c>
      <c r="HA12">
        <v>1963</v>
      </c>
      <c r="HB12" t="s">
        <v>141</v>
      </c>
      <c r="HC12" t="s">
        <v>313</v>
      </c>
      <c r="HD12" t="s">
        <v>314</v>
      </c>
      <c r="HE12" t="s">
        <v>315</v>
      </c>
    </row>
    <row r="13" spans="1:214" x14ac:dyDescent="0.45">
      <c r="A13">
        <v>12</v>
      </c>
      <c r="B13">
        <f>_xlfn.IFNA(VLOOKUP(Analiza[[#This Row],[Zakończono wypełnianie]],Zakończone[],2,0),"BRAK")</f>
        <v>11</v>
      </c>
      <c r="C13">
        <f t="shared" si="0"/>
        <v>35</v>
      </c>
      <c r="D13" t="s">
        <v>316</v>
      </c>
      <c r="E13" t="s">
        <v>118</v>
      </c>
      <c r="J13" t="s">
        <v>119</v>
      </c>
      <c r="K13" t="s">
        <v>317</v>
      </c>
      <c r="L13" t="s">
        <v>318</v>
      </c>
      <c r="M13">
        <v>349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>
        <v>2010</v>
      </c>
      <c r="AI13" t="s">
        <v>126</v>
      </c>
      <c r="AJ13" t="s">
        <v>319</v>
      </c>
      <c r="AK13" t="s">
        <v>236</v>
      </c>
      <c r="AL13" t="s">
        <v>128</v>
      </c>
      <c r="AM13" t="s">
        <v>162</v>
      </c>
      <c r="AN13" t="s">
        <v>162</v>
      </c>
      <c r="AO13" t="s">
        <v>162</v>
      </c>
      <c r="AP13">
        <v>6</v>
      </c>
      <c r="AQ13" t="s">
        <v>131</v>
      </c>
      <c r="AR13" t="s">
        <v>302</v>
      </c>
      <c r="AS13" t="s">
        <v>320</v>
      </c>
      <c r="AT13" t="s">
        <v>321</v>
      </c>
      <c r="AU13" t="s">
        <v>322</v>
      </c>
      <c r="AV13" t="s">
        <v>157</v>
      </c>
      <c r="AX13" s="1" t="s">
        <v>123</v>
      </c>
      <c r="CR13" s="1" t="s">
        <v>123</v>
      </c>
      <c r="DB13" s="1" t="s">
        <v>123</v>
      </c>
      <c r="DL13" s="1" t="s">
        <v>123</v>
      </c>
      <c r="EO13" s="1" t="s">
        <v>123</v>
      </c>
      <c r="EP13" t="s">
        <v>180</v>
      </c>
      <c r="EQ13" t="s">
        <v>132</v>
      </c>
      <c r="FO13" s="1" t="s">
        <v>123</v>
      </c>
      <c r="FP13" t="s">
        <v>132</v>
      </c>
      <c r="FR13" t="s">
        <v>132</v>
      </c>
      <c r="GW13" t="s">
        <v>323</v>
      </c>
      <c r="GX13" t="s">
        <v>324</v>
      </c>
      <c r="GY13" t="s">
        <v>325</v>
      </c>
      <c r="GZ13" t="s">
        <v>186</v>
      </c>
      <c r="HA13">
        <v>1985</v>
      </c>
      <c r="HB13" t="s">
        <v>141</v>
      </c>
    </row>
    <row r="14" spans="1:214" x14ac:dyDescent="0.45">
      <c r="A14">
        <v>13</v>
      </c>
      <c r="B14">
        <f>_xlfn.IFNA(VLOOKUP(Analiza[[#This Row],[Zakończono wypełnianie]],Zakończone[],2,0),"BRAK")</f>
        <v>12</v>
      </c>
      <c r="C14">
        <f t="shared" si="0"/>
        <v>35</v>
      </c>
      <c r="D14" t="s">
        <v>326</v>
      </c>
      <c r="E14" t="s">
        <v>118</v>
      </c>
      <c r="J14" t="s">
        <v>119</v>
      </c>
      <c r="K14" t="s">
        <v>327</v>
      </c>
      <c r="L14" t="s">
        <v>328</v>
      </c>
      <c r="M14">
        <v>1387173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>
        <v>2011</v>
      </c>
      <c r="AI14" t="s">
        <v>126</v>
      </c>
      <c r="AJ14" t="s">
        <v>330</v>
      </c>
      <c r="AK14" t="s">
        <v>169</v>
      </c>
      <c r="AL14" t="s">
        <v>169</v>
      </c>
      <c r="AM14" t="s">
        <v>150</v>
      </c>
      <c r="AN14" t="s">
        <v>162</v>
      </c>
      <c r="AO14" t="s">
        <v>169</v>
      </c>
      <c r="AP14" t="s">
        <v>331</v>
      </c>
      <c r="AQ14" t="s">
        <v>302</v>
      </c>
      <c r="AR14" t="s">
        <v>226</v>
      </c>
      <c r="AS14" t="s">
        <v>332</v>
      </c>
      <c r="AT14" t="s">
        <v>333</v>
      </c>
      <c r="AU14" t="s">
        <v>334</v>
      </c>
      <c r="AV14" t="s">
        <v>157</v>
      </c>
      <c r="AW14" t="s">
        <v>335</v>
      </c>
      <c r="AX14" s="1" t="s">
        <v>123</v>
      </c>
      <c r="CR14" s="1" t="s">
        <v>123</v>
      </c>
      <c r="DB14" s="1" t="s">
        <v>123</v>
      </c>
      <c r="DL14" s="1" t="s">
        <v>123</v>
      </c>
      <c r="EO14" s="1" t="s">
        <v>123</v>
      </c>
      <c r="FO14" s="1" t="s">
        <v>123</v>
      </c>
      <c r="FP14" t="s">
        <v>132</v>
      </c>
      <c r="GW14" t="s">
        <v>336</v>
      </c>
      <c r="GX14" t="s">
        <v>337</v>
      </c>
      <c r="GY14" t="s">
        <v>338</v>
      </c>
      <c r="GZ14" t="s">
        <v>186</v>
      </c>
      <c r="HA14">
        <v>1987</v>
      </c>
      <c r="HB14" t="s">
        <v>246</v>
      </c>
      <c r="HD14" t="s">
        <v>339</v>
      </c>
      <c r="HE14" t="s">
        <v>340</v>
      </c>
    </row>
    <row r="15" spans="1:214" x14ac:dyDescent="0.45">
      <c r="A15">
        <v>16</v>
      </c>
      <c r="B15">
        <f>_xlfn.IFNA(VLOOKUP(Analiza[[#This Row],[Zakończono wypełnianie]],Zakończone[],2,0),"BRAK")</f>
        <v>15</v>
      </c>
      <c r="C15">
        <f t="shared" si="0"/>
        <v>34</v>
      </c>
      <c r="D15" t="s">
        <v>347</v>
      </c>
      <c r="E15" t="s">
        <v>118</v>
      </c>
      <c r="J15" t="s">
        <v>119</v>
      </c>
      <c r="K15" t="s">
        <v>348</v>
      </c>
      <c r="L15" t="s">
        <v>349</v>
      </c>
      <c r="M15">
        <v>781</v>
      </c>
      <c r="N15">
        <v>0</v>
      </c>
      <c r="O15" t="s">
        <v>122</v>
      </c>
      <c r="P15" s="1" t="s">
        <v>123</v>
      </c>
      <c r="AF15" s="1" t="s">
        <v>124</v>
      </c>
      <c r="AG15" t="s">
        <v>191</v>
      </c>
      <c r="AH15">
        <v>2010</v>
      </c>
      <c r="AI15" t="s">
        <v>126</v>
      </c>
      <c r="AJ15" t="s">
        <v>127</v>
      </c>
      <c r="AK15" t="s">
        <v>150</v>
      </c>
      <c r="AL15" t="s">
        <v>128</v>
      </c>
      <c r="AM15" t="s">
        <v>151</v>
      </c>
      <c r="AN15" t="s">
        <v>162</v>
      </c>
      <c r="AO15" t="s">
        <v>162</v>
      </c>
      <c r="AP15" t="s">
        <v>350</v>
      </c>
      <c r="AQ15" t="s">
        <v>302</v>
      </c>
      <c r="AR15" t="s">
        <v>302</v>
      </c>
      <c r="AS15" t="s">
        <v>351</v>
      </c>
      <c r="AT15" t="s">
        <v>352</v>
      </c>
      <c r="AU15" t="s">
        <v>353</v>
      </c>
      <c r="AV15" t="s">
        <v>157</v>
      </c>
      <c r="AX15" s="1" t="s">
        <v>123</v>
      </c>
      <c r="CR15" s="1" t="s">
        <v>123</v>
      </c>
      <c r="DB15" s="1" t="s">
        <v>123</v>
      </c>
      <c r="DL15" s="1" t="s">
        <v>123</v>
      </c>
      <c r="EO15" s="1" t="s">
        <v>123</v>
      </c>
      <c r="EQ15" t="s">
        <v>132</v>
      </c>
      <c r="FO15" s="1" t="s">
        <v>123</v>
      </c>
      <c r="FP15" t="s">
        <v>132</v>
      </c>
      <c r="GW15" t="s">
        <v>354</v>
      </c>
      <c r="GX15" t="s">
        <v>355</v>
      </c>
      <c r="GY15" t="s">
        <v>356</v>
      </c>
      <c r="GZ15" t="s">
        <v>140</v>
      </c>
      <c r="HA15">
        <v>1986</v>
      </c>
      <c r="HB15" t="s">
        <v>141</v>
      </c>
      <c r="HD15" t="s">
        <v>357</v>
      </c>
    </row>
    <row r="16" spans="1:214" x14ac:dyDescent="0.45">
      <c r="A16">
        <v>17</v>
      </c>
      <c r="B16">
        <f>_xlfn.IFNA(VLOOKUP(Analiza[[#This Row],[Zakończono wypełnianie]],Zakończone[],2,0),"BRAK")</f>
        <v>16</v>
      </c>
      <c r="C16">
        <f t="shared" si="0"/>
        <v>33</v>
      </c>
      <c r="D16" t="s">
        <v>358</v>
      </c>
      <c r="E16" t="s">
        <v>118</v>
      </c>
      <c r="F16" t="s">
        <v>359</v>
      </c>
      <c r="J16" t="s">
        <v>119</v>
      </c>
      <c r="K16" t="s">
        <v>360</v>
      </c>
      <c r="L16" t="s">
        <v>361</v>
      </c>
      <c r="M16">
        <v>1534</v>
      </c>
      <c r="N16">
        <v>0</v>
      </c>
      <c r="O16" t="s">
        <v>122</v>
      </c>
      <c r="P16" s="1" t="s">
        <v>123</v>
      </c>
      <c r="AF16" s="1" t="s">
        <v>124</v>
      </c>
      <c r="AG16" t="s">
        <v>223</v>
      </c>
      <c r="AH16">
        <v>2011</v>
      </c>
      <c r="AI16" t="s">
        <v>148</v>
      </c>
      <c r="AJ16" t="s">
        <v>362</v>
      </c>
      <c r="AK16" t="s">
        <v>151</v>
      </c>
      <c r="AL16" t="s">
        <v>236</v>
      </c>
      <c r="AM16" t="s">
        <v>129</v>
      </c>
      <c r="AN16" t="s">
        <v>129</v>
      </c>
      <c r="AO16" t="s">
        <v>129</v>
      </c>
      <c r="AP16">
        <v>4</v>
      </c>
      <c r="AQ16" t="s">
        <v>131</v>
      </c>
      <c r="AR16" t="s">
        <v>131</v>
      </c>
      <c r="AS16" t="s">
        <v>363</v>
      </c>
      <c r="AT16" t="s">
        <v>364</v>
      </c>
      <c r="AU16" t="s">
        <v>365</v>
      </c>
      <c r="AV16" t="s">
        <v>157</v>
      </c>
      <c r="AX16" s="1" t="s">
        <v>123</v>
      </c>
      <c r="CR16" s="1" t="s">
        <v>123</v>
      </c>
      <c r="DB16" s="1" t="s">
        <v>123</v>
      </c>
      <c r="DL16" s="1" t="s">
        <v>123</v>
      </c>
      <c r="EO16" s="1" t="s">
        <v>123</v>
      </c>
      <c r="FO16" s="1" t="s">
        <v>123</v>
      </c>
      <c r="FP16" t="s">
        <v>132</v>
      </c>
      <c r="GW16" t="s">
        <v>366</v>
      </c>
      <c r="GX16" t="s">
        <v>367</v>
      </c>
      <c r="GY16" t="s">
        <v>368</v>
      </c>
      <c r="GZ16" t="s">
        <v>140</v>
      </c>
      <c r="HA16">
        <v>1987</v>
      </c>
      <c r="HB16" t="s">
        <v>141</v>
      </c>
      <c r="HD16" t="s">
        <v>369</v>
      </c>
    </row>
    <row r="17" spans="1:213" x14ac:dyDescent="0.45">
      <c r="A17">
        <v>21</v>
      </c>
      <c r="B17">
        <f>_xlfn.IFNA(VLOOKUP(Analiza[[#This Row],[Zakończono wypełnianie]],Zakończone[],2,0),"BRAK")</f>
        <v>18</v>
      </c>
      <c r="C17">
        <f t="shared" si="0"/>
        <v>76</v>
      </c>
      <c r="D17" t="s">
        <v>378</v>
      </c>
      <c r="E17" t="s">
        <v>118</v>
      </c>
      <c r="J17" t="s">
        <v>119</v>
      </c>
      <c r="K17" t="s">
        <v>379</v>
      </c>
      <c r="L17" t="s">
        <v>380</v>
      </c>
      <c r="M17">
        <v>5438</v>
      </c>
      <c r="N17">
        <v>0</v>
      </c>
      <c r="O17" t="s">
        <v>122</v>
      </c>
      <c r="P17" s="1" t="s">
        <v>123</v>
      </c>
      <c r="AF17" s="1" t="s">
        <v>124</v>
      </c>
      <c r="AG17" t="s">
        <v>2268</v>
      </c>
      <c r="AH17">
        <v>1985</v>
      </c>
      <c r="AI17" t="s">
        <v>148</v>
      </c>
      <c r="AJ17" t="s">
        <v>382</v>
      </c>
      <c r="AK17" t="s">
        <v>169</v>
      </c>
      <c r="AL17" t="s">
        <v>169</v>
      </c>
      <c r="AM17" t="s">
        <v>128</v>
      </c>
      <c r="AN17" t="s">
        <v>236</v>
      </c>
      <c r="AO17" t="s">
        <v>236</v>
      </c>
      <c r="AP17" t="s">
        <v>383</v>
      </c>
      <c r="AQ17" t="s">
        <v>152</v>
      </c>
      <c r="AR17" t="s">
        <v>152</v>
      </c>
      <c r="AS17" t="s">
        <v>384</v>
      </c>
      <c r="AT17" t="s">
        <v>385</v>
      </c>
      <c r="AU17" t="s">
        <v>386</v>
      </c>
      <c r="AV17" t="s">
        <v>172</v>
      </c>
      <c r="AX17" s="1" t="s">
        <v>123</v>
      </c>
      <c r="CR17" s="1" t="s">
        <v>387</v>
      </c>
      <c r="CS17" t="s">
        <v>388</v>
      </c>
      <c r="CT17" t="s">
        <v>389</v>
      </c>
      <c r="CU17" t="s">
        <v>169</v>
      </c>
      <c r="CV17" t="s">
        <v>169</v>
      </c>
      <c r="CW17" t="s">
        <v>169</v>
      </c>
      <c r="CX17" t="s">
        <v>169</v>
      </c>
      <c r="CY17" t="s">
        <v>169</v>
      </c>
      <c r="CZ17" t="s">
        <v>169</v>
      </c>
      <c r="DA17" t="s">
        <v>390</v>
      </c>
      <c r="DB17" s="1" t="s">
        <v>214</v>
      </c>
      <c r="DC17" t="s">
        <v>388</v>
      </c>
      <c r="DD17" t="s">
        <v>2274</v>
      </c>
      <c r="DE17" t="s">
        <v>169</v>
      </c>
      <c r="DF17" t="s">
        <v>169</v>
      </c>
      <c r="DG17" t="s">
        <v>169</v>
      </c>
      <c r="DH17" t="s">
        <v>169</v>
      </c>
      <c r="DI17" t="s">
        <v>169</v>
      </c>
      <c r="DJ17" t="s">
        <v>169</v>
      </c>
      <c r="DK17" t="s">
        <v>393</v>
      </c>
      <c r="DL17" s="1" t="s">
        <v>174</v>
      </c>
      <c r="DM17" t="s">
        <v>394</v>
      </c>
      <c r="DQ17" t="s">
        <v>391</v>
      </c>
      <c r="DR17" t="s">
        <v>169</v>
      </c>
      <c r="DS17" t="s">
        <v>169</v>
      </c>
      <c r="DT17" t="s">
        <v>169</v>
      </c>
      <c r="DU17" t="s">
        <v>169</v>
      </c>
      <c r="DV17" t="s">
        <v>169</v>
      </c>
      <c r="DW17" t="s">
        <v>169</v>
      </c>
      <c r="DX17" t="s">
        <v>169</v>
      </c>
      <c r="DY17">
        <v>20</v>
      </c>
      <c r="DZ17">
        <v>20</v>
      </c>
      <c r="EA17">
        <v>0</v>
      </c>
      <c r="EB17">
        <v>15</v>
      </c>
      <c r="EC17">
        <v>30</v>
      </c>
      <c r="ED17">
        <v>0</v>
      </c>
      <c r="EE17">
        <v>15</v>
      </c>
      <c r="EG17">
        <v>30</v>
      </c>
      <c r="EH17">
        <v>20</v>
      </c>
      <c r="EI17">
        <v>0</v>
      </c>
      <c r="EJ17">
        <v>10</v>
      </c>
      <c r="EK17">
        <v>25</v>
      </c>
      <c r="EL17">
        <v>0</v>
      </c>
      <c r="EM17">
        <v>15</v>
      </c>
      <c r="EO17" s="1" t="s">
        <v>123</v>
      </c>
      <c r="EP17" t="s">
        <v>178</v>
      </c>
      <c r="EQ17" t="s">
        <v>132</v>
      </c>
      <c r="FO17" s="1" t="s">
        <v>123</v>
      </c>
      <c r="FP17" t="s">
        <v>132</v>
      </c>
      <c r="FR17" t="s">
        <v>132</v>
      </c>
      <c r="GW17" t="s">
        <v>395</v>
      </c>
      <c r="GX17" t="s">
        <v>396</v>
      </c>
      <c r="GY17" t="s">
        <v>397</v>
      </c>
      <c r="GZ17" t="s">
        <v>186</v>
      </c>
      <c r="HA17">
        <v>1960</v>
      </c>
      <c r="HB17" t="s">
        <v>398</v>
      </c>
    </row>
    <row r="18" spans="1:213" x14ac:dyDescent="0.45">
      <c r="A18">
        <v>22</v>
      </c>
      <c r="B18">
        <f>_xlfn.IFNA(VLOOKUP(Analiza[[#This Row],[Zakończono wypełnianie]],Zakończone[],2,0),"BRAK")</f>
        <v>19</v>
      </c>
      <c r="C18">
        <f t="shared" si="0"/>
        <v>36</v>
      </c>
      <c r="D18" t="s">
        <v>399</v>
      </c>
      <c r="E18" t="s">
        <v>118</v>
      </c>
      <c r="F18" t="s">
        <v>400</v>
      </c>
      <c r="J18" t="s">
        <v>119</v>
      </c>
      <c r="K18" t="s">
        <v>401</v>
      </c>
      <c r="L18" t="s">
        <v>402</v>
      </c>
      <c r="M18">
        <v>1075</v>
      </c>
      <c r="N18">
        <v>0</v>
      </c>
      <c r="O18" t="s">
        <v>122</v>
      </c>
      <c r="P18" s="1" t="s">
        <v>123</v>
      </c>
      <c r="AF18" s="1" t="s">
        <v>124</v>
      </c>
      <c r="AG18" t="s">
        <v>2272</v>
      </c>
      <c r="AH18">
        <v>2010</v>
      </c>
      <c r="AI18" t="s">
        <v>148</v>
      </c>
      <c r="AJ18" t="s">
        <v>404</v>
      </c>
      <c r="AK18" t="s">
        <v>151</v>
      </c>
      <c r="AL18" t="s">
        <v>150</v>
      </c>
      <c r="AM18" t="s">
        <v>162</v>
      </c>
      <c r="AN18" t="s">
        <v>150</v>
      </c>
      <c r="AO18" t="s">
        <v>150</v>
      </c>
      <c r="AP18" t="s">
        <v>405</v>
      </c>
      <c r="AQ18" t="s">
        <v>131</v>
      </c>
      <c r="AR18" t="s">
        <v>302</v>
      </c>
      <c r="AS18" t="s">
        <v>406</v>
      </c>
      <c r="AT18" t="s">
        <v>407</v>
      </c>
      <c r="AU18" t="s">
        <v>408</v>
      </c>
      <c r="AV18" t="s">
        <v>230</v>
      </c>
      <c r="AX18" s="1" t="s">
        <v>123</v>
      </c>
      <c r="CR18" s="1" t="s">
        <v>123</v>
      </c>
      <c r="DB18" s="1" t="s">
        <v>123</v>
      </c>
      <c r="DL18" s="1" t="s">
        <v>123</v>
      </c>
      <c r="EO18" s="1" t="s">
        <v>123</v>
      </c>
      <c r="EP18" t="s">
        <v>180</v>
      </c>
      <c r="EQ18" t="s">
        <v>132</v>
      </c>
      <c r="FO18" s="1" t="s">
        <v>123</v>
      </c>
      <c r="FP18" t="s">
        <v>132</v>
      </c>
      <c r="FR18" t="s">
        <v>132</v>
      </c>
      <c r="GW18" t="s">
        <v>409</v>
      </c>
      <c r="GX18" t="s">
        <v>410</v>
      </c>
      <c r="GY18" t="s">
        <v>411</v>
      </c>
      <c r="GZ18" t="s">
        <v>140</v>
      </c>
      <c r="HA18">
        <v>1985</v>
      </c>
      <c r="HB18" t="s">
        <v>398</v>
      </c>
      <c r="HD18" t="s">
        <v>412</v>
      </c>
    </row>
    <row r="19" spans="1:213" x14ac:dyDescent="0.45">
      <c r="A19">
        <v>25</v>
      </c>
      <c r="B19" t="str">
        <f>_xlfn.IFNA(VLOOKUP(Analiza[[#This Row],[Zakończono wypełnianie]],Zakończone[],2,0),"BRAK")</f>
        <v>BRAK</v>
      </c>
      <c r="C19">
        <f t="shared" si="0"/>
        <v>24</v>
      </c>
      <c r="D19" t="s">
        <v>417</v>
      </c>
      <c r="E19" t="s">
        <v>118</v>
      </c>
      <c r="F19" t="s">
        <v>400</v>
      </c>
      <c r="J19" t="s">
        <v>286</v>
      </c>
      <c r="K19" t="s">
        <v>418</v>
      </c>
      <c r="L19" t="s">
        <v>418</v>
      </c>
      <c r="M19">
        <v>0</v>
      </c>
      <c r="N19">
        <v>0</v>
      </c>
      <c r="O19" t="s">
        <v>122</v>
      </c>
      <c r="P19" s="1" t="s">
        <v>416</v>
      </c>
      <c r="Q19" t="s">
        <v>147</v>
      </c>
      <c r="R19" t="s">
        <v>148</v>
      </c>
      <c r="S19" t="s">
        <v>419</v>
      </c>
      <c r="T19" t="s">
        <v>150</v>
      </c>
      <c r="U19" t="s">
        <v>169</v>
      </c>
      <c r="V19" t="s">
        <v>169</v>
      </c>
      <c r="W19" t="s">
        <v>420</v>
      </c>
      <c r="X19" t="s">
        <v>153</v>
      </c>
      <c r="Y19" t="s">
        <v>302</v>
      </c>
      <c r="Z19" t="s">
        <v>421</v>
      </c>
      <c r="AA19" t="s">
        <v>422</v>
      </c>
      <c r="AB19" t="s">
        <v>423</v>
      </c>
      <c r="AC19" t="s">
        <v>172</v>
      </c>
      <c r="AE19">
        <v>4</v>
      </c>
      <c r="AF19" s="1" t="s">
        <v>123</v>
      </c>
      <c r="AX19" s="1" t="s">
        <v>123</v>
      </c>
      <c r="CR19" s="1" t="s">
        <v>123</v>
      </c>
      <c r="DB19" s="1" t="s">
        <v>123</v>
      </c>
      <c r="DL19" s="1" t="s">
        <v>123</v>
      </c>
      <c r="EO19" s="1" t="s">
        <v>177</v>
      </c>
      <c r="EP19" t="s">
        <v>180</v>
      </c>
      <c r="EQ19">
        <v>1</v>
      </c>
      <c r="FO19" s="1"/>
    </row>
    <row r="20" spans="1:213" x14ac:dyDescent="0.45">
      <c r="A20">
        <v>26</v>
      </c>
      <c r="B20">
        <f>_xlfn.IFNA(VLOOKUP(Analiza[[#This Row],[Zakończono wypełnianie]],Zakończone[],2,0),"BRAK")</f>
        <v>20</v>
      </c>
      <c r="C20">
        <f t="shared" si="0"/>
        <v>35</v>
      </c>
      <c r="D20" t="s">
        <v>425</v>
      </c>
      <c r="E20" t="s">
        <v>118</v>
      </c>
      <c r="J20" t="s">
        <v>119</v>
      </c>
      <c r="K20" t="s">
        <v>426</v>
      </c>
      <c r="L20" t="s">
        <v>427</v>
      </c>
      <c r="M20">
        <v>1039</v>
      </c>
      <c r="N20">
        <v>0</v>
      </c>
      <c r="O20" t="s">
        <v>122</v>
      </c>
      <c r="P20" s="1" t="s">
        <v>123</v>
      </c>
      <c r="AF20" s="1" t="s">
        <v>124</v>
      </c>
      <c r="AG20" t="s">
        <v>428</v>
      </c>
      <c r="AH20">
        <v>2011</v>
      </c>
      <c r="AI20" t="s">
        <v>148</v>
      </c>
      <c r="AJ20" t="s">
        <v>429</v>
      </c>
      <c r="AK20" t="s">
        <v>162</v>
      </c>
      <c r="AL20" t="s">
        <v>162</v>
      </c>
      <c r="AM20" t="s">
        <v>128</v>
      </c>
      <c r="AN20" t="s">
        <v>128</v>
      </c>
      <c r="AO20" t="s">
        <v>128</v>
      </c>
      <c r="AP20">
        <v>2</v>
      </c>
      <c r="AQ20" t="s">
        <v>131</v>
      </c>
      <c r="AR20" t="s">
        <v>302</v>
      </c>
      <c r="AS20" t="s">
        <v>430</v>
      </c>
      <c r="AT20" t="s">
        <v>431</v>
      </c>
      <c r="AU20" t="s">
        <v>432</v>
      </c>
      <c r="AV20" t="s">
        <v>157</v>
      </c>
      <c r="AX20" s="1" t="s">
        <v>123</v>
      </c>
      <c r="CR20" s="1" t="s">
        <v>123</v>
      </c>
      <c r="DB20" s="1" t="s">
        <v>123</v>
      </c>
      <c r="DL20" s="1" t="s">
        <v>123</v>
      </c>
      <c r="EO20" s="1" t="s">
        <v>123</v>
      </c>
      <c r="EP20" t="s">
        <v>180</v>
      </c>
      <c r="EQ20" t="s">
        <v>132</v>
      </c>
      <c r="FO20" s="1" t="s">
        <v>123</v>
      </c>
      <c r="FP20" t="s">
        <v>132</v>
      </c>
      <c r="FR20" t="s">
        <v>132</v>
      </c>
      <c r="GW20" t="s">
        <v>433</v>
      </c>
      <c r="GX20" t="s">
        <v>434</v>
      </c>
      <c r="GY20" t="s">
        <v>435</v>
      </c>
      <c r="GZ20" t="s">
        <v>140</v>
      </c>
      <c r="HA20">
        <v>1987</v>
      </c>
      <c r="HB20" t="s">
        <v>141</v>
      </c>
    </row>
    <row r="21" spans="1:213" x14ac:dyDescent="0.45">
      <c r="A21">
        <v>30</v>
      </c>
      <c r="B21">
        <f>_xlfn.IFNA(VLOOKUP(Analiza[[#This Row],[Zakończono wypełnianie]],Zakończone[],2,0),"BRAK")</f>
        <v>21</v>
      </c>
      <c r="C21">
        <f t="shared" si="0"/>
        <v>46</v>
      </c>
      <c r="D21" t="s">
        <v>442</v>
      </c>
      <c r="E21" t="s">
        <v>118</v>
      </c>
      <c r="J21" t="s">
        <v>119</v>
      </c>
      <c r="K21" t="s">
        <v>443</v>
      </c>
      <c r="L21" t="s">
        <v>444</v>
      </c>
      <c r="M21">
        <v>6812</v>
      </c>
      <c r="N21">
        <v>0</v>
      </c>
      <c r="O21" t="s">
        <v>122</v>
      </c>
      <c r="P21" s="1" t="s">
        <v>123</v>
      </c>
      <c r="AF21" s="1" t="s">
        <v>124</v>
      </c>
      <c r="AG21" t="s">
        <v>445</v>
      </c>
      <c r="AH21">
        <v>2019</v>
      </c>
      <c r="AI21" t="s">
        <v>148</v>
      </c>
      <c r="AJ21" t="s">
        <v>446</v>
      </c>
      <c r="AK21" t="s">
        <v>150</v>
      </c>
      <c r="AL21" t="s">
        <v>150</v>
      </c>
      <c r="AM21" t="s">
        <v>169</v>
      </c>
      <c r="AN21" t="s">
        <v>169</v>
      </c>
      <c r="AO21" t="s">
        <v>132</v>
      </c>
      <c r="AP21" t="s">
        <v>237</v>
      </c>
      <c r="AQ21" t="s">
        <v>226</v>
      </c>
      <c r="AR21" t="s">
        <v>132</v>
      </c>
      <c r="AS21" t="s">
        <v>447</v>
      </c>
      <c r="AT21" t="s">
        <v>448</v>
      </c>
      <c r="AU21" t="s">
        <v>449</v>
      </c>
      <c r="AV21" t="s">
        <v>157</v>
      </c>
      <c r="AX21" s="1" t="s">
        <v>123</v>
      </c>
      <c r="CR21" s="1" t="s">
        <v>387</v>
      </c>
      <c r="CS21" t="s">
        <v>445</v>
      </c>
      <c r="CT21" t="s">
        <v>450</v>
      </c>
      <c r="CU21" t="s">
        <v>169</v>
      </c>
      <c r="CV21" t="s">
        <v>169</v>
      </c>
      <c r="CW21" t="s">
        <v>169</v>
      </c>
      <c r="CX21" t="s">
        <v>150</v>
      </c>
      <c r="CY21" t="s">
        <v>150</v>
      </c>
      <c r="CZ21" t="s">
        <v>150</v>
      </c>
      <c r="DA21" t="s">
        <v>451</v>
      </c>
      <c r="DB21" s="1" t="s">
        <v>123</v>
      </c>
      <c r="DL21" s="1" t="s">
        <v>123</v>
      </c>
      <c r="EO21" s="1" t="s">
        <v>123</v>
      </c>
      <c r="EP21" t="s">
        <v>180</v>
      </c>
      <c r="EQ21" t="s">
        <v>132</v>
      </c>
      <c r="FO21" s="1" t="s">
        <v>123</v>
      </c>
      <c r="FP21" t="s">
        <v>132</v>
      </c>
      <c r="FR21" t="s">
        <v>132</v>
      </c>
      <c r="GW21" t="s">
        <v>452</v>
      </c>
      <c r="GX21" t="s">
        <v>453</v>
      </c>
      <c r="GY21" t="s">
        <v>454</v>
      </c>
      <c r="GZ21" t="s">
        <v>140</v>
      </c>
      <c r="HA21">
        <v>1994</v>
      </c>
      <c r="HB21" t="s">
        <v>220</v>
      </c>
      <c r="HD21" t="s">
        <v>455</v>
      </c>
      <c r="HE21" t="s">
        <v>456</v>
      </c>
    </row>
    <row r="22" spans="1:213" x14ac:dyDescent="0.45">
      <c r="A22">
        <v>32</v>
      </c>
      <c r="B22">
        <f>_xlfn.IFNA(VLOOKUP(Analiza[[#This Row],[Zakończono wypełnianie]],Zakończone[],2,0),"BRAK")</f>
        <v>22</v>
      </c>
      <c r="C22">
        <f t="shared" si="0"/>
        <v>36</v>
      </c>
      <c r="D22" t="s">
        <v>458</v>
      </c>
      <c r="E22" t="s">
        <v>118</v>
      </c>
      <c r="F22" t="s">
        <v>359</v>
      </c>
      <c r="J22" t="s">
        <v>119</v>
      </c>
      <c r="K22" t="s">
        <v>459</v>
      </c>
      <c r="L22" t="s">
        <v>460</v>
      </c>
      <c r="M22">
        <v>490</v>
      </c>
      <c r="N22">
        <v>0</v>
      </c>
      <c r="O22" t="s">
        <v>122</v>
      </c>
      <c r="P22" s="1" t="s">
        <v>416</v>
      </c>
      <c r="Q22" t="s">
        <v>445</v>
      </c>
      <c r="R22" t="s">
        <v>148</v>
      </c>
      <c r="S22" t="s">
        <v>461</v>
      </c>
      <c r="T22" t="s">
        <v>169</v>
      </c>
      <c r="U22" t="s">
        <v>169</v>
      </c>
      <c r="V22" t="s">
        <v>169</v>
      </c>
      <c r="W22" t="s">
        <v>462</v>
      </c>
      <c r="X22" t="s">
        <v>302</v>
      </c>
      <c r="Y22" t="s">
        <v>302</v>
      </c>
      <c r="Z22" t="s">
        <v>463</v>
      </c>
      <c r="AA22" t="s">
        <v>464</v>
      </c>
      <c r="AB22" t="s">
        <v>465</v>
      </c>
      <c r="AC22" t="s">
        <v>157</v>
      </c>
      <c r="AD22" t="s">
        <v>466</v>
      </c>
      <c r="AE22">
        <v>10</v>
      </c>
      <c r="AF22" s="1" t="s">
        <v>123</v>
      </c>
      <c r="AX22" s="1" t="s">
        <v>123</v>
      </c>
      <c r="CR22" s="1" t="s">
        <v>123</v>
      </c>
      <c r="DB22" s="1" t="s">
        <v>123</v>
      </c>
      <c r="DL22" s="1" t="s">
        <v>123</v>
      </c>
      <c r="EO22" s="1" t="s">
        <v>123</v>
      </c>
      <c r="EP22" t="s">
        <v>180</v>
      </c>
      <c r="EQ22" t="s">
        <v>132</v>
      </c>
      <c r="FO22" s="1" t="s">
        <v>123</v>
      </c>
      <c r="FP22" t="s">
        <v>132</v>
      </c>
      <c r="FR22" t="s">
        <v>132</v>
      </c>
      <c r="GW22" t="s">
        <v>468</v>
      </c>
      <c r="GX22" t="s">
        <v>469</v>
      </c>
      <c r="GY22" t="s">
        <v>142</v>
      </c>
      <c r="GZ22" t="s">
        <v>140</v>
      </c>
      <c r="HA22">
        <v>1996</v>
      </c>
      <c r="HB22" t="s">
        <v>141</v>
      </c>
      <c r="HD22" t="s">
        <v>470</v>
      </c>
      <c r="HE22" t="s">
        <v>471</v>
      </c>
    </row>
    <row r="23" spans="1:213" x14ac:dyDescent="0.45">
      <c r="A23">
        <v>33</v>
      </c>
      <c r="B23">
        <f>_xlfn.IFNA(VLOOKUP(Analiza[[#This Row],[Zakończono wypełnianie]],Zakończone[],2,0),"BRAK")</f>
        <v>23</v>
      </c>
      <c r="C23">
        <f t="shared" si="0"/>
        <v>29</v>
      </c>
      <c r="D23" t="s">
        <v>472</v>
      </c>
      <c r="E23" t="s">
        <v>118</v>
      </c>
      <c r="F23" t="s">
        <v>375</v>
      </c>
      <c r="J23" t="s">
        <v>119</v>
      </c>
      <c r="K23" t="s">
        <v>473</v>
      </c>
      <c r="L23" t="s">
        <v>474</v>
      </c>
      <c r="M23">
        <v>2507</v>
      </c>
      <c r="N23">
        <v>0</v>
      </c>
      <c r="O23" t="s">
        <v>122</v>
      </c>
      <c r="P23" s="1" t="s">
        <v>416</v>
      </c>
      <c r="Q23" t="s">
        <v>445</v>
      </c>
      <c r="R23" t="s">
        <v>148</v>
      </c>
      <c r="S23" t="s">
        <v>475</v>
      </c>
      <c r="T23" t="s">
        <v>169</v>
      </c>
      <c r="U23" t="s">
        <v>169</v>
      </c>
      <c r="V23" t="s">
        <v>151</v>
      </c>
      <c r="W23" t="s">
        <v>476</v>
      </c>
      <c r="X23" t="s">
        <v>302</v>
      </c>
      <c r="Y23" t="s">
        <v>302</v>
      </c>
      <c r="AA23" t="s">
        <v>477</v>
      </c>
      <c r="AB23" t="s">
        <v>478</v>
      </c>
      <c r="AC23" t="s">
        <v>157</v>
      </c>
      <c r="AE23">
        <v>10</v>
      </c>
      <c r="AF23" s="1" t="s">
        <v>123</v>
      </c>
      <c r="AX23" s="1" t="s">
        <v>123</v>
      </c>
      <c r="CR23" s="1" t="s">
        <v>123</v>
      </c>
      <c r="DB23" s="1" t="s">
        <v>123</v>
      </c>
      <c r="DL23" s="1" t="s">
        <v>123</v>
      </c>
      <c r="EO23" s="1" t="s">
        <v>123</v>
      </c>
      <c r="FO23" s="1" t="s">
        <v>123</v>
      </c>
      <c r="FP23" t="s">
        <v>132</v>
      </c>
      <c r="GW23" t="s">
        <v>480</v>
      </c>
      <c r="GX23" t="s">
        <v>481</v>
      </c>
      <c r="GY23" t="s">
        <v>482</v>
      </c>
      <c r="GZ23" t="s">
        <v>140</v>
      </c>
      <c r="HA23">
        <v>1996</v>
      </c>
      <c r="HB23" t="s">
        <v>483</v>
      </c>
    </row>
    <row r="24" spans="1:213" x14ac:dyDescent="0.45">
      <c r="A24">
        <v>34</v>
      </c>
      <c r="B24">
        <f>_xlfn.IFNA(VLOOKUP(Analiza[[#This Row],[Zakończono wypełnianie]],Zakończone[],2,0),"BRAK")</f>
        <v>24</v>
      </c>
      <c r="C24">
        <f t="shared" si="0"/>
        <v>36</v>
      </c>
      <c r="D24" t="s">
        <v>484</v>
      </c>
      <c r="E24" t="s">
        <v>118</v>
      </c>
      <c r="F24" t="s">
        <v>359</v>
      </c>
      <c r="J24" t="s">
        <v>119</v>
      </c>
      <c r="K24" t="s">
        <v>485</v>
      </c>
      <c r="L24" t="s">
        <v>486</v>
      </c>
      <c r="M24">
        <v>709</v>
      </c>
      <c r="N24">
        <v>0</v>
      </c>
      <c r="O24" t="s">
        <v>122</v>
      </c>
      <c r="P24" s="1" t="s">
        <v>123</v>
      </c>
      <c r="AF24" s="1" t="s">
        <v>124</v>
      </c>
      <c r="AG24" t="s">
        <v>445</v>
      </c>
      <c r="AH24">
        <v>2018</v>
      </c>
      <c r="AI24" t="s">
        <v>148</v>
      </c>
      <c r="AJ24" t="s">
        <v>487</v>
      </c>
      <c r="AK24" t="s">
        <v>162</v>
      </c>
      <c r="AL24" t="s">
        <v>162</v>
      </c>
      <c r="AM24" t="s">
        <v>151</v>
      </c>
      <c r="AN24" t="s">
        <v>129</v>
      </c>
      <c r="AO24" t="s">
        <v>151</v>
      </c>
      <c r="AP24">
        <v>2</v>
      </c>
      <c r="AQ24" t="s">
        <v>131</v>
      </c>
      <c r="AR24" t="s">
        <v>153</v>
      </c>
      <c r="AS24" t="s">
        <v>488</v>
      </c>
      <c r="AT24" t="s">
        <v>489</v>
      </c>
      <c r="AU24" t="s">
        <v>490</v>
      </c>
      <c r="AV24" t="s">
        <v>157</v>
      </c>
      <c r="AX24" s="1" t="s">
        <v>123</v>
      </c>
      <c r="CR24" s="1" t="s">
        <v>123</v>
      </c>
      <c r="DB24" s="1" t="s">
        <v>123</v>
      </c>
      <c r="DL24" s="1" t="s">
        <v>123</v>
      </c>
      <c r="EO24" s="1" t="s">
        <v>123</v>
      </c>
      <c r="EP24" t="s">
        <v>180</v>
      </c>
      <c r="FO24" s="1" t="s">
        <v>123</v>
      </c>
      <c r="FP24" t="s">
        <v>132</v>
      </c>
      <c r="FR24" t="s">
        <v>132</v>
      </c>
      <c r="GW24" t="s">
        <v>491</v>
      </c>
      <c r="GX24" t="s">
        <v>492</v>
      </c>
      <c r="GY24" t="s">
        <v>493</v>
      </c>
      <c r="GZ24" t="s">
        <v>186</v>
      </c>
      <c r="HA24">
        <v>1994</v>
      </c>
      <c r="HB24" t="s">
        <v>483</v>
      </c>
      <c r="HD24" t="s">
        <v>494</v>
      </c>
      <c r="HE24" t="s">
        <v>495</v>
      </c>
    </row>
    <row r="25" spans="1:213" x14ac:dyDescent="0.45">
      <c r="A25">
        <v>37</v>
      </c>
      <c r="B25">
        <f>_xlfn.IFNA(VLOOKUP(Analiza[[#This Row],[Zakończono wypełnianie]],Zakończone[],2,0),"BRAK")</f>
        <v>25</v>
      </c>
      <c r="C25">
        <f t="shared" si="0"/>
        <v>37</v>
      </c>
      <c r="D25" t="s">
        <v>500</v>
      </c>
      <c r="E25" t="s">
        <v>118</v>
      </c>
      <c r="F25" t="s">
        <v>375</v>
      </c>
      <c r="J25" t="s">
        <v>119</v>
      </c>
      <c r="K25" t="s">
        <v>499</v>
      </c>
      <c r="L25" t="s">
        <v>501</v>
      </c>
      <c r="M25">
        <v>394</v>
      </c>
      <c r="N25">
        <v>0</v>
      </c>
      <c r="O25" t="s">
        <v>122</v>
      </c>
      <c r="P25" s="1" t="s">
        <v>123</v>
      </c>
      <c r="AF25" s="1" t="s">
        <v>124</v>
      </c>
      <c r="AG25" t="s">
        <v>445</v>
      </c>
      <c r="AH25">
        <v>2019</v>
      </c>
      <c r="AI25" t="s">
        <v>148</v>
      </c>
      <c r="AJ25" t="s">
        <v>502</v>
      </c>
      <c r="AK25" t="s">
        <v>162</v>
      </c>
      <c r="AL25" t="s">
        <v>162</v>
      </c>
      <c r="AM25" t="s">
        <v>162</v>
      </c>
      <c r="AN25" t="s">
        <v>150</v>
      </c>
      <c r="AO25" t="s">
        <v>132</v>
      </c>
      <c r="AP25">
        <v>0</v>
      </c>
      <c r="AQ25" t="s">
        <v>153</v>
      </c>
      <c r="AR25" t="s">
        <v>132</v>
      </c>
      <c r="AS25" t="s">
        <v>503</v>
      </c>
      <c r="AT25" t="s">
        <v>504</v>
      </c>
      <c r="AU25" t="s">
        <v>505</v>
      </c>
      <c r="AV25" t="s">
        <v>157</v>
      </c>
      <c r="AX25" s="1" t="s">
        <v>123</v>
      </c>
      <c r="CR25" s="1" t="s">
        <v>123</v>
      </c>
      <c r="DB25" s="1" t="s">
        <v>123</v>
      </c>
      <c r="DL25" s="1" t="s">
        <v>123</v>
      </c>
      <c r="EO25" s="1" t="s">
        <v>123</v>
      </c>
      <c r="EP25" t="s">
        <v>180</v>
      </c>
      <c r="EQ25" t="s">
        <v>132</v>
      </c>
      <c r="FO25" s="1" t="s">
        <v>123</v>
      </c>
      <c r="FP25" t="s">
        <v>132</v>
      </c>
      <c r="FR25" t="s">
        <v>132</v>
      </c>
      <c r="GW25" t="s">
        <v>506</v>
      </c>
      <c r="GX25" t="s">
        <v>507</v>
      </c>
      <c r="GY25" t="s">
        <v>508</v>
      </c>
      <c r="GZ25" t="s">
        <v>140</v>
      </c>
      <c r="HA25">
        <v>1994</v>
      </c>
      <c r="HB25" t="s">
        <v>220</v>
      </c>
      <c r="HD25" t="s">
        <v>509</v>
      </c>
      <c r="HE25" t="s">
        <v>510</v>
      </c>
    </row>
    <row r="26" spans="1:213" x14ac:dyDescent="0.45">
      <c r="A26">
        <v>38</v>
      </c>
      <c r="B26">
        <f>_xlfn.IFNA(VLOOKUP(Analiza[[#This Row],[Zakończono wypełnianie]],Zakończone[],2,0),"BRAK")</f>
        <v>26</v>
      </c>
      <c r="C26">
        <f t="shared" si="0"/>
        <v>44</v>
      </c>
      <c r="D26" t="s">
        <v>511</v>
      </c>
      <c r="E26" t="s">
        <v>118</v>
      </c>
      <c r="F26" t="s">
        <v>375</v>
      </c>
      <c r="J26" t="s">
        <v>119</v>
      </c>
      <c r="K26" t="s">
        <v>512</v>
      </c>
      <c r="L26" t="s">
        <v>513</v>
      </c>
      <c r="M26">
        <v>424</v>
      </c>
      <c r="N26">
        <v>0</v>
      </c>
      <c r="O26" t="s">
        <v>122</v>
      </c>
      <c r="P26" s="1" t="s">
        <v>123</v>
      </c>
      <c r="AF26" s="1" t="s">
        <v>124</v>
      </c>
      <c r="AG26" t="s">
        <v>445</v>
      </c>
      <c r="AH26">
        <v>2018</v>
      </c>
      <c r="AI26" t="s">
        <v>148</v>
      </c>
      <c r="AJ26" t="s">
        <v>514</v>
      </c>
      <c r="AK26" t="s">
        <v>150</v>
      </c>
      <c r="AL26" t="s">
        <v>169</v>
      </c>
      <c r="AM26" t="s">
        <v>169</v>
      </c>
      <c r="AN26" t="s">
        <v>150</v>
      </c>
      <c r="AO26" t="s">
        <v>132</v>
      </c>
      <c r="AP26" t="s">
        <v>515</v>
      </c>
      <c r="AQ26" t="s">
        <v>302</v>
      </c>
      <c r="AR26" t="s">
        <v>132</v>
      </c>
      <c r="AS26" t="s">
        <v>516</v>
      </c>
      <c r="AT26" t="s">
        <v>517</v>
      </c>
      <c r="AU26" t="s">
        <v>142</v>
      </c>
      <c r="AV26" t="s">
        <v>157</v>
      </c>
      <c r="AX26" s="1" t="s">
        <v>123</v>
      </c>
      <c r="CR26" s="1" t="s">
        <v>123</v>
      </c>
      <c r="DB26" s="1" t="s">
        <v>214</v>
      </c>
      <c r="DC26" t="s">
        <v>445</v>
      </c>
      <c r="DD26" t="s">
        <v>518</v>
      </c>
      <c r="DE26" t="s">
        <v>169</v>
      </c>
      <c r="DF26" t="s">
        <v>150</v>
      </c>
      <c r="DG26" t="s">
        <v>162</v>
      </c>
      <c r="DH26" t="s">
        <v>150</v>
      </c>
      <c r="DI26" t="s">
        <v>150</v>
      </c>
      <c r="DJ26" t="s">
        <v>151</v>
      </c>
      <c r="DL26" s="1" t="s">
        <v>123</v>
      </c>
      <c r="EO26" s="1" t="s">
        <v>123</v>
      </c>
      <c r="EP26" t="s">
        <v>180</v>
      </c>
      <c r="EQ26" t="s">
        <v>132</v>
      </c>
      <c r="FO26" s="1" t="s">
        <v>123</v>
      </c>
      <c r="FP26" t="s">
        <v>132</v>
      </c>
      <c r="FR26" t="s">
        <v>132</v>
      </c>
      <c r="GW26" t="s">
        <v>519</v>
      </c>
      <c r="GX26" t="s">
        <v>520</v>
      </c>
      <c r="GY26" t="s">
        <v>142</v>
      </c>
      <c r="GZ26" t="s">
        <v>186</v>
      </c>
      <c r="HA26">
        <v>1994</v>
      </c>
      <c r="HB26" t="s">
        <v>141</v>
      </c>
      <c r="HE26" t="s">
        <v>521</v>
      </c>
    </row>
    <row r="27" spans="1:213" x14ac:dyDescent="0.45">
      <c r="A27">
        <v>41</v>
      </c>
      <c r="B27">
        <f>_xlfn.IFNA(VLOOKUP(Analiza[[#This Row],[Zakończono wypełnianie]],Zakończone[],2,0),"BRAK")</f>
        <v>27</v>
      </c>
      <c r="C27">
        <f t="shared" si="0"/>
        <v>31</v>
      </c>
      <c r="D27" t="s">
        <v>527</v>
      </c>
      <c r="E27" t="s">
        <v>118</v>
      </c>
      <c r="J27" t="s">
        <v>119</v>
      </c>
      <c r="K27" t="s">
        <v>528</v>
      </c>
      <c r="L27" t="s">
        <v>529</v>
      </c>
      <c r="M27">
        <v>283</v>
      </c>
      <c r="N27">
        <v>0</v>
      </c>
      <c r="O27" t="s">
        <v>122</v>
      </c>
      <c r="P27" s="1" t="s">
        <v>416</v>
      </c>
      <c r="Q27" t="s">
        <v>445</v>
      </c>
      <c r="R27" t="s">
        <v>148</v>
      </c>
      <c r="S27" t="s">
        <v>461</v>
      </c>
      <c r="T27" t="s">
        <v>169</v>
      </c>
      <c r="U27" t="s">
        <v>162</v>
      </c>
      <c r="V27" t="s">
        <v>162</v>
      </c>
      <c r="W27" t="s">
        <v>530</v>
      </c>
      <c r="X27" t="s">
        <v>131</v>
      </c>
      <c r="Y27" t="s">
        <v>153</v>
      </c>
      <c r="AA27" t="s">
        <v>531</v>
      </c>
      <c r="AB27" t="s">
        <v>532</v>
      </c>
      <c r="AC27" t="s">
        <v>172</v>
      </c>
      <c r="AE27">
        <v>6</v>
      </c>
      <c r="AF27" s="1" t="s">
        <v>123</v>
      </c>
      <c r="AX27" s="1" t="s">
        <v>123</v>
      </c>
      <c r="CR27" s="1" t="s">
        <v>123</v>
      </c>
      <c r="DB27" s="1" t="s">
        <v>123</v>
      </c>
      <c r="DL27" s="1" t="s">
        <v>123</v>
      </c>
      <c r="EO27" s="1" t="s">
        <v>123</v>
      </c>
      <c r="FO27" s="1" t="s">
        <v>123</v>
      </c>
      <c r="FP27" t="s">
        <v>132</v>
      </c>
      <c r="GW27" t="s">
        <v>534</v>
      </c>
      <c r="GX27" t="s">
        <v>535</v>
      </c>
      <c r="GY27" t="s">
        <v>532</v>
      </c>
      <c r="GZ27" t="s">
        <v>140</v>
      </c>
      <c r="HA27">
        <v>1996</v>
      </c>
      <c r="HB27" t="s">
        <v>483</v>
      </c>
      <c r="HD27" t="s">
        <v>536</v>
      </c>
      <c r="HE27" t="s">
        <v>537</v>
      </c>
    </row>
    <row r="28" spans="1:213" x14ac:dyDescent="0.45">
      <c r="A28">
        <v>43</v>
      </c>
      <c r="B28" t="str">
        <f>_xlfn.IFNA(VLOOKUP(Analiza[[#This Row],[Zakończono wypełnianie]],Zakończone[],2,0),"BRAK")</f>
        <v>BRAK</v>
      </c>
      <c r="C28">
        <f t="shared" si="0"/>
        <v>27</v>
      </c>
      <c r="D28" t="s">
        <v>540</v>
      </c>
      <c r="E28" t="s">
        <v>118</v>
      </c>
      <c r="F28" t="s">
        <v>375</v>
      </c>
      <c r="J28" t="s">
        <v>286</v>
      </c>
      <c r="K28" t="s">
        <v>541</v>
      </c>
      <c r="L28" t="s">
        <v>541</v>
      </c>
      <c r="M28">
        <v>0</v>
      </c>
      <c r="N28">
        <v>0</v>
      </c>
      <c r="O28" t="s">
        <v>122</v>
      </c>
      <c r="P28" s="1" t="s">
        <v>416</v>
      </c>
      <c r="Q28" t="s">
        <v>445</v>
      </c>
      <c r="R28" t="s">
        <v>148</v>
      </c>
      <c r="S28" t="s">
        <v>446</v>
      </c>
      <c r="T28" t="s">
        <v>162</v>
      </c>
      <c r="U28" t="s">
        <v>151</v>
      </c>
      <c r="V28" t="s">
        <v>162</v>
      </c>
      <c r="W28" t="s">
        <v>542</v>
      </c>
      <c r="X28" t="s">
        <v>131</v>
      </c>
      <c r="Y28" t="s">
        <v>131</v>
      </c>
      <c r="Z28" t="s">
        <v>543</v>
      </c>
      <c r="AA28" t="s">
        <v>544</v>
      </c>
      <c r="AB28" t="s">
        <v>545</v>
      </c>
      <c r="AC28" t="s">
        <v>172</v>
      </c>
      <c r="AE28">
        <v>6</v>
      </c>
      <c r="AF28" s="1" t="s">
        <v>123</v>
      </c>
      <c r="AX28" s="1" t="s">
        <v>123</v>
      </c>
      <c r="CR28" s="1" t="s">
        <v>123</v>
      </c>
      <c r="DB28" s="1" t="s">
        <v>123</v>
      </c>
      <c r="DL28" s="1" t="s">
        <v>123</v>
      </c>
      <c r="EO28" s="1" t="s">
        <v>123</v>
      </c>
      <c r="EP28" t="s">
        <v>180</v>
      </c>
      <c r="EQ28" t="s">
        <v>132</v>
      </c>
      <c r="FO28" s="1" t="s">
        <v>123</v>
      </c>
      <c r="FP28" t="s">
        <v>132</v>
      </c>
      <c r="FR28" t="s">
        <v>132</v>
      </c>
    </row>
    <row r="29" spans="1:213" x14ac:dyDescent="0.45">
      <c r="A29">
        <v>45</v>
      </c>
      <c r="B29">
        <f>_xlfn.IFNA(VLOOKUP(Analiza[[#This Row],[Zakończono wypełnianie]],Zakończone[],2,0),"BRAK")</f>
        <v>28</v>
      </c>
      <c r="C29">
        <f t="shared" si="0"/>
        <v>34</v>
      </c>
      <c r="D29" t="s">
        <v>550</v>
      </c>
      <c r="E29" t="s">
        <v>118</v>
      </c>
      <c r="F29" t="s">
        <v>375</v>
      </c>
      <c r="J29" t="s">
        <v>119</v>
      </c>
      <c r="K29" t="s">
        <v>551</v>
      </c>
      <c r="L29" t="s">
        <v>552</v>
      </c>
      <c r="M29">
        <v>836</v>
      </c>
      <c r="N29">
        <v>0</v>
      </c>
      <c r="O29" t="s">
        <v>122</v>
      </c>
      <c r="P29" s="1" t="s">
        <v>123</v>
      </c>
      <c r="AF29" s="1" t="s">
        <v>124</v>
      </c>
      <c r="AG29" t="s">
        <v>553</v>
      </c>
      <c r="AH29">
        <v>2019</v>
      </c>
      <c r="AI29" t="s">
        <v>148</v>
      </c>
      <c r="AJ29" t="s">
        <v>554</v>
      </c>
      <c r="AK29" t="s">
        <v>162</v>
      </c>
      <c r="AL29" t="s">
        <v>162</v>
      </c>
      <c r="AM29" t="s">
        <v>236</v>
      </c>
      <c r="AN29" t="s">
        <v>151</v>
      </c>
      <c r="AO29" t="s">
        <v>162</v>
      </c>
      <c r="AP29" t="s">
        <v>237</v>
      </c>
      <c r="AQ29" t="s">
        <v>132</v>
      </c>
      <c r="AR29" t="s">
        <v>132</v>
      </c>
      <c r="AS29" t="s">
        <v>555</v>
      </c>
      <c r="AT29" t="s">
        <v>556</v>
      </c>
      <c r="AU29" t="s">
        <v>557</v>
      </c>
      <c r="AV29" t="s">
        <v>230</v>
      </c>
      <c r="AX29" s="1" t="s">
        <v>123</v>
      </c>
      <c r="CR29" s="1" t="s">
        <v>123</v>
      </c>
      <c r="DB29" s="1" t="s">
        <v>123</v>
      </c>
      <c r="DL29" s="1" t="s">
        <v>123</v>
      </c>
      <c r="EO29" s="1" t="s">
        <v>123</v>
      </c>
      <c r="FO29" s="1" t="s">
        <v>123</v>
      </c>
      <c r="FP29" t="s">
        <v>132</v>
      </c>
      <c r="GW29" t="s">
        <v>558</v>
      </c>
      <c r="GX29" t="s">
        <v>559</v>
      </c>
      <c r="GY29" t="s">
        <v>560</v>
      </c>
      <c r="GZ29" t="s">
        <v>140</v>
      </c>
      <c r="HA29">
        <v>1994</v>
      </c>
      <c r="HB29" t="s">
        <v>483</v>
      </c>
      <c r="HD29" t="s">
        <v>561</v>
      </c>
      <c r="HE29" t="s">
        <v>386</v>
      </c>
    </row>
    <row r="30" spans="1:213" x14ac:dyDescent="0.45">
      <c r="A30">
        <v>46</v>
      </c>
      <c r="B30" t="str">
        <f>_xlfn.IFNA(VLOOKUP(Analiza[[#This Row],[Zakończono wypełnianie]],Zakończone[],2,0),"BRAK")</f>
        <v>BRAK</v>
      </c>
      <c r="C30">
        <f t="shared" si="0"/>
        <v>16</v>
      </c>
      <c r="D30" t="s">
        <v>562</v>
      </c>
      <c r="E30" t="s">
        <v>118</v>
      </c>
      <c r="F30" t="s">
        <v>359</v>
      </c>
      <c r="J30" t="s">
        <v>286</v>
      </c>
      <c r="K30" t="s">
        <v>563</v>
      </c>
      <c r="L30" t="s">
        <v>563</v>
      </c>
      <c r="M30">
        <v>0</v>
      </c>
      <c r="N30">
        <v>0</v>
      </c>
      <c r="O30" t="s">
        <v>122</v>
      </c>
      <c r="P30" s="1" t="s">
        <v>123</v>
      </c>
      <c r="AF30" s="1" t="s">
        <v>124</v>
      </c>
      <c r="AG30" t="s">
        <v>564</v>
      </c>
      <c r="AH30">
        <v>2010</v>
      </c>
      <c r="AI30" t="s">
        <v>148</v>
      </c>
      <c r="AJ30" t="s">
        <v>565</v>
      </c>
      <c r="AK30" t="s">
        <v>129</v>
      </c>
      <c r="AL30" t="s">
        <v>236</v>
      </c>
      <c r="AM30" t="s">
        <v>129</v>
      </c>
      <c r="AN30" t="s">
        <v>129</v>
      </c>
      <c r="AO30" t="s">
        <v>129</v>
      </c>
      <c r="AP30" t="s">
        <v>566</v>
      </c>
      <c r="AS30" t="s">
        <v>567</v>
      </c>
      <c r="AT30" t="s">
        <v>568</v>
      </c>
      <c r="AW30" t="s">
        <v>569</v>
      </c>
      <c r="AX30" s="1"/>
      <c r="CR30" s="1"/>
      <c r="DB30" s="1"/>
      <c r="DL30" s="1"/>
      <c r="EO30" s="1"/>
      <c r="FO30" s="1"/>
    </row>
    <row r="31" spans="1:213" x14ac:dyDescent="0.45">
      <c r="A31">
        <v>47</v>
      </c>
      <c r="B31">
        <f>_xlfn.IFNA(VLOOKUP(Analiza[[#This Row],[Zakończono wypełnianie]],Zakończone[],2,0),"BRAK")</f>
        <v>29</v>
      </c>
      <c r="C31">
        <f t="shared" si="0"/>
        <v>32</v>
      </c>
      <c r="D31" t="s">
        <v>570</v>
      </c>
      <c r="E31" t="s">
        <v>118</v>
      </c>
      <c r="F31" t="s">
        <v>548</v>
      </c>
      <c r="J31" t="s">
        <v>119</v>
      </c>
      <c r="K31" t="s">
        <v>571</v>
      </c>
      <c r="L31" t="s">
        <v>572</v>
      </c>
      <c r="M31">
        <v>751</v>
      </c>
      <c r="N31">
        <v>0</v>
      </c>
      <c r="O31" t="s">
        <v>122</v>
      </c>
      <c r="P31" s="1" t="s">
        <v>416</v>
      </c>
      <c r="Q31" t="s">
        <v>445</v>
      </c>
      <c r="R31" t="s">
        <v>148</v>
      </c>
      <c r="S31" t="s">
        <v>573</v>
      </c>
      <c r="T31" t="s">
        <v>162</v>
      </c>
      <c r="U31" t="s">
        <v>128</v>
      </c>
      <c r="V31" t="s">
        <v>151</v>
      </c>
      <c r="W31" t="s">
        <v>237</v>
      </c>
      <c r="X31" t="s">
        <v>302</v>
      </c>
      <c r="Y31" t="s">
        <v>153</v>
      </c>
      <c r="Z31" t="s">
        <v>574</v>
      </c>
      <c r="AA31" t="s">
        <v>575</v>
      </c>
      <c r="AB31" t="s">
        <v>576</v>
      </c>
      <c r="AC31" t="s">
        <v>172</v>
      </c>
      <c r="AE31">
        <v>6</v>
      </c>
      <c r="AF31" s="1" t="s">
        <v>123</v>
      </c>
      <c r="AX31" s="1" t="s">
        <v>123</v>
      </c>
      <c r="CR31" s="1" t="s">
        <v>123</v>
      </c>
      <c r="DB31" s="1" t="s">
        <v>123</v>
      </c>
      <c r="DL31" s="1" t="s">
        <v>123</v>
      </c>
      <c r="EO31" s="1" t="s">
        <v>123</v>
      </c>
      <c r="FO31" s="1" t="s">
        <v>123</v>
      </c>
      <c r="FP31" t="s">
        <v>132</v>
      </c>
      <c r="FR31" t="s">
        <v>132</v>
      </c>
      <c r="GW31" t="s">
        <v>578</v>
      </c>
      <c r="GX31" t="s">
        <v>579</v>
      </c>
      <c r="GY31" t="s">
        <v>580</v>
      </c>
      <c r="GZ31" t="s">
        <v>186</v>
      </c>
      <c r="HA31">
        <v>1997</v>
      </c>
      <c r="HB31" t="s">
        <v>483</v>
      </c>
      <c r="HD31" t="s">
        <v>532</v>
      </c>
    </row>
    <row r="32" spans="1:213" x14ac:dyDescent="0.45">
      <c r="A32">
        <v>50</v>
      </c>
      <c r="B32">
        <f>_xlfn.IFNA(VLOOKUP(Analiza[[#This Row],[Zakończono wypełnianie]],Zakończone[],2,0),"BRAK")</f>
        <v>30</v>
      </c>
      <c r="C32">
        <f t="shared" si="0"/>
        <v>30</v>
      </c>
      <c r="D32" t="s">
        <v>585</v>
      </c>
      <c r="E32" t="s">
        <v>118</v>
      </c>
      <c r="F32" t="s">
        <v>375</v>
      </c>
      <c r="J32" t="s">
        <v>119</v>
      </c>
      <c r="K32" t="s">
        <v>586</v>
      </c>
      <c r="L32" t="s">
        <v>587</v>
      </c>
      <c r="M32">
        <v>387</v>
      </c>
      <c r="N32">
        <v>0</v>
      </c>
      <c r="O32" t="s">
        <v>122</v>
      </c>
      <c r="P32" s="1" t="s">
        <v>416</v>
      </c>
      <c r="Q32" t="s">
        <v>445</v>
      </c>
      <c r="R32" t="s">
        <v>148</v>
      </c>
      <c r="S32" t="s">
        <v>588</v>
      </c>
      <c r="T32" t="s">
        <v>162</v>
      </c>
      <c r="U32" t="s">
        <v>150</v>
      </c>
      <c r="V32" t="s">
        <v>162</v>
      </c>
      <c r="W32" t="s">
        <v>589</v>
      </c>
      <c r="X32" t="s">
        <v>302</v>
      </c>
      <c r="Y32" t="s">
        <v>153</v>
      </c>
      <c r="AA32" t="s">
        <v>590</v>
      </c>
      <c r="AB32" t="s">
        <v>591</v>
      </c>
      <c r="AC32" t="s">
        <v>172</v>
      </c>
      <c r="AE32">
        <v>6</v>
      </c>
      <c r="AF32" s="1" t="s">
        <v>123</v>
      </c>
      <c r="AX32" s="1" t="s">
        <v>123</v>
      </c>
      <c r="CR32" s="1" t="s">
        <v>123</v>
      </c>
      <c r="DB32" s="1" t="s">
        <v>123</v>
      </c>
      <c r="DL32" s="1" t="s">
        <v>123</v>
      </c>
      <c r="EO32" s="1" t="s">
        <v>123</v>
      </c>
      <c r="FO32" s="1" t="s">
        <v>123</v>
      </c>
      <c r="FP32" t="s">
        <v>132</v>
      </c>
      <c r="GW32" t="s">
        <v>592</v>
      </c>
      <c r="GX32" t="s">
        <v>593</v>
      </c>
      <c r="GY32" t="s">
        <v>594</v>
      </c>
      <c r="GZ32" t="s">
        <v>140</v>
      </c>
      <c r="HA32">
        <v>1997</v>
      </c>
      <c r="HB32" t="s">
        <v>141</v>
      </c>
      <c r="HD32" t="s">
        <v>595</v>
      </c>
    </row>
    <row r="33" spans="1:214" x14ac:dyDescent="0.45">
      <c r="A33">
        <v>52</v>
      </c>
      <c r="B33">
        <f>_xlfn.IFNA(VLOOKUP(Analiza[[#This Row],[Zakończono wypełnianie]],Zakończone[],2,0),"BRAK")</f>
        <v>31</v>
      </c>
      <c r="C33">
        <f t="shared" si="0"/>
        <v>36</v>
      </c>
      <c r="D33" t="s">
        <v>598</v>
      </c>
      <c r="E33" t="s">
        <v>118</v>
      </c>
      <c r="F33" t="s">
        <v>359</v>
      </c>
      <c r="J33" t="s">
        <v>119</v>
      </c>
      <c r="K33" t="s">
        <v>599</v>
      </c>
      <c r="L33" t="s">
        <v>600</v>
      </c>
      <c r="M33">
        <v>61362</v>
      </c>
      <c r="N33">
        <v>0</v>
      </c>
      <c r="O33" t="s">
        <v>122</v>
      </c>
      <c r="P33" s="1" t="s">
        <v>123</v>
      </c>
      <c r="AF33" s="1" t="s">
        <v>124</v>
      </c>
      <c r="AG33" t="s">
        <v>445</v>
      </c>
      <c r="AH33">
        <v>2018</v>
      </c>
      <c r="AI33" t="s">
        <v>148</v>
      </c>
      <c r="AJ33" t="s">
        <v>601</v>
      </c>
      <c r="AK33" t="s">
        <v>150</v>
      </c>
      <c r="AL33" t="s">
        <v>162</v>
      </c>
      <c r="AM33" t="s">
        <v>128</v>
      </c>
      <c r="AN33" t="s">
        <v>129</v>
      </c>
      <c r="AO33" t="s">
        <v>132</v>
      </c>
      <c r="AP33" t="s">
        <v>602</v>
      </c>
      <c r="AQ33" t="s">
        <v>131</v>
      </c>
      <c r="AR33" t="s">
        <v>132</v>
      </c>
      <c r="AT33" t="s">
        <v>603</v>
      </c>
      <c r="AU33" t="s">
        <v>604</v>
      </c>
      <c r="AV33" t="s">
        <v>157</v>
      </c>
      <c r="AX33" s="1" t="s">
        <v>123</v>
      </c>
      <c r="CR33" s="1" t="s">
        <v>123</v>
      </c>
      <c r="DB33" s="1" t="s">
        <v>123</v>
      </c>
      <c r="DL33" s="1" t="s">
        <v>123</v>
      </c>
      <c r="EO33" s="1" t="s">
        <v>123</v>
      </c>
      <c r="EP33" t="s">
        <v>180</v>
      </c>
      <c r="EQ33" t="s">
        <v>132</v>
      </c>
      <c r="FO33" s="1" t="s">
        <v>123</v>
      </c>
      <c r="FP33" t="s">
        <v>132</v>
      </c>
      <c r="FR33" t="s">
        <v>132</v>
      </c>
      <c r="GW33" t="s">
        <v>605</v>
      </c>
      <c r="GX33" t="s">
        <v>606</v>
      </c>
      <c r="GY33" t="s">
        <v>607</v>
      </c>
      <c r="GZ33" t="s">
        <v>140</v>
      </c>
      <c r="HA33">
        <v>1994</v>
      </c>
      <c r="HB33" t="s">
        <v>483</v>
      </c>
      <c r="HD33" t="s">
        <v>608</v>
      </c>
      <c r="HE33" t="s">
        <v>609</v>
      </c>
    </row>
    <row r="34" spans="1:214" x14ac:dyDescent="0.45">
      <c r="A34">
        <v>53</v>
      </c>
      <c r="B34">
        <f>_xlfn.IFNA(VLOOKUP(Analiza[[#This Row],[Zakończono wypełnianie]],Zakończone[],2,0),"BRAK")</f>
        <v>32</v>
      </c>
      <c r="C34">
        <f t="shared" si="0"/>
        <v>31</v>
      </c>
      <c r="D34" t="s">
        <v>610</v>
      </c>
      <c r="E34" t="s">
        <v>118</v>
      </c>
      <c r="F34" t="s">
        <v>548</v>
      </c>
      <c r="J34" t="s">
        <v>119</v>
      </c>
      <c r="K34" t="s">
        <v>611</v>
      </c>
      <c r="L34" t="s">
        <v>612</v>
      </c>
      <c r="M34">
        <v>551</v>
      </c>
      <c r="N34">
        <v>0</v>
      </c>
      <c r="O34" t="s">
        <v>122</v>
      </c>
      <c r="P34" s="1" t="s">
        <v>416</v>
      </c>
      <c r="Q34" t="s">
        <v>445</v>
      </c>
      <c r="R34" t="s">
        <v>148</v>
      </c>
      <c r="S34" t="s">
        <v>613</v>
      </c>
      <c r="T34" t="s">
        <v>150</v>
      </c>
      <c r="U34" t="s">
        <v>150</v>
      </c>
      <c r="V34" t="s">
        <v>151</v>
      </c>
      <c r="W34" t="s">
        <v>530</v>
      </c>
      <c r="X34" t="s">
        <v>131</v>
      </c>
      <c r="Y34" t="s">
        <v>302</v>
      </c>
      <c r="Z34" t="s">
        <v>614</v>
      </c>
      <c r="AA34" t="s">
        <v>615</v>
      </c>
      <c r="AB34" t="s">
        <v>616</v>
      </c>
      <c r="AC34" t="s">
        <v>172</v>
      </c>
      <c r="AE34">
        <v>6</v>
      </c>
      <c r="AF34" s="1" t="s">
        <v>123</v>
      </c>
      <c r="AX34" s="1" t="s">
        <v>123</v>
      </c>
      <c r="CR34" s="1" t="s">
        <v>123</v>
      </c>
      <c r="DB34" s="1" t="s">
        <v>123</v>
      </c>
      <c r="DL34" s="1" t="s">
        <v>123</v>
      </c>
      <c r="EO34" s="1" t="s">
        <v>123</v>
      </c>
      <c r="FO34" s="1" t="s">
        <v>123</v>
      </c>
      <c r="FP34" t="s">
        <v>132</v>
      </c>
      <c r="GW34" t="s">
        <v>617</v>
      </c>
      <c r="GX34" t="s">
        <v>618</v>
      </c>
      <c r="GY34" t="s">
        <v>619</v>
      </c>
      <c r="GZ34" t="s">
        <v>140</v>
      </c>
      <c r="HA34">
        <v>1998</v>
      </c>
      <c r="HB34" t="s">
        <v>398</v>
      </c>
      <c r="HD34" t="s">
        <v>620</v>
      </c>
    </row>
    <row r="35" spans="1:214" x14ac:dyDescent="0.45">
      <c r="A35">
        <v>54</v>
      </c>
      <c r="B35">
        <f>_xlfn.IFNA(VLOOKUP(Analiza[[#This Row],[Zakończono wypełnianie]],Zakończone[],2,0),"BRAK")</f>
        <v>33</v>
      </c>
      <c r="C35">
        <f t="shared" ref="C35:C66" si="1">COUNTA(O35:HF35)</f>
        <v>31</v>
      </c>
      <c r="D35" t="s">
        <v>621</v>
      </c>
      <c r="E35" t="s">
        <v>118</v>
      </c>
      <c r="F35" t="s">
        <v>359</v>
      </c>
      <c r="J35" t="s">
        <v>119</v>
      </c>
      <c r="K35" t="s">
        <v>622</v>
      </c>
      <c r="L35" t="s">
        <v>623</v>
      </c>
      <c r="M35">
        <v>595</v>
      </c>
      <c r="N35">
        <v>0</v>
      </c>
      <c r="O35" t="s">
        <v>122</v>
      </c>
      <c r="P35" s="1" t="s">
        <v>416</v>
      </c>
      <c r="Q35" t="s">
        <v>445</v>
      </c>
      <c r="R35" t="s">
        <v>148</v>
      </c>
      <c r="S35" t="s">
        <v>624</v>
      </c>
      <c r="T35" t="s">
        <v>150</v>
      </c>
      <c r="U35" t="s">
        <v>150</v>
      </c>
      <c r="V35" t="s">
        <v>169</v>
      </c>
      <c r="W35">
        <v>12</v>
      </c>
      <c r="X35" t="s">
        <v>302</v>
      </c>
      <c r="Y35" t="s">
        <v>226</v>
      </c>
      <c r="AA35" t="s">
        <v>625</v>
      </c>
      <c r="AB35" t="s">
        <v>626</v>
      </c>
      <c r="AC35" t="s">
        <v>172</v>
      </c>
      <c r="AE35">
        <v>4</v>
      </c>
      <c r="AF35" s="1" t="s">
        <v>123</v>
      </c>
      <c r="AX35" s="1" t="s">
        <v>123</v>
      </c>
      <c r="CR35" s="1" t="s">
        <v>123</v>
      </c>
      <c r="DB35" s="1" t="s">
        <v>123</v>
      </c>
      <c r="DL35" s="1" t="s">
        <v>123</v>
      </c>
      <c r="EO35" s="1" t="s">
        <v>123</v>
      </c>
      <c r="FO35" s="1" t="s">
        <v>123</v>
      </c>
      <c r="FP35" t="s">
        <v>132</v>
      </c>
      <c r="GW35" t="s">
        <v>627</v>
      </c>
      <c r="GX35" t="s">
        <v>628</v>
      </c>
      <c r="GY35" t="s">
        <v>629</v>
      </c>
      <c r="GZ35" t="s">
        <v>186</v>
      </c>
      <c r="HA35" t="s">
        <v>630</v>
      </c>
      <c r="HB35" t="s">
        <v>398</v>
      </c>
      <c r="HD35" t="s">
        <v>631</v>
      </c>
      <c r="HE35" t="s">
        <v>632</v>
      </c>
    </row>
    <row r="36" spans="1:214" x14ac:dyDescent="0.45">
      <c r="A36">
        <v>57</v>
      </c>
      <c r="B36" t="str">
        <f>_xlfn.IFNA(VLOOKUP(Analiza[[#This Row],[Zakończono wypełnianie]],Zakończone[],2,0),"BRAK")</f>
        <v>BRAK</v>
      </c>
      <c r="C36">
        <f t="shared" si="1"/>
        <v>24</v>
      </c>
      <c r="D36" t="s">
        <v>637</v>
      </c>
      <c r="E36" t="s">
        <v>118</v>
      </c>
      <c r="F36" t="s">
        <v>548</v>
      </c>
      <c r="J36" t="s">
        <v>286</v>
      </c>
      <c r="K36" t="s">
        <v>638</v>
      </c>
      <c r="L36" t="s">
        <v>638</v>
      </c>
      <c r="M36">
        <v>0</v>
      </c>
      <c r="N36">
        <v>0</v>
      </c>
      <c r="O36" t="s">
        <v>122</v>
      </c>
      <c r="P36" s="1" t="s">
        <v>416</v>
      </c>
      <c r="Q36" t="s">
        <v>445</v>
      </c>
      <c r="R36" t="s">
        <v>148</v>
      </c>
      <c r="S36" t="s">
        <v>640</v>
      </c>
      <c r="T36" t="s">
        <v>169</v>
      </c>
      <c r="U36" t="s">
        <v>169</v>
      </c>
      <c r="V36" t="s">
        <v>151</v>
      </c>
      <c r="W36" t="s">
        <v>641</v>
      </c>
      <c r="X36" t="s">
        <v>302</v>
      </c>
      <c r="Y36" t="s">
        <v>302</v>
      </c>
      <c r="Z36" t="s">
        <v>642</v>
      </c>
      <c r="AA36" t="s">
        <v>643</v>
      </c>
      <c r="AB36" t="s">
        <v>644</v>
      </c>
      <c r="AC36" t="s">
        <v>172</v>
      </c>
      <c r="AE36">
        <v>6</v>
      </c>
      <c r="AF36" s="1" t="s">
        <v>123</v>
      </c>
      <c r="AX36" s="1" t="s">
        <v>123</v>
      </c>
      <c r="CR36" s="1" t="s">
        <v>123</v>
      </c>
      <c r="DB36" s="1" t="s">
        <v>123</v>
      </c>
      <c r="DL36" s="1" t="s">
        <v>123</v>
      </c>
      <c r="EO36" s="1" t="s">
        <v>123</v>
      </c>
      <c r="FO36" s="1" t="s">
        <v>123</v>
      </c>
      <c r="FP36" t="s">
        <v>132</v>
      </c>
    </row>
    <row r="37" spans="1:214" x14ac:dyDescent="0.45">
      <c r="A37">
        <v>58</v>
      </c>
      <c r="B37">
        <f>_xlfn.IFNA(VLOOKUP(Analiza[[#This Row],[Zakończono wypełnianie]],Zakończone[],2,0),"BRAK")</f>
        <v>34</v>
      </c>
      <c r="C37">
        <f t="shared" si="1"/>
        <v>29</v>
      </c>
      <c r="D37" t="s">
        <v>645</v>
      </c>
      <c r="E37" t="s">
        <v>118</v>
      </c>
      <c r="F37" t="s">
        <v>375</v>
      </c>
      <c r="J37" t="s">
        <v>119</v>
      </c>
      <c r="K37" t="s">
        <v>646</v>
      </c>
      <c r="L37" t="s">
        <v>647</v>
      </c>
      <c r="M37">
        <v>551</v>
      </c>
      <c r="N37">
        <v>0</v>
      </c>
      <c r="O37" t="s">
        <v>122</v>
      </c>
      <c r="P37" s="1" t="s">
        <v>416</v>
      </c>
      <c r="Q37" t="s">
        <v>160</v>
      </c>
      <c r="R37" t="s">
        <v>148</v>
      </c>
      <c r="S37" t="s">
        <v>648</v>
      </c>
      <c r="T37" t="s">
        <v>128</v>
      </c>
      <c r="U37" t="s">
        <v>162</v>
      </c>
      <c r="V37" t="s">
        <v>162</v>
      </c>
      <c r="W37" t="s">
        <v>237</v>
      </c>
      <c r="X37" t="s">
        <v>302</v>
      </c>
      <c r="Y37" t="s">
        <v>153</v>
      </c>
      <c r="AA37" t="s">
        <v>649</v>
      </c>
      <c r="AB37" t="s">
        <v>650</v>
      </c>
      <c r="AC37" t="s">
        <v>157</v>
      </c>
      <c r="AE37">
        <v>8</v>
      </c>
      <c r="AF37" s="1" t="s">
        <v>123</v>
      </c>
      <c r="AX37" s="1" t="s">
        <v>123</v>
      </c>
      <c r="CR37" s="1" t="s">
        <v>123</v>
      </c>
      <c r="DB37" s="1" t="s">
        <v>123</v>
      </c>
      <c r="DL37" s="1" t="s">
        <v>123</v>
      </c>
      <c r="EO37" s="1" t="s">
        <v>123</v>
      </c>
      <c r="FO37" s="1" t="s">
        <v>123</v>
      </c>
      <c r="FP37" t="s">
        <v>132</v>
      </c>
      <c r="GW37" t="s">
        <v>651</v>
      </c>
      <c r="GX37" t="s">
        <v>652</v>
      </c>
      <c r="GY37" t="s">
        <v>653</v>
      </c>
      <c r="GZ37" t="s">
        <v>140</v>
      </c>
      <c r="HA37">
        <v>1998</v>
      </c>
      <c r="HB37" t="s">
        <v>141</v>
      </c>
    </row>
    <row r="38" spans="1:214" x14ac:dyDescent="0.45">
      <c r="A38">
        <v>60</v>
      </c>
      <c r="B38">
        <f>_xlfn.IFNA(VLOOKUP(Analiza[[#This Row],[Zakończono wypełnianie]],Zakończone[],2,0),"BRAK")</f>
        <v>35</v>
      </c>
      <c r="C38">
        <f t="shared" si="1"/>
        <v>40</v>
      </c>
      <c r="D38" t="s">
        <v>656</v>
      </c>
      <c r="E38" t="s">
        <v>118</v>
      </c>
      <c r="F38" t="s">
        <v>359</v>
      </c>
      <c r="J38" t="s">
        <v>119</v>
      </c>
      <c r="K38" t="s">
        <v>657</v>
      </c>
      <c r="L38" t="s">
        <v>658</v>
      </c>
      <c r="M38">
        <v>770</v>
      </c>
      <c r="N38">
        <v>0</v>
      </c>
      <c r="O38" t="s">
        <v>122</v>
      </c>
      <c r="P38" s="1" t="s">
        <v>123</v>
      </c>
      <c r="AF38" s="1" t="s">
        <v>124</v>
      </c>
      <c r="AG38" t="s">
        <v>445</v>
      </c>
      <c r="AH38" t="s">
        <v>659</v>
      </c>
      <c r="AI38" t="s">
        <v>148</v>
      </c>
      <c r="AJ38" t="s">
        <v>660</v>
      </c>
      <c r="AK38" t="s">
        <v>169</v>
      </c>
      <c r="AL38" t="s">
        <v>169</v>
      </c>
      <c r="AM38" t="s">
        <v>169</v>
      </c>
      <c r="AN38" t="s">
        <v>150</v>
      </c>
      <c r="AO38" t="s">
        <v>132</v>
      </c>
      <c r="AP38" t="s">
        <v>661</v>
      </c>
      <c r="AQ38" t="s">
        <v>302</v>
      </c>
      <c r="AR38" t="s">
        <v>132</v>
      </c>
      <c r="AT38" t="s">
        <v>662</v>
      </c>
      <c r="AU38" t="s">
        <v>663</v>
      </c>
      <c r="AV38" t="s">
        <v>157</v>
      </c>
      <c r="AW38" t="s">
        <v>664</v>
      </c>
      <c r="AX38" s="1" t="s">
        <v>123</v>
      </c>
      <c r="CR38" s="1" t="s">
        <v>123</v>
      </c>
      <c r="DB38" s="1" t="s">
        <v>214</v>
      </c>
      <c r="DC38" t="s">
        <v>445</v>
      </c>
      <c r="DD38" t="s">
        <v>518</v>
      </c>
      <c r="DE38" t="s">
        <v>169</v>
      </c>
      <c r="DF38" t="s">
        <v>169</v>
      </c>
      <c r="DG38" t="s">
        <v>169</v>
      </c>
      <c r="DH38" t="s">
        <v>169</v>
      </c>
      <c r="DI38" t="s">
        <v>169</v>
      </c>
      <c r="DJ38" t="s">
        <v>150</v>
      </c>
      <c r="DL38" s="1" t="s">
        <v>123</v>
      </c>
      <c r="EO38" s="1" t="s">
        <v>123</v>
      </c>
      <c r="FO38" s="1" t="s">
        <v>123</v>
      </c>
      <c r="FP38" t="s">
        <v>132</v>
      </c>
      <c r="GW38" t="s">
        <v>665</v>
      </c>
      <c r="GX38" t="s">
        <v>666</v>
      </c>
      <c r="GY38" t="s">
        <v>667</v>
      </c>
      <c r="GZ38" t="s">
        <v>140</v>
      </c>
      <c r="HA38">
        <v>1989</v>
      </c>
      <c r="HB38" t="s">
        <v>141</v>
      </c>
    </row>
    <row r="39" spans="1:214" x14ac:dyDescent="0.45">
      <c r="A39">
        <v>61</v>
      </c>
      <c r="B39">
        <f>_xlfn.IFNA(VLOOKUP(Analiza[[#This Row],[Zakończono wypełnianie]],Zakończone[],2,0),"BRAK")</f>
        <v>36</v>
      </c>
      <c r="C39">
        <f t="shared" si="1"/>
        <v>35</v>
      </c>
      <c r="D39" t="s">
        <v>668</v>
      </c>
      <c r="E39" t="s">
        <v>118</v>
      </c>
      <c r="F39" t="s">
        <v>359</v>
      </c>
      <c r="J39" t="s">
        <v>119</v>
      </c>
      <c r="K39" t="s">
        <v>669</v>
      </c>
      <c r="L39" t="s">
        <v>670</v>
      </c>
      <c r="M39">
        <v>463</v>
      </c>
      <c r="N39">
        <v>0</v>
      </c>
      <c r="O39" t="s">
        <v>122</v>
      </c>
      <c r="P39" s="1" t="s">
        <v>123</v>
      </c>
      <c r="AF39" s="1" t="s">
        <v>124</v>
      </c>
      <c r="AG39" t="s">
        <v>445</v>
      </c>
      <c r="AH39">
        <v>2019</v>
      </c>
      <c r="AI39" t="s">
        <v>148</v>
      </c>
      <c r="AJ39" t="s">
        <v>601</v>
      </c>
      <c r="AK39" t="s">
        <v>162</v>
      </c>
      <c r="AL39" t="s">
        <v>162</v>
      </c>
      <c r="AM39" t="s">
        <v>129</v>
      </c>
      <c r="AN39" t="s">
        <v>129</v>
      </c>
      <c r="AO39" t="s">
        <v>129</v>
      </c>
      <c r="AP39">
        <v>4</v>
      </c>
      <c r="AQ39" t="s">
        <v>152</v>
      </c>
      <c r="AR39" t="s">
        <v>131</v>
      </c>
      <c r="AS39" t="s">
        <v>671</v>
      </c>
      <c r="AT39" t="s">
        <v>672</v>
      </c>
      <c r="AU39" t="s">
        <v>673</v>
      </c>
      <c r="AV39" t="s">
        <v>157</v>
      </c>
      <c r="AX39" s="1" t="s">
        <v>123</v>
      </c>
      <c r="CR39" s="1" t="s">
        <v>123</v>
      </c>
      <c r="DB39" s="1" t="s">
        <v>123</v>
      </c>
      <c r="DL39" s="1" t="s">
        <v>123</v>
      </c>
      <c r="EO39" s="1" t="s">
        <v>123</v>
      </c>
      <c r="EP39" t="s">
        <v>180</v>
      </c>
      <c r="EQ39" t="s">
        <v>132</v>
      </c>
      <c r="FO39" s="1" t="s">
        <v>123</v>
      </c>
      <c r="FP39" t="s">
        <v>132</v>
      </c>
      <c r="FR39" t="s">
        <v>132</v>
      </c>
      <c r="GW39" t="s">
        <v>674</v>
      </c>
      <c r="GX39" t="s">
        <v>675</v>
      </c>
      <c r="GY39" t="s">
        <v>676</v>
      </c>
      <c r="GZ39" t="s">
        <v>140</v>
      </c>
      <c r="HA39">
        <v>1994</v>
      </c>
      <c r="HB39" t="s">
        <v>483</v>
      </c>
    </row>
    <row r="40" spans="1:214" x14ac:dyDescent="0.45">
      <c r="A40">
        <v>63</v>
      </c>
      <c r="B40">
        <f>_xlfn.IFNA(VLOOKUP(Analiza[[#This Row],[Zakończono wypełnianie]],Zakończone[],2,0),"BRAK")</f>
        <v>37</v>
      </c>
      <c r="C40">
        <f t="shared" si="1"/>
        <v>37</v>
      </c>
      <c r="D40" t="s">
        <v>679</v>
      </c>
      <c r="E40" t="s">
        <v>118</v>
      </c>
      <c r="F40" t="s">
        <v>359</v>
      </c>
      <c r="J40" t="s">
        <v>119</v>
      </c>
      <c r="K40" t="s">
        <v>680</v>
      </c>
      <c r="L40" t="s">
        <v>681</v>
      </c>
      <c r="M40">
        <v>770</v>
      </c>
      <c r="N40">
        <v>0</v>
      </c>
      <c r="O40" t="s">
        <v>122</v>
      </c>
      <c r="P40" s="1" t="s">
        <v>123</v>
      </c>
      <c r="AF40" s="1" t="s">
        <v>124</v>
      </c>
      <c r="AG40" t="s">
        <v>682</v>
      </c>
      <c r="AH40">
        <v>2017</v>
      </c>
      <c r="AI40" t="s">
        <v>148</v>
      </c>
      <c r="AJ40" t="s">
        <v>601</v>
      </c>
      <c r="AK40" t="s">
        <v>169</v>
      </c>
      <c r="AL40" t="s">
        <v>169</v>
      </c>
      <c r="AM40" t="s">
        <v>150</v>
      </c>
      <c r="AN40" t="s">
        <v>236</v>
      </c>
      <c r="AO40" t="s">
        <v>169</v>
      </c>
      <c r="AP40" t="s">
        <v>683</v>
      </c>
      <c r="AQ40" t="s">
        <v>131</v>
      </c>
      <c r="AR40" t="s">
        <v>153</v>
      </c>
      <c r="AS40" t="s">
        <v>684</v>
      </c>
      <c r="AT40" t="s">
        <v>685</v>
      </c>
      <c r="AU40" t="s">
        <v>686</v>
      </c>
      <c r="AV40" t="s">
        <v>157</v>
      </c>
      <c r="AX40" s="1" t="s">
        <v>123</v>
      </c>
      <c r="CR40" s="1" t="s">
        <v>123</v>
      </c>
      <c r="DB40" s="1" t="s">
        <v>123</v>
      </c>
      <c r="DL40" s="1" t="s">
        <v>123</v>
      </c>
      <c r="EO40" s="1" t="s">
        <v>123</v>
      </c>
      <c r="EP40" t="s">
        <v>180</v>
      </c>
      <c r="EQ40" t="s">
        <v>132</v>
      </c>
      <c r="FO40" s="1" t="s">
        <v>123</v>
      </c>
      <c r="FP40" t="s">
        <v>132</v>
      </c>
      <c r="FR40" t="s">
        <v>132</v>
      </c>
      <c r="GW40" t="s">
        <v>687</v>
      </c>
      <c r="GX40" t="s">
        <v>688</v>
      </c>
      <c r="GY40" t="s">
        <v>689</v>
      </c>
      <c r="GZ40" t="s">
        <v>140</v>
      </c>
      <c r="HA40">
        <v>1994</v>
      </c>
      <c r="HB40" t="s">
        <v>246</v>
      </c>
      <c r="HD40" t="s">
        <v>142</v>
      </c>
      <c r="HE40" t="s">
        <v>142</v>
      </c>
    </row>
    <row r="41" spans="1:214" x14ac:dyDescent="0.45">
      <c r="A41">
        <v>66</v>
      </c>
      <c r="B41" t="str">
        <f>_xlfn.IFNA(VLOOKUP(Analiza[[#This Row],[Zakończono wypełnianie]],Zakończone[],2,0),"BRAK")</f>
        <v>BRAK</v>
      </c>
      <c r="C41">
        <f t="shared" si="1"/>
        <v>25</v>
      </c>
      <c r="D41" t="s">
        <v>694</v>
      </c>
      <c r="E41" t="s">
        <v>118</v>
      </c>
      <c r="F41" t="s">
        <v>359</v>
      </c>
      <c r="J41" t="s">
        <v>286</v>
      </c>
      <c r="K41" t="s">
        <v>695</v>
      </c>
      <c r="L41" t="s">
        <v>695</v>
      </c>
      <c r="M41">
        <v>0</v>
      </c>
      <c r="N41">
        <v>0</v>
      </c>
      <c r="O41" t="s">
        <v>122</v>
      </c>
      <c r="P41" s="1" t="s">
        <v>123</v>
      </c>
      <c r="AF41" s="1" t="s">
        <v>124</v>
      </c>
      <c r="AG41" t="s">
        <v>445</v>
      </c>
      <c r="AH41">
        <v>2018</v>
      </c>
      <c r="AI41" t="s">
        <v>148</v>
      </c>
      <c r="AJ41" t="s">
        <v>461</v>
      </c>
      <c r="AK41" t="s">
        <v>169</v>
      </c>
      <c r="AL41" t="s">
        <v>169</v>
      </c>
      <c r="AM41" t="s">
        <v>151</v>
      </c>
      <c r="AN41" t="s">
        <v>129</v>
      </c>
      <c r="AO41" t="s">
        <v>129</v>
      </c>
      <c r="AP41">
        <v>3</v>
      </c>
      <c r="AQ41" t="s">
        <v>131</v>
      </c>
      <c r="AR41" t="s">
        <v>302</v>
      </c>
      <c r="AT41" t="s">
        <v>696</v>
      </c>
      <c r="AU41" t="s">
        <v>697</v>
      </c>
      <c r="AV41" t="s">
        <v>157</v>
      </c>
      <c r="AX41" s="1" t="s">
        <v>123</v>
      </c>
      <c r="CR41" s="1" t="s">
        <v>123</v>
      </c>
      <c r="DB41" s="1" t="s">
        <v>123</v>
      </c>
      <c r="DL41" s="1" t="s">
        <v>123</v>
      </c>
      <c r="EO41" s="1" t="s">
        <v>177</v>
      </c>
      <c r="EP41" t="s">
        <v>180</v>
      </c>
      <c r="EQ41" t="s">
        <v>132</v>
      </c>
      <c r="FO41" s="1"/>
    </row>
    <row r="42" spans="1:214" x14ac:dyDescent="0.45">
      <c r="A42">
        <v>67</v>
      </c>
      <c r="B42">
        <f>_xlfn.IFNA(VLOOKUP(Analiza[[#This Row],[Zakończono wypełnianie]],Zakończone[],2,0),"BRAK")</f>
        <v>38</v>
      </c>
      <c r="C42">
        <f t="shared" si="1"/>
        <v>35</v>
      </c>
      <c r="D42" t="s">
        <v>698</v>
      </c>
      <c r="E42" t="s">
        <v>118</v>
      </c>
      <c r="F42" t="s">
        <v>359</v>
      </c>
      <c r="J42" t="s">
        <v>119</v>
      </c>
      <c r="K42" t="s">
        <v>699</v>
      </c>
      <c r="L42" t="s">
        <v>700</v>
      </c>
      <c r="M42">
        <v>1910</v>
      </c>
      <c r="N42">
        <v>0</v>
      </c>
      <c r="O42" t="s">
        <v>122</v>
      </c>
      <c r="P42" s="1" t="s">
        <v>123</v>
      </c>
      <c r="AF42" s="1" t="s">
        <v>124</v>
      </c>
      <c r="AG42" t="s">
        <v>701</v>
      </c>
      <c r="AH42">
        <v>2020</v>
      </c>
      <c r="AI42" t="s">
        <v>148</v>
      </c>
      <c r="AJ42" t="s">
        <v>702</v>
      </c>
      <c r="AK42" t="s">
        <v>162</v>
      </c>
      <c r="AL42" t="s">
        <v>162</v>
      </c>
      <c r="AM42" t="s">
        <v>236</v>
      </c>
      <c r="AN42" t="s">
        <v>236</v>
      </c>
      <c r="AO42" t="s">
        <v>132</v>
      </c>
      <c r="AP42" t="s">
        <v>703</v>
      </c>
      <c r="AQ42" t="s">
        <v>131</v>
      </c>
      <c r="AR42" t="s">
        <v>132</v>
      </c>
      <c r="AS42" t="s">
        <v>704</v>
      </c>
      <c r="AT42" t="s">
        <v>705</v>
      </c>
      <c r="AU42" t="s">
        <v>706</v>
      </c>
      <c r="AV42" t="s">
        <v>157</v>
      </c>
      <c r="AX42" s="1" t="s">
        <v>123</v>
      </c>
      <c r="CR42" s="1" t="s">
        <v>123</v>
      </c>
      <c r="DB42" s="1" t="s">
        <v>123</v>
      </c>
      <c r="DL42" s="1" t="s">
        <v>123</v>
      </c>
      <c r="EO42" s="1" t="s">
        <v>123</v>
      </c>
      <c r="EP42" t="s">
        <v>180</v>
      </c>
      <c r="EQ42" t="s">
        <v>132</v>
      </c>
      <c r="FO42" s="1" t="s">
        <v>123</v>
      </c>
      <c r="FP42" t="s">
        <v>132</v>
      </c>
      <c r="FR42" t="s">
        <v>132</v>
      </c>
      <c r="GW42" t="s">
        <v>707</v>
      </c>
      <c r="GX42" t="s">
        <v>708</v>
      </c>
      <c r="GY42" t="s">
        <v>709</v>
      </c>
      <c r="GZ42" t="s">
        <v>140</v>
      </c>
      <c r="HA42">
        <v>1994</v>
      </c>
      <c r="HB42" t="s">
        <v>220</v>
      </c>
    </row>
    <row r="43" spans="1:214" x14ac:dyDescent="0.45">
      <c r="A43">
        <v>70</v>
      </c>
      <c r="B43">
        <f>_xlfn.IFNA(VLOOKUP(Analiza[[#This Row],[Zakończono wypełnianie]],Zakończone[],2,0),"BRAK")</f>
        <v>39</v>
      </c>
      <c r="C43">
        <f t="shared" si="1"/>
        <v>54</v>
      </c>
      <c r="D43" t="s">
        <v>714</v>
      </c>
      <c r="E43" t="s">
        <v>118</v>
      </c>
      <c r="J43" t="s">
        <v>119</v>
      </c>
      <c r="K43" t="s">
        <v>715</v>
      </c>
      <c r="L43" t="s">
        <v>716</v>
      </c>
      <c r="M43">
        <v>1868</v>
      </c>
      <c r="N43">
        <v>0</v>
      </c>
      <c r="O43" t="s">
        <v>122</v>
      </c>
      <c r="P43" s="1" t="s">
        <v>123</v>
      </c>
      <c r="AF43" s="1" t="s">
        <v>124</v>
      </c>
      <c r="AG43" t="s">
        <v>191</v>
      </c>
      <c r="AH43">
        <v>2008</v>
      </c>
      <c r="AI43" t="s">
        <v>126</v>
      </c>
      <c r="AJ43" t="s">
        <v>717</v>
      </c>
      <c r="AK43" t="s">
        <v>162</v>
      </c>
      <c r="AL43" t="s">
        <v>151</v>
      </c>
      <c r="AM43" t="s">
        <v>162</v>
      </c>
      <c r="AN43" t="s">
        <v>236</v>
      </c>
      <c r="AO43" t="s">
        <v>236</v>
      </c>
      <c r="AP43" t="s">
        <v>718</v>
      </c>
      <c r="AQ43" t="s">
        <v>131</v>
      </c>
      <c r="AR43" t="s">
        <v>302</v>
      </c>
      <c r="AS43" t="s">
        <v>719</v>
      </c>
      <c r="AT43" t="s">
        <v>720</v>
      </c>
      <c r="AU43" t="s">
        <v>721</v>
      </c>
      <c r="AV43" t="s">
        <v>172</v>
      </c>
      <c r="AX43" s="1" t="s">
        <v>123</v>
      </c>
      <c r="CR43" s="1" t="s">
        <v>123</v>
      </c>
      <c r="DB43" s="1" t="s">
        <v>214</v>
      </c>
      <c r="DC43" t="s">
        <v>2275</v>
      </c>
      <c r="DD43" t="s">
        <v>2276</v>
      </c>
      <c r="DE43" t="s">
        <v>150</v>
      </c>
      <c r="DF43" t="s">
        <v>162</v>
      </c>
      <c r="DG43" t="s">
        <v>151</v>
      </c>
      <c r="DH43" t="s">
        <v>162</v>
      </c>
      <c r="DI43" t="s">
        <v>128</v>
      </c>
      <c r="DJ43" t="s">
        <v>128</v>
      </c>
      <c r="DK43" t="s">
        <v>724</v>
      </c>
      <c r="DL43" s="1" t="s">
        <v>123</v>
      </c>
      <c r="EO43" s="1" t="s">
        <v>177</v>
      </c>
      <c r="EP43" t="s">
        <v>180</v>
      </c>
      <c r="EQ43">
        <v>1</v>
      </c>
      <c r="ER43" t="s">
        <v>722</v>
      </c>
      <c r="ES43" t="s">
        <v>162</v>
      </c>
      <c r="ET43" t="s">
        <v>150</v>
      </c>
      <c r="EU43" t="s">
        <v>236</v>
      </c>
      <c r="EV43" t="s">
        <v>178</v>
      </c>
      <c r="EW43" t="s">
        <v>725</v>
      </c>
      <c r="EX43" t="s">
        <v>726</v>
      </c>
      <c r="EY43" t="s">
        <v>173</v>
      </c>
      <c r="FO43" s="1" t="s">
        <v>123</v>
      </c>
      <c r="FP43" t="s">
        <v>132</v>
      </c>
      <c r="FR43" t="s">
        <v>132</v>
      </c>
      <c r="GW43" t="s">
        <v>727</v>
      </c>
      <c r="GX43" t="s">
        <v>728</v>
      </c>
      <c r="GY43" t="s">
        <v>729</v>
      </c>
      <c r="GZ43" t="s">
        <v>186</v>
      </c>
      <c r="HA43">
        <v>1983</v>
      </c>
      <c r="HB43" t="s">
        <v>141</v>
      </c>
      <c r="HD43" t="s">
        <v>730</v>
      </c>
      <c r="HF43" t="s">
        <v>731</v>
      </c>
    </row>
    <row r="44" spans="1:214" x14ac:dyDescent="0.45">
      <c r="A44">
        <v>74</v>
      </c>
      <c r="B44">
        <f>_xlfn.IFNA(VLOOKUP(Analiza[[#This Row],[Zakończono wypełnianie]],Zakończone[],2,0),"BRAK")</f>
        <v>40</v>
      </c>
      <c r="C44">
        <f t="shared" si="1"/>
        <v>46</v>
      </c>
      <c r="D44" t="s">
        <v>739</v>
      </c>
      <c r="E44" t="s">
        <v>118</v>
      </c>
      <c r="J44" t="s">
        <v>119</v>
      </c>
      <c r="K44" t="s">
        <v>740</v>
      </c>
      <c r="L44" t="s">
        <v>741</v>
      </c>
      <c r="M44">
        <v>341</v>
      </c>
      <c r="N44">
        <v>0</v>
      </c>
      <c r="O44" t="s">
        <v>122</v>
      </c>
      <c r="P44" s="1" t="s">
        <v>123</v>
      </c>
      <c r="AF44" s="1" t="s">
        <v>124</v>
      </c>
      <c r="AG44" t="s">
        <v>223</v>
      </c>
      <c r="AH44">
        <v>2007</v>
      </c>
      <c r="AI44" t="s">
        <v>148</v>
      </c>
      <c r="AJ44" t="s">
        <v>743</v>
      </c>
      <c r="AK44" t="s">
        <v>236</v>
      </c>
      <c r="AL44" t="s">
        <v>129</v>
      </c>
      <c r="AM44" t="s">
        <v>128</v>
      </c>
      <c r="AN44" t="s">
        <v>162</v>
      </c>
      <c r="AO44" t="s">
        <v>150</v>
      </c>
      <c r="AP44" t="s">
        <v>237</v>
      </c>
      <c r="AQ44" t="s">
        <v>302</v>
      </c>
      <c r="AR44" t="s">
        <v>153</v>
      </c>
      <c r="AS44" t="s">
        <v>744</v>
      </c>
      <c r="AT44" t="s">
        <v>745</v>
      </c>
      <c r="AU44" t="s">
        <v>746</v>
      </c>
      <c r="AV44" t="s">
        <v>172</v>
      </c>
      <c r="AX44" s="1" t="s">
        <v>123</v>
      </c>
      <c r="CR44" s="1" t="s">
        <v>387</v>
      </c>
      <c r="CS44" t="s">
        <v>191</v>
      </c>
      <c r="CT44" t="s">
        <v>748</v>
      </c>
      <c r="CU44" t="s">
        <v>150</v>
      </c>
      <c r="CV44" t="s">
        <v>150</v>
      </c>
      <c r="CW44" t="s">
        <v>169</v>
      </c>
      <c r="CX44" t="s">
        <v>169</v>
      </c>
      <c r="CY44" t="s">
        <v>150</v>
      </c>
      <c r="CZ44" t="s">
        <v>150</v>
      </c>
      <c r="DA44" t="s">
        <v>749</v>
      </c>
      <c r="DB44" s="1" t="s">
        <v>123</v>
      </c>
      <c r="DL44" s="1" t="s">
        <v>123</v>
      </c>
      <c r="EO44" s="1" t="s">
        <v>123</v>
      </c>
      <c r="EP44" t="s">
        <v>178</v>
      </c>
      <c r="EQ44" t="s">
        <v>132</v>
      </c>
      <c r="FO44" s="1" t="s">
        <v>123</v>
      </c>
      <c r="FP44" t="s">
        <v>132</v>
      </c>
      <c r="FR44" t="s">
        <v>132</v>
      </c>
      <c r="GW44" t="s">
        <v>750</v>
      </c>
      <c r="GX44" t="s">
        <v>751</v>
      </c>
      <c r="GY44" t="s">
        <v>752</v>
      </c>
      <c r="GZ44" t="s">
        <v>186</v>
      </c>
      <c r="HA44">
        <v>1983</v>
      </c>
      <c r="HB44" t="s">
        <v>398</v>
      </c>
      <c r="HD44" t="s">
        <v>753</v>
      </c>
      <c r="HE44" t="s">
        <v>532</v>
      </c>
    </row>
    <row r="45" spans="1:214" x14ac:dyDescent="0.45">
      <c r="A45">
        <v>75</v>
      </c>
      <c r="B45">
        <f>_xlfn.IFNA(VLOOKUP(Analiza[[#This Row],[Zakończono wypełnianie]],Zakończone[],2,0),"BRAK")</f>
        <v>41</v>
      </c>
      <c r="C45">
        <f t="shared" si="1"/>
        <v>51</v>
      </c>
      <c r="D45" t="s">
        <v>754</v>
      </c>
      <c r="E45" t="s">
        <v>118</v>
      </c>
      <c r="F45" t="s">
        <v>755</v>
      </c>
      <c r="J45" t="s">
        <v>119</v>
      </c>
      <c r="K45" t="s">
        <v>756</v>
      </c>
      <c r="L45" t="s">
        <v>757</v>
      </c>
      <c r="M45">
        <v>487</v>
      </c>
      <c r="N45">
        <v>0</v>
      </c>
      <c r="O45" t="s">
        <v>122</v>
      </c>
      <c r="P45" s="1" t="s">
        <v>416</v>
      </c>
      <c r="Q45" t="s">
        <v>147</v>
      </c>
      <c r="R45" t="s">
        <v>148</v>
      </c>
      <c r="S45" t="s">
        <v>758</v>
      </c>
      <c r="T45" t="s">
        <v>236</v>
      </c>
      <c r="U45" t="s">
        <v>129</v>
      </c>
      <c r="V45" t="s">
        <v>236</v>
      </c>
      <c r="W45" t="s">
        <v>718</v>
      </c>
      <c r="X45" t="s">
        <v>759</v>
      </c>
      <c r="Y45" t="s">
        <v>194</v>
      </c>
      <c r="Z45" t="s">
        <v>760</v>
      </c>
      <c r="AA45" t="s">
        <v>761</v>
      </c>
      <c r="AB45" t="s">
        <v>762</v>
      </c>
      <c r="AC45" t="s">
        <v>157</v>
      </c>
      <c r="AE45">
        <v>2</v>
      </c>
      <c r="AF45" s="1" t="s">
        <v>124</v>
      </c>
      <c r="AG45" t="s">
        <v>223</v>
      </c>
      <c r="AH45">
        <v>2012</v>
      </c>
      <c r="AI45" t="s">
        <v>148</v>
      </c>
      <c r="AJ45" t="s">
        <v>764</v>
      </c>
      <c r="AK45" t="s">
        <v>236</v>
      </c>
      <c r="AL45" t="s">
        <v>236</v>
      </c>
      <c r="AM45" t="s">
        <v>236</v>
      </c>
      <c r="AN45" t="s">
        <v>129</v>
      </c>
      <c r="AO45" t="s">
        <v>236</v>
      </c>
      <c r="AP45" t="s">
        <v>237</v>
      </c>
      <c r="AQ45" t="s">
        <v>302</v>
      </c>
      <c r="AR45" t="s">
        <v>153</v>
      </c>
      <c r="AS45" t="s">
        <v>765</v>
      </c>
      <c r="AT45" t="s">
        <v>766</v>
      </c>
      <c r="AU45" t="s">
        <v>767</v>
      </c>
      <c r="AV45" t="s">
        <v>230</v>
      </c>
      <c r="AX45" s="1" t="s">
        <v>123</v>
      </c>
      <c r="CR45" s="1" t="s">
        <v>123</v>
      </c>
      <c r="DB45" s="1" t="s">
        <v>123</v>
      </c>
      <c r="DL45" s="1" t="s">
        <v>123</v>
      </c>
      <c r="EO45" s="1" t="s">
        <v>123</v>
      </c>
      <c r="EP45" t="s">
        <v>180</v>
      </c>
      <c r="EQ45" t="s">
        <v>132</v>
      </c>
      <c r="FO45" s="1" t="s">
        <v>123</v>
      </c>
      <c r="FP45" t="s">
        <v>132</v>
      </c>
      <c r="FR45" t="s">
        <v>132</v>
      </c>
      <c r="GW45" t="s">
        <v>768</v>
      </c>
      <c r="GX45" t="s">
        <v>769</v>
      </c>
      <c r="GY45" t="s">
        <v>770</v>
      </c>
      <c r="GZ45" t="s">
        <v>186</v>
      </c>
      <c r="HA45">
        <v>1990</v>
      </c>
      <c r="HB45" t="s">
        <v>141</v>
      </c>
      <c r="HD45" t="s">
        <v>771</v>
      </c>
      <c r="HE45" t="s">
        <v>772</v>
      </c>
    </row>
    <row r="46" spans="1:214" x14ac:dyDescent="0.45">
      <c r="A46">
        <v>76</v>
      </c>
      <c r="B46">
        <f>_xlfn.IFNA(VLOOKUP(Analiza[[#This Row],[Zakończono wypełnianie]],Zakończone[],2,0),"BRAK")</f>
        <v>42</v>
      </c>
      <c r="C46">
        <f t="shared" si="1"/>
        <v>53</v>
      </c>
      <c r="D46" t="s">
        <v>773</v>
      </c>
      <c r="E46" t="s">
        <v>118</v>
      </c>
      <c r="F46" t="s">
        <v>774</v>
      </c>
      <c r="J46" t="s">
        <v>119</v>
      </c>
      <c r="K46" t="s">
        <v>775</v>
      </c>
      <c r="L46" t="s">
        <v>776</v>
      </c>
      <c r="M46">
        <v>1636</v>
      </c>
      <c r="N46">
        <v>0</v>
      </c>
      <c r="O46" t="s">
        <v>122</v>
      </c>
      <c r="P46" s="1" t="s">
        <v>123</v>
      </c>
      <c r="AF46" s="1" t="s">
        <v>124</v>
      </c>
      <c r="AG46" t="s">
        <v>1461</v>
      </c>
      <c r="AH46">
        <v>2013</v>
      </c>
      <c r="AI46" t="s">
        <v>148</v>
      </c>
      <c r="AJ46" t="s">
        <v>429</v>
      </c>
      <c r="AK46" t="s">
        <v>128</v>
      </c>
      <c r="AL46" t="s">
        <v>151</v>
      </c>
      <c r="AM46" t="s">
        <v>162</v>
      </c>
      <c r="AN46" t="s">
        <v>129</v>
      </c>
      <c r="AO46" t="s">
        <v>236</v>
      </c>
      <c r="AP46">
        <v>0</v>
      </c>
      <c r="AQ46" t="s">
        <v>131</v>
      </c>
      <c r="AR46" t="s">
        <v>131</v>
      </c>
      <c r="AS46" t="s">
        <v>778</v>
      </c>
      <c r="AT46" t="s">
        <v>779</v>
      </c>
      <c r="AU46" t="s">
        <v>780</v>
      </c>
      <c r="AV46" t="s">
        <v>157</v>
      </c>
      <c r="AX46" s="1" t="s">
        <v>123</v>
      </c>
      <c r="CR46" s="1" t="s">
        <v>123</v>
      </c>
      <c r="DB46" s="1" t="s">
        <v>214</v>
      </c>
      <c r="DC46" t="s">
        <v>1461</v>
      </c>
      <c r="DD46" t="s">
        <v>781</v>
      </c>
      <c r="DE46" t="s">
        <v>129</v>
      </c>
      <c r="DF46" t="s">
        <v>150</v>
      </c>
      <c r="DG46" t="s">
        <v>129</v>
      </c>
      <c r="DH46" t="s">
        <v>236</v>
      </c>
      <c r="DI46" t="s">
        <v>151</v>
      </c>
      <c r="DJ46" t="s">
        <v>151</v>
      </c>
      <c r="DK46" t="s">
        <v>782</v>
      </c>
      <c r="DL46" s="1" t="s">
        <v>123</v>
      </c>
      <c r="EO46" s="1" t="s">
        <v>177</v>
      </c>
      <c r="EP46" t="s">
        <v>180</v>
      </c>
      <c r="EQ46">
        <v>1</v>
      </c>
      <c r="ER46" t="s">
        <v>783</v>
      </c>
      <c r="ES46" t="s">
        <v>150</v>
      </c>
      <c r="ET46" t="s">
        <v>150</v>
      </c>
      <c r="EU46" t="s">
        <v>236</v>
      </c>
      <c r="EV46" t="s">
        <v>178</v>
      </c>
      <c r="EW46" t="s">
        <v>784</v>
      </c>
      <c r="EX46" t="s">
        <v>785</v>
      </c>
      <c r="EY46" t="s">
        <v>173</v>
      </c>
      <c r="FO46" s="1" t="s">
        <v>123</v>
      </c>
      <c r="FP46" t="s">
        <v>132</v>
      </c>
      <c r="GW46" t="s">
        <v>786</v>
      </c>
      <c r="GX46" t="s">
        <v>787</v>
      </c>
      <c r="GY46" t="s">
        <v>788</v>
      </c>
      <c r="GZ46" t="s">
        <v>140</v>
      </c>
      <c r="HA46">
        <v>1988</v>
      </c>
      <c r="HB46" t="s">
        <v>246</v>
      </c>
      <c r="HD46" t="s">
        <v>789</v>
      </c>
      <c r="HF46" t="s">
        <v>790</v>
      </c>
    </row>
    <row r="47" spans="1:214" x14ac:dyDescent="0.45">
      <c r="A47">
        <v>77</v>
      </c>
      <c r="B47">
        <f>_xlfn.IFNA(VLOOKUP(Analiza[[#This Row],[Zakończono wypełnianie]],Zakończone[],2,0),"BRAK")</f>
        <v>43</v>
      </c>
      <c r="C47">
        <f t="shared" si="1"/>
        <v>33</v>
      </c>
      <c r="D47" t="s">
        <v>773</v>
      </c>
      <c r="E47" t="s">
        <v>118</v>
      </c>
      <c r="F47" t="s">
        <v>774</v>
      </c>
      <c r="J47" t="s">
        <v>119</v>
      </c>
      <c r="K47" t="s">
        <v>791</v>
      </c>
      <c r="L47" t="s">
        <v>792</v>
      </c>
      <c r="M47">
        <v>333</v>
      </c>
      <c r="N47">
        <v>0</v>
      </c>
      <c r="O47" t="s">
        <v>122</v>
      </c>
      <c r="P47" s="1" t="s">
        <v>123</v>
      </c>
      <c r="AF47" s="1" t="s">
        <v>124</v>
      </c>
      <c r="AG47" t="s">
        <v>223</v>
      </c>
      <c r="AH47">
        <v>2012</v>
      </c>
      <c r="AI47" t="s">
        <v>148</v>
      </c>
      <c r="AJ47" t="s">
        <v>793</v>
      </c>
      <c r="AK47" t="s">
        <v>151</v>
      </c>
      <c r="AL47" t="s">
        <v>151</v>
      </c>
      <c r="AM47" t="s">
        <v>129</v>
      </c>
      <c r="AN47" t="s">
        <v>129</v>
      </c>
      <c r="AO47" t="s">
        <v>128</v>
      </c>
      <c r="AP47">
        <v>3</v>
      </c>
      <c r="AQ47" t="s">
        <v>131</v>
      </c>
      <c r="AR47" t="s">
        <v>302</v>
      </c>
      <c r="AS47" t="s">
        <v>386</v>
      </c>
      <c r="AT47" t="s">
        <v>794</v>
      </c>
      <c r="AU47" t="s">
        <v>780</v>
      </c>
      <c r="AV47" t="s">
        <v>157</v>
      </c>
      <c r="AX47" s="1" t="s">
        <v>123</v>
      </c>
      <c r="CR47" s="1" t="s">
        <v>123</v>
      </c>
      <c r="DB47" s="1" t="s">
        <v>123</v>
      </c>
      <c r="DL47" s="1" t="s">
        <v>123</v>
      </c>
      <c r="EO47" s="1" t="s">
        <v>123</v>
      </c>
      <c r="FO47" s="1" t="s">
        <v>123</v>
      </c>
      <c r="FP47" t="s">
        <v>132</v>
      </c>
      <c r="GW47" t="s">
        <v>786</v>
      </c>
      <c r="GX47" t="s">
        <v>787</v>
      </c>
      <c r="GY47" t="s">
        <v>788</v>
      </c>
      <c r="GZ47" t="s">
        <v>186</v>
      </c>
      <c r="HA47">
        <v>1987</v>
      </c>
      <c r="HB47" t="s">
        <v>141</v>
      </c>
      <c r="HD47" t="s">
        <v>795</v>
      </c>
    </row>
    <row r="48" spans="1:214" x14ac:dyDescent="0.45">
      <c r="A48">
        <v>78</v>
      </c>
      <c r="B48">
        <f>_xlfn.IFNA(VLOOKUP(Analiza[[#This Row],[Zakończono wypełnianie]],Zakończone[],2,0),"BRAK")</f>
        <v>44</v>
      </c>
      <c r="C48">
        <f t="shared" si="1"/>
        <v>34</v>
      </c>
      <c r="D48" t="s">
        <v>796</v>
      </c>
      <c r="E48" t="s">
        <v>118</v>
      </c>
      <c r="F48" t="s">
        <v>797</v>
      </c>
      <c r="J48" t="s">
        <v>119</v>
      </c>
      <c r="K48" t="s">
        <v>798</v>
      </c>
      <c r="L48" t="s">
        <v>799</v>
      </c>
      <c r="M48">
        <v>2364</v>
      </c>
      <c r="N48">
        <v>0</v>
      </c>
      <c r="O48" t="s">
        <v>122</v>
      </c>
      <c r="P48" s="1" t="s">
        <v>123</v>
      </c>
      <c r="AF48" s="1" t="s">
        <v>124</v>
      </c>
      <c r="AG48" t="s">
        <v>800</v>
      </c>
      <c r="AH48">
        <v>2002</v>
      </c>
      <c r="AI48" t="s">
        <v>126</v>
      </c>
      <c r="AJ48" t="s">
        <v>801</v>
      </c>
      <c r="AK48" t="s">
        <v>150</v>
      </c>
      <c r="AL48" t="s">
        <v>162</v>
      </c>
      <c r="AM48" t="s">
        <v>151</v>
      </c>
      <c r="AN48" t="s">
        <v>129</v>
      </c>
      <c r="AO48" t="s">
        <v>236</v>
      </c>
      <c r="AP48">
        <v>3</v>
      </c>
      <c r="AQ48" t="s">
        <v>152</v>
      </c>
      <c r="AR48" t="s">
        <v>152</v>
      </c>
      <c r="AS48" t="s">
        <v>802</v>
      </c>
      <c r="AT48" t="s">
        <v>803</v>
      </c>
      <c r="AU48" t="s">
        <v>804</v>
      </c>
      <c r="AV48" t="s">
        <v>157</v>
      </c>
      <c r="AX48" s="1" t="s">
        <v>123</v>
      </c>
      <c r="CR48" s="1" t="s">
        <v>123</v>
      </c>
      <c r="DB48" s="1" t="s">
        <v>123</v>
      </c>
      <c r="DL48" s="1" t="s">
        <v>123</v>
      </c>
      <c r="EO48" s="1" t="s">
        <v>123</v>
      </c>
      <c r="FO48" s="1" t="s">
        <v>123</v>
      </c>
      <c r="FP48" t="s">
        <v>132</v>
      </c>
      <c r="GW48" t="s">
        <v>805</v>
      </c>
      <c r="GX48" t="s">
        <v>806</v>
      </c>
      <c r="GY48" t="s">
        <v>807</v>
      </c>
      <c r="GZ48" t="s">
        <v>140</v>
      </c>
      <c r="HA48">
        <v>1978</v>
      </c>
      <c r="HB48" t="s">
        <v>141</v>
      </c>
      <c r="HD48" t="s">
        <v>386</v>
      </c>
      <c r="HE48" t="s">
        <v>386</v>
      </c>
    </row>
    <row r="49" spans="1:213" x14ac:dyDescent="0.45">
      <c r="A49">
        <v>80</v>
      </c>
      <c r="B49">
        <f>_xlfn.IFNA(VLOOKUP(Analiza[[#This Row],[Zakończono wypełnianie]],Zakończone[],2,0),"BRAK")</f>
        <v>45</v>
      </c>
      <c r="C49">
        <f t="shared" si="1"/>
        <v>35</v>
      </c>
      <c r="D49" t="s">
        <v>370</v>
      </c>
      <c r="E49" t="s">
        <v>118</v>
      </c>
      <c r="F49" t="s">
        <v>774</v>
      </c>
      <c r="J49" t="s">
        <v>119</v>
      </c>
      <c r="K49" t="s">
        <v>811</v>
      </c>
      <c r="L49" t="s">
        <v>812</v>
      </c>
      <c r="M49">
        <v>1671</v>
      </c>
      <c r="N49">
        <v>0</v>
      </c>
      <c r="O49" t="s">
        <v>122</v>
      </c>
      <c r="P49" s="1" t="s">
        <v>123</v>
      </c>
      <c r="AF49" s="1" t="s">
        <v>124</v>
      </c>
      <c r="AG49" t="s">
        <v>813</v>
      </c>
      <c r="AH49">
        <v>1956</v>
      </c>
      <c r="AI49" t="s">
        <v>148</v>
      </c>
      <c r="AJ49" t="s">
        <v>601</v>
      </c>
      <c r="AK49" t="s">
        <v>162</v>
      </c>
      <c r="AL49" t="s">
        <v>162</v>
      </c>
      <c r="AM49" t="s">
        <v>150</v>
      </c>
      <c r="AN49" t="s">
        <v>236</v>
      </c>
      <c r="AO49" t="s">
        <v>236</v>
      </c>
      <c r="AP49" t="s">
        <v>814</v>
      </c>
      <c r="AQ49" t="s">
        <v>131</v>
      </c>
      <c r="AR49" t="s">
        <v>131</v>
      </c>
      <c r="AT49" t="s">
        <v>815</v>
      </c>
      <c r="AU49" t="s">
        <v>816</v>
      </c>
      <c r="AV49" t="s">
        <v>172</v>
      </c>
      <c r="AW49" t="s">
        <v>817</v>
      </c>
      <c r="AX49" s="1" t="s">
        <v>123</v>
      </c>
      <c r="CR49" s="1" t="s">
        <v>123</v>
      </c>
      <c r="DB49" s="1" t="s">
        <v>123</v>
      </c>
      <c r="DL49" s="1" t="s">
        <v>123</v>
      </c>
      <c r="EO49" s="1" t="s">
        <v>123</v>
      </c>
      <c r="EP49" t="s">
        <v>180</v>
      </c>
      <c r="EQ49" t="s">
        <v>132</v>
      </c>
      <c r="FO49" s="1" t="s">
        <v>123</v>
      </c>
      <c r="FP49" t="s">
        <v>132</v>
      </c>
      <c r="FR49" t="s">
        <v>132</v>
      </c>
      <c r="GW49" t="s">
        <v>818</v>
      </c>
      <c r="GX49" t="s">
        <v>819</v>
      </c>
      <c r="GY49" t="s">
        <v>820</v>
      </c>
      <c r="GZ49" t="s">
        <v>140</v>
      </c>
      <c r="HA49">
        <v>1933</v>
      </c>
      <c r="HB49" t="s">
        <v>220</v>
      </c>
    </row>
    <row r="50" spans="1:213" x14ac:dyDescent="0.45">
      <c r="A50">
        <v>81</v>
      </c>
      <c r="B50">
        <f>_xlfn.IFNA(VLOOKUP(Analiza[[#This Row],[Zakończono wypełnianie]],Zakończone[],2,0),"BRAK")</f>
        <v>46</v>
      </c>
      <c r="C50">
        <f t="shared" si="1"/>
        <v>31</v>
      </c>
      <c r="D50" t="s">
        <v>370</v>
      </c>
      <c r="E50" t="s">
        <v>118</v>
      </c>
      <c r="F50" t="s">
        <v>774</v>
      </c>
      <c r="J50" t="s">
        <v>119</v>
      </c>
      <c r="K50" t="s">
        <v>821</v>
      </c>
      <c r="L50" t="s">
        <v>822</v>
      </c>
      <c r="M50">
        <v>3447</v>
      </c>
      <c r="N50">
        <v>0</v>
      </c>
      <c r="O50" t="s">
        <v>122</v>
      </c>
      <c r="P50" s="1" t="s">
        <v>123</v>
      </c>
      <c r="AF50" s="1" t="s">
        <v>124</v>
      </c>
      <c r="AG50" t="s">
        <v>813</v>
      </c>
      <c r="AH50">
        <v>1960</v>
      </c>
      <c r="AI50" t="s">
        <v>148</v>
      </c>
      <c r="AJ50" t="s">
        <v>823</v>
      </c>
      <c r="AK50" t="s">
        <v>150</v>
      </c>
      <c r="AL50" t="s">
        <v>150</v>
      </c>
      <c r="AM50" t="s">
        <v>151</v>
      </c>
      <c r="AN50" t="s">
        <v>236</v>
      </c>
      <c r="AO50" t="s">
        <v>236</v>
      </c>
      <c r="AP50" t="s">
        <v>814</v>
      </c>
      <c r="AQ50" t="s">
        <v>131</v>
      </c>
      <c r="AR50" t="s">
        <v>131</v>
      </c>
      <c r="AT50" t="s">
        <v>824</v>
      </c>
      <c r="AU50" t="s">
        <v>825</v>
      </c>
      <c r="AV50" t="s">
        <v>157</v>
      </c>
      <c r="AX50" s="1" t="s">
        <v>123</v>
      </c>
      <c r="CR50" s="1" t="s">
        <v>123</v>
      </c>
      <c r="DB50" s="1" t="s">
        <v>123</v>
      </c>
      <c r="DL50" s="1" t="s">
        <v>123</v>
      </c>
      <c r="EO50" s="1" t="s">
        <v>123</v>
      </c>
      <c r="FO50" s="1" t="s">
        <v>123</v>
      </c>
      <c r="FP50" t="s">
        <v>132</v>
      </c>
      <c r="GW50" t="s">
        <v>826</v>
      </c>
      <c r="GX50" t="s">
        <v>824</v>
      </c>
      <c r="GY50" t="s">
        <v>827</v>
      </c>
      <c r="GZ50" t="s">
        <v>186</v>
      </c>
      <c r="HA50">
        <v>1934</v>
      </c>
      <c r="HB50" t="s">
        <v>220</v>
      </c>
    </row>
    <row r="51" spans="1:213" x14ac:dyDescent="0.45">
      <c r="A51">
        <v>82</v>
      </c>
      <c r="B51">
        <f>_xlfn.IFNA(VLOOKUP(Analiza[[#This Row],[Zakończono wypełnianie]],Zakończone[],2,0),"BRAK")</f>
        <v>47</v>
      </c>
      <c r="C51">
        <f t="shared" si="1"/>
        <v>28</v>
      </c>
      <c r="D51" t="s">
        <v>828</v>
      </c>
      <c r="E51" t="s">
        <v>118</v>
      </c>
      <c r="J51" t="s">
        <v>119</v>
      </c>
      <c r="K51" t="s">
        <v>829</v>
      </c>
      <c r="L51" t="s">
        <v>830</v>
      </c>
      <c r="M51">
        <v>3349</v>
      </c>
      <c r="N51">
        <v>0</v>
      </c>
      <c r="O51" t="s">
        <v>122</v>
      </c>
      <c r="P51" s="1" t="s">
        <v>123</v>
      </c>
      <c r="AF51" s="1" t="s">
        <v>123</v>
      </c>
      <c r="AX51" s="1" t="s">
        <v>123</v>
      </c>
      <c r="CR51" s="1" t="s">
        <v>123</v>
      </c>
      <c r="DB51" s="1" t="s">
        <v>123</v>
      </c>
      <c r="DL51" s="1" t="s">
        <v>123</v>
      </c>
      <c r="EO51" s="1" t="s">
        <v>177</v>
      </c>
      <c r="EP51" t="s">
        <v>178</v>
      </c>
      <c r="EQ51">
        <v>1</v>
      </c>
      <c r="ER51" t="s">
        <v>191</v>
      </c>
      <c r="ES51" t="s">
        <v>162</v>
      </c>
      <c r="ET51" t="s">
        <v>162</v>
      </c>
      <c r="EU51" t="s">
        <v>128</v>
      </c>
      <c r="EV51" t="s">
        <v>178</v>
      </c>
      <c r="EW51" t="s">
        <v>831</v>
      </c>
      <c r="EX51" t="s">
        <v>832</v>
      </c>
      <c r="EY51" t="s">
        <v>173</v>
      </c>
      <c r="FO51" s="1" t="s">
        <v>123</v>
      </c>
      <c r="FP51" t="s">
        <v>132</v>
      </c>
      <c r="FR51" t="s">
        <v>132</v>
      </c>
      <c r="GW51" t="s">
        <v>833</v>
      </c>
      <c r="GX51" t="s">
        <v>834</v>
      </c>
      <c r="GY51" t="s">
        <v>835</v>
      </c>
      <c r="GZ51" t="s">
        <v>140</v>
      </c>
      <c r="HA51">
        <v>1977</v>
      </c>
      <c r="HB51" t="s">
        <v>398</v>
      </c>
      <c r="HD51" t="s">
        <v>836</v>
      </c>
    </row>
    <row r="52" spans="1:213" x14ac:dyDescent="0.45">
      <c r="A52">
        <v>83</v>
      </c>
      <c r="B52">
        <f>_xlfn.IFNA(VLOOKUP(Analiza[[#This Row],[Zakończono wypełnianie]],Zakończone[],2,0),"BRAK")</f>
        <v>48</v>
      </c>
      <c r="C52">
        <f t="shared" si="1"/>
        <v>75</v>
      </c>
      <c r="D52" t="s">
        <v>837</v>
      </c>
      <c r="E52" t="s">
        <v>118</v>
      </c>
      <c r="J52" t="s">
        <v>119</v>
      </c>
      <c r="K52" t="s">
        <v>838</v>
      </c>
      <c r="L52" t="s">
        <v>839</v>
      </c>
      <c r="M52">
        <v>3312</v>
      </c>
      <c r="N52">
        <v>0</v>
      </c>
      <c r="O52" t="s">
        <v>122</v>
      </c>
      <c r="P52" s="1" t="s">
        <v>123</v>
      </c>
      <c r="AF52" s="1" t="s">
        <v>124</v>
      </c>
      <c r="AG52" t="s">
        <v>191</v>
      </c>
      <c r="AH52">
        <v>1978</v>
      </c>
      <c r="AI52" t="s">
        <v>126</v>
      </c>
      <c r="AJ52" t="s">
        <v>841</v>
      </c>
      <c r="AK52" t="s">
        <v>169</v>
      </c>
      <c r="AL52" t="s">
        <v>169</v>
      </c>
      <c r="AM52" t="s">
        <v>151</v>
      </c>
      <c r="AN52" t="s">
        <v>150</v>
      </c>
      <c r="AO52" t="s">
        <v>150</v>
      </c>
      <c r="AP52">
        <v>2</v>
      </c>
      <c r="AQ52" t="s">
        <v>302</v>
      </c>
      <c r="AR52" t="s">
        <v>226</v>
      </c>
      <c r="AS52" t="s">
        <v>842</v>
      </c>
      <c r="AT52" t="s">
        <v>843</v>
      </c>
      <c r="AU52" t="s">
        <v>386</v>
      </c>
      <c r="AV52" t="s">
        <v>157</v>
      </c>
      <c r="AX52" s="1" t="s">
        <v>159</v>
      </c>
      <c r="AY52">
        <v>2</v>
      </c>
      <c r="AZ52" t="s">
        <v>191</v>
      </c>
      <c r="BA52">
        <v>2005</v>
      </c>
      <c r="BB52" t="s">
        <v>126</v>
      </c>
      <c r="BC52" t="s">
        <v>844</v>
      </c>
      <c r="BD52" t="s">
        <v>150</v>
      </c>
      <c r="BE52" t="s">
        <v>150</v>
      </c>
      <c r="BF52" t="s">
        <v>169</v>
      </c>
      <c r="BG52" t="s">
        <v>162</v>
      </c>
      <c r="BH52" t="s">
        <v>162</v>
      </c>
      <c r="BI52">
        <v>3</v>
      </c>
      <c r="BJ52" t="s">
        <v>845</v>
      </c>
      <c r="BK52" t="s">
        <v>157</v>
      </c>
      <c r="BM52" t="s">
        <v>148</v>
      </c>
      <c r="BN52" t="s">
        <v>166</v>
      </c>
      <c r="BO52" t="s">
        <v>191</v>
      </c>
      <c r="BP52">
        <v>2007</v>
      </c>
      <c r="BQ52" t="s">
        <v>126</v>
      </c>
      <c r="BR52" t="s">
        <v>844</v>
      </c>
      <c r="BS52" t="s">
        <v>150</v>
      </c>
      <c r="BT52" t="s">
        <v>150</v>
      </c>
      <c r="BU52" t="s">
        <v>150</v>
      </c>
      <c r="BV52" t="s">
        <v>162</v>
      </c>
      <c r="BW52" t="s">
        <v>162</v>
      </c>
      <c r="BX52">
        <v>3</v>
      </c>
      <c r="BY52" t="s">
        <v>148</v>
      </c>
      <c r="BZ52" t="s">
        <v>157</v>
      </c>
      <c r="CB52" t="s">
        <v>148</v>
      </c>
      <c r="CC52" t="s">
        <v>173</v>
      </c>
      <c r="CR52" s="1" t="s">
        <v>123</v>
      </c>
      <c r="DB52" s="1" t="s">
        <v>214</v>
      </c>
      <c r="DC52" t="s">
        <v>2275</v>
      </c>
      <c r="DD52" t="s">
        <v>2276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162</v>
      </c>
      <c r="DK52" t="s">
        <v>848</v>
      </c>
      <c r="DL52" s="1" t="s">
        <v>123</v>
      </c>
      <c r="EO52" s="1" t="s">
        <v>123</v>
      </c>
      <c r="EP52" t="s">
        <v>180</v>
      </c>
      <c r="EQ52" t="s">
        <v>132</v>
      </c>
      <c r="FO52" s="1" t="s">
        <v>123</v>
      </c>
      <c r="FP52" t="s">
        <v>132</v>
      </c>
      <c r="FR52" t="s">
        <v>132</v>
      </c>
      <c r="GW52" t="s">
        <v>849</v>
      </c>
      <c r="GX52" t="s">
        <v>850</v>
      </c>
      <c r="GY52" t="s">
        <v>851</v>
      </c>
      <c r="GZ52" t="s">
        <v>186</v>
      </c>
      <c r="HA52">
        <v>1954</v>
      </c>
      <c r="HB52" t="s">
        <v>141</v>
      </c>
      <c r="HD52" t="s">
        <v>852</v>
      </c>
      <c r="HE52" t="s">
        <v>853</v>
      </c>
    </row>
    <row r="53" spans="1:213" x14ac:dyDescent="0.45">
      <c r="A53">
        <v>84</v>
      </c>
      <c r="B53">
        <f>_xlfn.IFNA(VLOOKUP(Analiza[[#This Row],[Zakończono wypełnianie]],Zakończone[],2,0),"BRAK")</f>
        <v>49</v>
      </c>
      <c r="C53">
        <f t="shared" si="1"/>
        <v>49</v>
      </c>
      <c r="D53" t="s">
        <v>854</v>
      </c>
      <c r="E53" t="s">
        <v>118</v>
      </c>
      <c r="J53" t="s">
        <v>119</v>
      </c>
      <c r="K53" t="s">
        <v>855</v>
      </c>
      <c r="L53" t="s">
        <v>856</v>
      </c>
      <c r="M53">
        <v>1349</v>
      </c>
      <c r="N53">
        <v>0</v>
      </c>
      <c r="O53" t="s">
        <v>122</v>
      </c>
      <c r="P53" s="1" t="s">
        <v>416</v>
      </c>
      <c r="Q53" t="s">
        <v>179</v>
      </c>
      <c r="R53" t="s">
        <v>148</v>
      </c>
      <c r="S53" t="s">
        <v>857</v>
      </c>
      <c r="T53" t="s">
        <v>162</v>
      </c>
      <c r="U53" t="s">
        <v>162</v>
      </c>
      <c r="V53" t="s">
        <v>151</v>
      </c>
      <c r="W53" t="s">
        <v>718</v>
      </c>
      <c r="X53" t="s">
        <v>152</v>
      </c>
      <c r="Y53" t="s">
        <v>759</v>
      </c>
      <c r="Z53" t="s">
        <v>858</v>
      </c>
      <c r="AA53" t="s">
        <v>859</v>
      </c>
      <c r="AB53" t="s">
        <v>860</v>
      </c>
      <c r="AD53" t="s">
        <v>861</v>
      </c>
      <c r="AE53">
        <v>2</v>
      </c>
      <c r="AF53" s="1" t="s">
        <v>124</v>
      </c>
      <c r="AG53" t="s">
        <v>862</v>
      </c>
      <c r="AH53">
        <v>2019</v>
      </c>
      <c r="AI53" t="s">
        <v>148</v>
      </c>
      <c r="AJ53" t="s">
        <v>863</v>
      </c>
      <c r="AK53" t="s">
        <v>150</v>
      </c>
      <c r="AL53" t="s">
        <v>150</v>
      </c>
      <c r="AM53" t="s">
        <v>169</v>
      </c>
      <c r="AN53" t="s">
        <v>151</v>
      </c>
      <c r="AO53" t="s">
        <v>150</v>
      </c>
      <c r="AP53" t="s">
        <v>864</v>
      </c>
      <c r="AQ53" t="s">
        <v>302</v>
      </c>
      <c r="AR53" t="s">
        <v>759</v>
      </c>
      <c r="AS53" t="s">
        <v>865</v>
      </c>
      <c r="AT53" t="s">
        <v>866</v>
      </c>
      <c r="AU53" t="s">
        <v>867</v>
      </c>
      <c r="AV53" t="s">
        <v>157</v>
      </c>
      <c r="AX53" s="1" t="s">
        <v>123</v>
      </c>
      <c r="CR53" s="1" t="s">
        <v>123</v>
      </c>
      <c r="DB53" s="1" t="s">
        <v>123</v>
      </c>
      <c r="DL53" s="1" t="s">
        <v>123</v>
      </c>
      <c r="EO53" s="1" t="s">
        <v>123</v>
      </c>
      <c r="FO53" s="1" t="s">
        <v>123</v>
      </c>
      <c r="FP53" t="s">
        <v>132</v>
      </c>
      <c r="GW53" t="s">
        <v>868</v>
      </c>
      <c r="GX53" t="s">
        <v>869</v>
      </c>
      <c r="GY53" t="s">
        <v>870</v>
      </c>
      <c r="GZ53" t="s">
        <v>186</v>
      </c>
      <c r="HA53">
        <v>1991</v>
      </c>
      <c r="HB53" t="s">
        <v>220</v>
      </c>
      <c r="HC53" t="s">
        <v>871</v>
      </c>
      <c r="HD53" t="s">
        <v>872</v>
      </c>
      <c r="HE53" t="s">
        <v>386</v>
      </c>
    </row>
    <row r="54" spans="1:213" x14ac:dyDescent="0.45">
      <c r="A54">
        <v>85</v>
      </c>
      <c r="B54">
        <f>_xlfn.IFNA(VLOOKUP(Analiza[[#This Row],[Zakończono wypełnianie]],Zakończone[],2,0),"BRAK")</f>
        <v>50</v>
      </c>
      <c r="C54">
        <f t="shared" si="1"/>
        <v>34</v>
      </c>
      <c r="D54" t="s">
        <v>873</v>
      </c>
      <c r="E54" t="s">
        <v>118</v>
      </c>
      <c r="F54" t="s">
        <v>797</v>
      </c>
      <c r="J54" t="s">
        <v>119</v>
      </c>
      <c r="K54" t="s">
        <v>874</v>
      </c>
      <c r="L54" t="s">
        <v>875</v>
      </c>
      <c r="M54">
        <v>1971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>
        <v>2012</v>
      </c>
      <c r="AI54" t="s">
        <v>148</v>
      </c>
      <c r="AJ54" t="s">
        <v>876</v>
      </c>
      <c r="AK54" t="s">
        <v>150</v>
      </c>
      <c r="AL54" t="s">
        <v>162</v>
      </c>
      <c r="AM54" t="s">
        <v>128</v>
      </c>
      <c r="AN54" t="s">
        <v>236</v>
      </c>
      <c r="AO54" t="s">
        <v>151</v>
      </c>
      <c r="AP54">
        <v>2</v>
      </c>
      <c r="AQ54" t="s">
        <v>131</v>
      </c>
      <c r="AR54" t="s">
        <v>153</v>
      </c>
      <c r="AS54" t="s">
        <v>877</v>
      </c>
      <c r="AT54" t="s">
        <v>532</v>
      </c>
      <c r="AU54" t="s">
        <v>532</v>
      </c>
      <c r="AV54" t="s">
        <v>157</v>
      </c>
      <c r="AW54" t="s">
        <v>878</v>
      </c>
      <c r="AX54" s="1" t="s">
        <v>123</v>
      </c>
      <c r="CR54" s="1" t="s">
        <v>123</v>
      </c>
      <c r="DB54" s="1" t="s">
        <v>123</v>
      </c>
      <c r="DL54" s="1" t="s">
        <v>123</v>
      </c>
      <c r="EO54" s="1" t="s">
        <v>123</v>
      </c>
      <c r="FO54" s="1" t="s">
        <v>123</v>
      </c>
      <c r="FP54" t="s">
        <v>132</v>
      </c>
      <c r="GW54" t="s">
        <v>532</v>
      </c>
      <c r="GX54" t="s">
        <v>532</v>
      </c>
      <c r="GY54" t="s">
        <v>532</v>
      </c>
      <c r="GZ54" t="s">
        <v>186</v>
      </c>
      <c r="HA54">
        <v>1988</v>
      </c>
      <c r="HB54" t="s">
        <v>246</v>
      </c>
      <c r="HE54" t="s">
        <v>879</v>
      </c>
    </row>
    <row r="55" spans="1:213" x14ac:dyDescent="0.45">
      <c r="A55">
        <v>86</v>
      </c>
      <c r="B55">
        <f>_xlfn.IFNA(VLOOKUP(Analiza[[#This Row],[Zakończono wypełnianie]],Zakończone[],2,0),"BRAK")</f>
        <v>51</v>
      </c>
      <c r="C55">
        <f t="shared" si="1"/>
        <v>43</v>
      </c>
      <c r="D55" t="s">
        <v>873</v>
      </c>
      <c r="E55" t="s">
        <v>118</v>
      </c>
      <c r="F55" t="s">
        <v>797</v>
      </c>
      <c r="J55" t="s">
        <v>119</v>
      </c>
      <c r="K55" t="s">
        <v>880</v>
      </c>
      <c r="L55" t="s">
        <v>881</v>
      </c>
      <c r="M55">
        <v>2138</v>
      </c>
      <c r="N55">
        <v>0</v>
      </c>
      <c r="O55" t="s">
        <v>122</v>
      </c>
      <c r="P55" s="1" t="s">
        <v>123</v>
      </c>
      <c r="AF55" s="1" t="s">
        <v>124</v>
      </c>
      <c r="AG55" t="s">
        <v>191</v>
      </c>
      <c r="AH55">
        <v>2005</v>
      </c>
      <c r="AI55" t="s">
        <v>126</v>
      </c>
      <c r="AJ55" t="s">
        <v>882</v>
      </c>
      <c r="AK55" t="s">
        <v>162</v>
      </c>
      <c r="AL55" t="s">
        <v>162</v>
      </c>
      <c r="AM55" t="s">
        <v>162</v>
      </c>
      <c r="AN55" t="s">
        <v>236</v>
      </c>
      <c r="AO55" t="s">
        <v>128</v>
      </c>
      <c r="AP55" t="s">
        <v>883</v>
      </c>
      <c r="AQ55" t="s">
        <v>131</v>
      </c>
      <c r="AR55" t="s">
        <v>302</v>
      </c>
      <c r="AS55" t="s">
        <v>884</v>
      </c>
      <c r="AT55" t="s">
        <v>532</v>
      </c>
      <c r="AU55" t="s">
        <v>532</v>
      </c>
      <c r="AV55" t="s">
        <v>157</v>
      </c>
      <c r="AW55" t="s">
        <v>878</v>
      </c>
      <c r="AX55" s="1" t="s">
        <v>123</v>
      </c>
      <c r="CR55" s="1" t="s">
        <v>123</v>
      </c>
      <c r="DB55" s="1" t="s">
        <v>123</v>
      </c>
      <c r="DL55" s="1" t="s">
        <v>123</v>
      </c>
      <c r="EO55" s="1" t="s">
        <v>177</v>
      </c>
      <c r="EP55" t="s">
        <v>178</v>
      </c>
      <c r="EQ55">
        <v>1</v>
      </c>
      <c r="ER55" t="s">
        <v>747</v>
      </c>
      <c r="ES55" t="s">
        <v>162</v>
      </c>
      <c r="ET55" t="s">
        <v>162</v>
      </c>
      <c r="EU55" t="s">
        <v>151</v>
      </c>
      <c r="EV55" t="s">
        <v>178</v>
      </c>
      <c r="EW55" t="s">
        <v>885</v>
      </c>
      <c r="EX55" t="s">
        <v>886</v>
      </c>
      <c r="EY55" t="s">
        <v>173</v>
      </c>
      <c r="FO55" s="1" t="s">
        <v>123</v>
      </c>
      <c r="FP55" t="s">
        <v>132</v>
      </c>
      <c r="GW55" t="s">
        <v>887</v>
      </c>
      <c r="GX55" t="s">
        <v>532</v>
      </c>
      <c r="GY55" t="s">
        <v>532</v>
      </c>
      <c r="GZ55" t="s">
        <v>140</v>
      </c>
      <c r="HA55">
        <v>1981</v>
      </c>
      <c r="HB55" t="s">
        <v>141</v>
      </c>
    </row>
    <row r="56" spans="1:213" x14ac:dyDescent="0.45">
      <c r="A56">
        <v>87</v>
      </c>
      <c r="B56">
        <f>_xlfn.IFNA(VLOOKUP(Analiza[[#This Row],[Zakończono wypełnianie]],Zakończone[],2,0),"BRAK")</f>
        <v>52</v>
      </c>
      <c r="C56">
        <f t="shared" si="1"/>
        <v>45</v>
      </c>
      <c r="D56" t="s">
        <v>873</v>
      </c>
      <c r="E56" t="s">
        <v>118</v>
      </c>
      <c r="F56" t="s">
        <v>797</v>
      </c>
      <c r="J56" t="s">
        <v>119</v>
      </c>
      <c r="K56" t="s">
        <v>888</v>
      </c>
      <c r="L56" t="s">
        <v>889</v>
      </c>
      <c r="M56">
        <v>1595</v>
      </c>
      <c r="N56">
        <v>0</v>
      </c>
      <c r="O56" t="s">
        <v>122</v>
      </c>
      <c r="P56" s="1" t="s">
        <v>123</v>
      </c>
      <c r="AF56" s="1" t="s">
        <v>124</v>
      </c>
      <c r="AG56" t="s">
        <v>191</v>
      </c>
      <c r="AH56">
        <v>1975</v>
      </c>
      <c r="AI56" t="s">
        <v>126</v>
      </c>
      <c r="AJ56" t="s">
        <v>890</v>
      </c>
      <c r="AK56" t="s">
        <v>150</v>
      </c>
      <c r="AL56" t="s">
        <v>162</v>
      </c>
      <c r="AM56" t="s">
        <v>128</v>
      </c>
      <c r="AN56" t="s">
        <v>169</v>
      </c>
      <c r="AO56" t="s">
        <v>169</v>
      </c>
      <c r="AP56" t="s">
        <v>883</v>
      </c>
      <c r="AQ56" t="s">
        <v>194</v>
      </c>
      <c r="AR56" t="s">
        <v>194</v>
      </c>
      <c r="AS56" t="s">
        <v>891</v>
      </c>
      <c r="AT56" t="s">
        <v>532</v>
      </c>
      <c r="AU56" t="s">
        <v>532</v>
      </c>
      <c r="AV56" t="s">
        <v>892</v>
      </c>
      <c r="AX56" s="1" t="s">
        <v>159</v>
      </c>
      <c r="AY56">
        <v>1</v>
      </c>
      <c r="AZ56" t="s">
        <v>893</v>
      </c>
      <c r="BA56">
        <v>2002</v>
      </c>
      <c r="BB56" t="s">
        <v>126</v>
      </c>
      <c r="BC56" t="s">
        <v>801</v>
      </c>
      <c r="BD56" t="s">
        <v>150</v>
      </c>
      <c r="BE56" t="s">
        <v>150</v>
      </c>
      <c r="BF56" t="s">
        <v>150</v>
      </c>
      <c r="BG56" t="s">
        <v>236</v>
      </c>
      <c r="BH56" t="s">
        <v>128</v>
      </c>
      <c r="BI56">
        <v>3</v>
      </c>
      <c r="BK56" t="s">
        <v>157</v>
      </c>
      <c r="BN56" t="s">
        <v>173</v>
      </c>
      <c r="CR56" s="1" t="s">
        <v>123</v>
      </c>
      <c r="DB56" s="1" t="s">
        <v>123</v>
      </c>
      <c r="DL56" s="1" t="s">
        <v>123</v>
      </c>
      <c r="EO56" s="1" t="s">
        <v>123</v>
      </c>
      <c r="FO56" s="1" t="s">
        <v>123</v>
      </c>
      <c r="FP56" t="s">
        <v>132</v>
      </c>
      <c r="GW56" t="s">
        <v>532</v>
      </c>
      <c r="GX56" t="s">
        <v>532</v>
      </c>
      <c r="GY56" t="s">
        <v>532</v>
      </c>
      <c r="GZ56" t="s">
        <v>186</v>
      </c>
      <c r="HA56">
        <v>1950</v>
      </c>
      <c r="HB56" t="s">
        <v>141</v>
      </c>
    </row>
    <row r="57" spans="1:213" x14ac:dyDescent="0.45">
      <c r="A57">
        <v>88</v>
      </c>
      <c r="B57">
        <f>_xlfn.IFNA(VLOOKUP(Analiza[[#This Row],[Zakończono wypełnianie]],Zakończone[],2,0),"BRAK")</f>
        <v>53</v>
      </c>
      <c r="C57">
        <f t="shared" si="1"/>
        <v>46</v>
      </c>
      <c r="D57" t="s">
        <v>873</v>
      </c>
      <c r="E57" t="s">
        <v>118</v>
      </c>
      <c r="F57" t="s">
        <v>797</v>
      </c>
      <c r="J57" t="s">
        <v>119</v>
      </c>
      <c r="K57" t="s">
        <v>895</v>
      </c>
      <c r="L57" t="s">
        <v>896</v>
      </c>
      <c r="M57">
        <v>1418</v>
      </c>
      <c r="N57">
        <v>0</v>
      </c>
      <c r="O57" t="s">
        <v>122</v>
      </c>
      <c r="P57" s="1" t="s">
        <v>123</v>
      </c>
      <c r="AF57" s="1" t="s">
        <v>124</v>
      </c>
      <c r="AG57" t="s">
        <v>191</v>
      </c>
      <c r="AH57">
        <v>1975</v>
      </c>
      <c r="AI57" t="s">
        <v>126</v>
      </c>
      <c r="AJ57" t="s">
        <v>897</v>
      </c>
      <c r="AK57" t="s">
        <v>150</v>
      </c>
      <c r="AL57" t="s">
        <v>162</v>
      </c>
      <c r="AM57" t="s">
        <v>150</v>
      </c>
      <c r="AN57" t="s">
        <v>162</v>
      </c>
      <c r="AO57" t="s">
        <v>162</v>
      </c>
      <c r="AP57" t="s">
        <v>898</v>
      </c>
      <c r="AQ57" t="s">
        <v>153</v>
      </c>
      <c r="AR57" t="s">
        <v>153</v>
      </c>
      <c r="AT57" t="s">
        <v>532</v>
      </c>
      <c r="AU57" t="s">
        <v>532</v>
      </c>
      <c r="AV57" t="s">
        <v>157</v>
      </c>
      <c r="AX57" s="1" t="s">
        <v>159</v>
      </c>
      <c r="AY57">
        <v>1</v>
      </c>
      <c r="AZ57" t="s">
        <v>191</v>
      </c>
      <c r="BA57">
        <v>2011</v>
      </c>
      <c r="BB57" t="s">
        <v>126</v>
      </c>
      <c r="BC57" t="s">
        <v>127</v>
      </c>
      <c r="BD57" t="s">
        <v>162</v>
      </c>
      <c r="BE57" t="s">
        <v>150</v>
      </c>
      <c r="BF57" t="s">
        <v>236</v>
      </c>
      <c r="BG57" t="s">
        <v>132</v>
      </c>
      <c r="BH57" t="s">
        <v>132</v>
      </c>
      <c r="BI57" t="s">
        <v>900</v>
      </c>
      <c r="BJ57" t="s">
        <v>901</v>
      </c>
      <c r="BK57" t="s">
        <v>157</v>
      </c>
      <c r="BL57" t="s">
        <v>878</v>
      </c>
      <c r="BN57" t="s">
        <v>173</v>
      </c>
      <c r="CR57" s="1" t="s">
        <v>123</v>
      </c>
      <c r="DB57" s="1" t="s">
        <v>123</v>
      </c>
      <c r="DL57" s="1" t="s">
        <v>123</v>
      </c>
      <c r="EO57" s="1" t="s">
        <v>123</v>
      </c>
      <c r="FO57" s="1" t="s">
        <v>123</v>
      </c>
      <c r="FP57" t="s">
        <v>132</v>
      </c>
      <c r="GW57" t="s">
        <v>532</v>
      </c>
      <c r="GX57" t="s">
        <v>532</v>
      </c>
      <c r="GY57" t="s">
        <v>532</v>
      </c>
      <c r="GZ57" t="s">
        <v>140</v>
      </c>
      <c r="HA57">
        <v>1950</v>
      </c>
      <c r="HB57" t="s">
        <v>141</v>
      </c>
    </row>
    <row r="58" spans="1:213" x14ac:dyDescent="0.45">
      <c r="A58">
        <v>89</v>
      </c>
      <c r="B58">
        <f>_xlfn.IFNA(VLOOKUP(Analiza[[#This Row],[Zakończono wypełnianie]],Zakończone[],2,0),"BRAK")</f>
        <v>54</v>
      </c>
      <c r="C58">
        <f t="shared" si="1"/>
        <v>35</v>
      </c>
      <c r="D58" t="s">
        <v>902</v>
      </c>
      <c r="E58" t="s">
        <v>118</v>
      </c>
      <c r="J58" t="s">
        <v>119</v>
      </c>
      <c r="K58" t="s">
        <v>903</v>
      </c>
      <c r="L58" t="s">
        <v>904</v>
      </c>
      <c r="M58">
        <v>255</v>
      </c>
      <c r="N58">
        <v>0</v>
      </c>
      <c r="O58" t="s">
        <v>122</v>
      </c>
      <c r="P58" s="1" t="s">
        <v>123</v>
      </c>
      <c r="AF58" s="1" t="s">
        <v>124</v>
      </c>
      <c r="AG58" t="s">
        <v>191</v>
      </c>
      <c r="AH58">
        <v>2009</v>
      </c>
      <c r="AI58" t="s">
        <v>126</v>
      </c>
      <c r="AJ58" t="s">
        <v>906</v>
      </c>
      <c r="AK58" t="s">
        <v>151</v>
      </c>
      <c r="AL58" t="s">
        <v>151</v>
      </c>
      <c r="AM58" t="s">
        <v>150</v>
      </c>
      <c r="AN58" t="s">
        <v>128</v>
      </c>
      <c r="AO58" t="s">
        <v>162</v>
      </c>
      <c r="AP58" t="s">
        <v>907</v>
      </c>
      <c r="AQ58" t="s">
        <v>131</v>
      </c>
      <c r="AR58" t="s">
        <v>759</v>
      </c>
      <c r="AS58" t="s">
        <v>908</v>
      </c>
      <c r="AT58" t="s">
        <v>908</v>
      </c>
      <c r="AU58" t="s">
        <v>909</v>
      </c>
      <c r="AV58" t="s">
        <v>172</v>
      </c>
      <c r="AX58" s="1" t="s">
        <v>123</v>
      </c>
      <c r="CR58" s="1" t="s">
        <v>123</v>
      </c>
      <c r="DB58" s="1" t="s">
        <v>123</v>
      </c>
      <c r="DL58" s="1" t="s">
        <v>123</v>
      </c>
      <c r="EO58" s="1" t="s">
        <v>123</v>
      </c>
      <c r="EP58" t="s">
        <v>180</v>
      </c>
      <c r="EQ58" t="s">
        <v>132</v>
      </c>
      <c r="FO58" s="1" t="s">
        <v>123</v>
      </c>
      <c r="FP58" t="s">
        <v>132</v>
      </c>
      <c r="FR58" t="s">
        <v>132</v>
      </c>
      <c r="GW58" t="s">
        <v>910</v>
      </c>
      <c r="GX58" t="s">
        <v>911</v>
      </c>
      <c r="GY58" t="s">
        <v>912</v>
      </c>
      <c r="GZ58" t="s">
        <v>186</v>
      </c>
      <c r="HA58">
        <v>1983</v>
      </c>
      <c r="HB58" t="s">
        <v>141</v>
      </c>
    </row>
    <row r="59" spans="1:213" x14ac:dyDescent="0.45">
      <c r="A59">
        <v>91</v>
      </c>
      <c r="B59">
        <f>_xlfn.IFNA(VLOOKUP(Analiza[[#This Row],[Zakończono wypełnianie]],Zakończone[],2,0),"BRAK")</f>
        <v>55</v>
      </c>
      <c r="C59">
        <f t="shared" si="1"/>
        <v>77</v>
      </c>
      <c r="D59" t="s">
        <v>915</v>
      </c>
      <c r="E59" t="s">
        <v>118</v>
      </c>
      <c r="J59" t="s">
        <v>119</v>
      </c>
      <c r="K59" t="s">
        <v>916</v>
      </c>
      <c r="L59" t="s">
        <v>917</v>
      </c>
      <c r="M59">
        <v>76609</v>
      </c>
      <c r="N59">
        <v>0</v>
      </c>
      <c r="O59" t="s">
        <v>122</v>
      </c>
      <c r="P59" s="1" t="s">
        <v>123</v>
      </c>
      <c r="AF59" s="1" t="s">
        <v>124</v>
      </c>
      <c r="AG59" t="s">
        <v>223</v>
      </c>
      <c r="AH59">
        <v>1980</v>
      </c>
      <c r="AI59" t="s">
        <v>148</v>
      </c>
      <c r="AJ59" t="s">
        <v>919</v>
      </c>
      <c r="AK59" t="s">
        <v>169</v>
      </c>
      <c r="AL59" t="s">
        <v>169</v>
      </c>
      <c r="AM59" t="s">
        <v>150</v>
      </c>
      <c r="AN59" t="s">
        <v>128</v>
      </c>
      <c r="AO59" t="s">
        <v>128</v>
      </c>
      <c r="AP59" t="s">
        <v>920</v>
      </c>
      <c r="AQ59" t="s">
        <v>302</v>
      </c>
      <c r="AR59" t="s">
        <v>302</v>
      </c>
      <c r="AS59" t="s">
        <v>921</v>
      </c>
      <c r="AT59" t="s">
        <v>922</v>
      </c>
      <c r="AU59" t="s">
        <v>923</v>
      </c>
      <c r="AV59" t="s">
        <v>157</v>
      </c>
      <c r="AX59" s="1" t="s">
        <v>159</v>
      </c>
      <c r="AY59">
        <v>2</v>
      </c>
      <c r="AZ59" t="s">
        <v>223</v>
      </c>
      <c r="BA59">
        <v>2009</v>
      </c>
      <c r="BB59" t="s">
        <v>148</v>
      </c>
      <c r="BC59" t="s">
        <v>743</v>
      </c>
      <c r="BD59" t="s">
        <v>169</v>
      </c>
      <c r="BE59" t="s">
        <v>169</v>
      </c>
      <c r="BF59" t="s">
        <v>169</v>
      </c>
      <c r="BG59" t="s">
        <v>128</v>
      </c>
      <c r="BH59" t="s">
        <v>128</v>
      </c>
      <c r="BI59" t="s">
        <v>925</v>
      </c>
      <c r="BJ59" t="s">
        <v>926</v>
      </c>
      <c r="BK59" t="s">
        <v>157</v>
      </c>
      <c r="BM59" t="s">
        <v>927</v>
      </c>
      <c r="BN59" t="s">
        <v>173</v>
      </c>
      <c r="CR59" s="1" t="s">
        <v>387</v>
      </c>
      <c r="CS59" t="s">
        <v>223</v>
      </c>
      <c r="CT59" t="s">
        <v>928</v>
      </c>
      <c r="CU59" t="s">
        <v>169</v>
      </c>
      <c r="CV59" t="s">
        <v>162</v>
      </c>
      <c r="CW59" t="s">
        <v>128</v>
      </c>
      <c r="CX59" t="s">
        <v>169</v>
      </c>
      <c r="CY59" t="s">
        <v>169</v>
      </c>
      <c r="CZ59" t="s">
        <v>169</v>
      </c>
      <c r="DA59" t="s">
        <v>929</v>
      </c>
      <c r="DB59" s="1" t="s">
        <v>214</v>
      </c>
      <c r="DC59" t="s">
        <v>223</v>
      </c>
      <c r="DD59" t="s">
        <v>928</v>
      </c>
      <c r="DE59" t="s">
        <v>169</v>
      </c>
      <c r="DF59" t="s">
        <v>162</v>
      </c>
      <c r="DG59" t="s">
        <v>128</v>
      </c>
      <c r="DH59" t="s">
        <v>169</v>
      </c>
      <c r="DI59" t="s">
        <v>169</v>
      </c>
      <c r="DJ59" t="s">
        <v>150</v>
      </c>
      <c r="DK59" t="s">
        <v>930</v>
      </c>
      <c r="DL59" s="1" t="s">
        <v>123</v>
      </c>
      <c r="EO59" s="1" t="s">
        <v>177</v>
      </c>
      <c r="EP59" t="s">
        <v>180</v>
      </c>
      <c r="EQ59">
        <v>1</v>
      </c>
      <c r="ER59" t="s">
        <v>223</v>
      </c>
      <c r="ES59" t="s">
        <v>169</v>
      </c>
      <c r="ET59" t="s">
        <v>169</v>
      </c>
      <c r="EU59" t="s">
        <v>236</v>
      </c>
      <c r="EV59" t="s">
        <v>180</v>
      </c>
      <c r="EW59" t="s">
        <v>931</v>
      </c>
      <c r="EX59" t="s">
        <v>932</v>
      </c>
      <c r="EY59" t="s">
        <v>173</v>
      </c>
      <c r="FO59" s="1" t="s">
        <v>123</v>
      </c>
      <c r="FP59" t="s">
        <v>132</v>
      </c>
      <c r="FR59" t="s">
        <v>132</v>
      </c>
      <c r="GW59" t="s">
        <v>933</v>
      </c>
      <c r="GX59" t="s">
        <v>934</v>
      </c>
      <c r="GY59" t="s">
        <v>935</v>
      </c>
      <c r="GZ59" t="s">
        <v>140</v>
      </c>
      <c r="HA59">
        <v>1957</v>
      </c>
      <c r="HB59" t="s">
        <v>141</v>
      </c>
      <c r="HD59" t="s">
        <v>936</v>
      </c>
    </row>
    <row r="60" spans="1:213" x14ac:dyDescent="0.45">
      <c r="A60">
        <v>93</v>
      </c>
      <c r="B60">
        <f>_xlfn.IFNA(VLOOKUP(Analiza[[#This Row],[Zakończono wypełnianie]],Zakończone[],2,0),"BRAK")</f>
        <v>56</v>
      </c>
      <c r="C60">
        <f t="shared" si="1"/>
        <v>46</v>
      </c>
      <c r="D60" t="s">
        <v>938</v>
      </c>
      <c r="E60" t="s">
        <v>118</v>
      </c>
      <c r="J60" t="s">
        <v>119</v>
      </c>
      <c r="K60" t="s">
        <v>939</v>
      </c>
      <c r="L60" t="s">
        <v>940</v>
      </c>
      <c r="M60">
        <v>451</v>
      </c>
      <c r="N60">
        <v>0</v>
      </c>
      <c r="O60" t="s">
        <v>122</v>
      </c>
      <c r="P60" s="1" t="s">
        <v>123</v>
      </c>
      <c r="AF60" s="1" t="s">
        <v>124</v>
      </c>
      <c r="AG60" t="s">
        <v>223</v>
      </c>
      <c r="AH60">
        <v>2004</v>
      </c>
      <c r="AI60" t="s">
        <v>148</v>
      </c>
      <c r="AJ60" t="s">
        <v>942</v>
      </c>
      <c r="AK60" t="s">
        <v>150</v>
      </c>
      <c r="AL60" t="s">
        <v>150</v>
      </c>
      <c r="AM60" t="s">
        <v>150</v>
      </c>
      <c r="AN60" t="s">
        <v>150</v>
      </c>
      <c r="AO60" t="s">
        <v>169</v>
      </c>
      <c r="AP60" t="s">
        <v>237</v>
      </c>
      <c r="AQ60" t="s">
        <v>302</v>
      </c>
      <c r="AR60" t="s">
        <v>943</v>
      </c>
      <c r="AS60" t="s">
        <v>944</v>
      </c>
      <c r="AT60" t="s">
        <v>945</v>
      </c>
      <c r="AU60" t="s">
        <v>946</v>
      </c>
      <c r="AV60" t="s">
        <v>157</v>
      </c>
      <c r="AX60" s="1" t="s">
        <v>123</v>
      </c>
      <c r="CR60" s="1" t="s">
        <v>123</v>
      </c>
      <c r="DB60" s="1" t="s">
        <v>123</v>
      </c>
      <c r="DL60" s="1" t="s">
        <v>123</v>
      </c>
      <c r="EO60" s="1" t="s">
        <v>177</v>
      </c>
      <c r="EP60" t="s">
        <v>178</v>
      </c>
      <c r="EQ60">
        <v>1</v>
      </c>
      <c r="ER60" t="s">
        <v>747</v>
      </c>
      <c r="ES60" t="s">
        <v>169</v>
      </c>
      <c r="ET60" t="s">
        <v>169</v>
      </c>
      <c r="EU60" t="s">
        <v>169</v>
      </c>
      <c r="EV60" t="s">
        <v>178</v>
      </c>
      <c r="EW60" t="s">
        <v>947</v>
      </c>
      <c r="EX60" t="s">
        <v>948</v>
      </c>
      <c r="EY60" t="s">
        <v>173</v>
      </c>
      <c r="FO60" s="1" t="s">
        <v>123</v>
      </c>
      <c r="FP60" t="s">
        <v>132</v>
      </c>
      <c r="FR60" t="s">
        <v>132</v>
      </c>
      <c r="GW60" t="s">
        <v>949</v>
      </c>
      <c r="GX60" t="s">
        <v>950</v>
      </c>
      <c r="GY60" t="s">
        <v>951</v>
      </c>
      <c r="GZ60" t="s">
        <v>186</v>
      </c>
      <c r="HA60">
        <v>1984</v>
      </c>
      <c r="HB60" t="s">
        <v>141</v>
      </c>
      <c r="HC60" t="s">
        <v>952</v>
      </c>
      <c r="HD60" t="s">
        <v>953</v>
      </c>
      <c r="HE60" t="s">
        <v>954</v>
      </c>
    </row>
    <row r="61" spans="1:213" x14ac:dyDescent="0.45">
      <c r="A61">
        <v>94</v>
      </c>
      <c r="B61">
        <f>_xlfn.IFNA(VLOOKUP(Analiza[[#This Row],[Zakończono wypełnianie]],Zakończone[],2,0),"BRAK")</f>
        <v>57</v>
      </c>
      <c r="C61">
        <f t="shared" si="1"/>
        <v>32</v>
      </c>
      <c r="D61" t="s">
        <v>955</v>
      </c>
      <c r="E61" t="s">
        <v>118</v>
      </c>
      <c r="F61" t="s">
        <v>774</v>
      </c>
      <c r="J61" t="s">
        <v>119</v>
      </c>
      <c r="K61" t="s">
        <v>956</v>
      </c>
      <c r="L61" t="s">
        <v>957</v>
      </c>
      <c r="M61">
        <v>1186</v>
      </c>
      <c r="N61">
        <v>0</v>
      </c>
      <c r="O61" t="s">
        <v>122</v>
      </c>
      <c r="P61" s="1" t="s">
        <v>416</v>
      </c>
      <c r="Q61" t="s">
        <v>223</v>
      </c>
      <c r="R61" t="s">
        <v>148</v>
      </c>
      <c r="S61" t="s">
        <v>958</v>
      </c>
      <c r="T61" t="s">
        <v>151</v>
      </c>
      <c r="U61" t="s">
        <v>128</v>
      </c>
      <c r="V61" t="s">
        <v>236</v>
      </c>
      <c r="W61" t="s">
        <v>959</v>
      </c>
      <c r="X61" t="s">
        <v>302</v>
      </c>
      <c r="Y61" t="s">
        <v>153</v>
      </c>
      <c r="Z61" t="s">
        <v>960</v>
      </c>
      <c r="AA61" t="s">
        <v>961</v>
      </c>
      <c r="AB61" t="s">
        <v>962</v>
      </c>
      <c r="AC61" t="s">
        <v>157</v>
      </c>
      <c r="AE61">
        <v>4</v>
      </c>
      <c r="AF61" s="1" t="s">
        <v>123</v>
      </c>
      <c r="AX61" s="1" t="s">
        <v>123</v>
      </c>
      <c r="CR61" s="1" t="s">
        <v>123</v>
      </c>
      <c r="DB61" s="1" t="s">
        <v>123</v>
      </c>
      <c r="DL61" s="1" t="s">
        <v>123</v>
      </c>
      <c r="EO61" s="1" t="s">
        <v>123</v>
      </c>
      <c r="EP61" t="s">
        <v>180</v>
      </c>
      <c r="EQ61" t="s">
        <v>132</v>
      </c>
      <c r="FO61" s="1" t="s">
        <v>123</v>
      </c>
      <c r="FP61" t="s">
        <v>132</v>
      </c>
      <c r="GW61" t="s">
        <v>826</v>
      </c>
      <c r="GX61" t="s">
        <v>824</v>
      </c>
      <c r="GY61" t="s">
        <v>820</v>
      </c>
      <c r="GZ61" t="s">
        <v>140</v>
      </c>
      <c r="HA61">
        <v>1993</v>
      </c>
      <c r="HB61" t="s">
        <v>483</v>
      </c>
    </row>
    <row r="62" spans="1:213" x14ac:dyDescent="0.45">
      <c r="A62">
        <v>95</v>
      </c>
      <c r="B62">
        <f>_xlfn.IFNA(VLOOKUP(Analiza[[#This Row],[Zakończono wypełnianie]],Zakończone[],2,0),"BRAK")</f>
        <v>58</v>
      </c>
      <c r="C62">
        <f t="shared" si="1"/>
        <v>19</v>
      </c>
      <c r="D62" t="s">
        <v>955</v>
      </c>
      <c r="E62" t="s">
        <v>118</v>
      </c>
      <c r="F62" t="s">
        <v>774</v>
      </c>
      <c r="J62" t="s">
        <v>119</v>
      </c>
      <c r="K62" t="s">
        <v>963</v>
      </c>
      <c r="L62" t="s">
        <v>964</v>
      </c>
      <c r="M62">
        <v>456</v>
      </c>
      <c r="N62">
        <v>0</v>
      </c>
      <c r="O62" t="s">
        <v>122</v>
      </c>
      <c r="P62" s="1" t="s">
        <v>123</v>
      </c>
      <c r="AF62" s="1" t="s">
        <v>123</v>
      </c>
      <c r="AX62" s="1" t="s">
        <v>123</v>
      </c>
      <c r="CR62" s="1" t="s">
        <v>123</v>
      </c>
      <c r="DB62" s="1" t="s">
        <v>123</v>
      </c>
      <c r="DL62" s="1" t="s">
        <v>123</v>
      </c>
      <c r="EO62" s="1" t="s">
        <v>123</v>
      </c>
      <c r="EP62" t="s">
        <v>178</v>
      </c>
      <c r="FO62" s="1" t="s">
        <v>123</v>
      </c>
      <c r="FP62" t="s">
        <v>132</v>
      </c>
      <c r="GW62" t="s">
        <v>818</v>
      </c>
      <c r="GX62" t="s">
        <v>824</v>
      </c>
      <c r="GY62" t="s">
        <v>788</v>
      </c>
      <c r="GZ62" t="s">
        <v>186</v>
      </c>
      <c r="HA62">
        <v>1992</v>
      </c>
      <c r="HB62" t="s">
        <v>141</v>
      </c>
      <c r="HD62" t="s">
        <v>965</v>
      </c>
      <c r="HE62" t="s">
        <v>966</v>
      </c>
    </row>
    <row r="63" spans="1:213" x14ac:dyDescent="0.45">
      <c r="A63">
        <v>96</v>
      </c>
      <c r="B63">
        <f>_xlfn.IFNA(VLOOKUP(Analiza[[#This Row],[Zakończono wypełnianie]],Zakończone[],2,0),"BRAK")</f>
        <v>59</v>
      </c>
      <c r="C63">
        <f t="shared" si="1"/>
        <v>36</v>
      </c>
      <c r="D63" t="s">
        <v>370</v>
      </c>
      <c r="E63" t="s">
        <v>118</v>
      </c>
      <c r="F63" t="s">
        <v>774</v>
      </c>
      <c r="J63" t="s">
        <v>119</v>
      </c>
      <c r="K63" t="s">
        <v>967</v>
      </c>
      <c r="L63" t="s">
        <v>968</v>
      </c>
      <c r="M63">
        <v>5160</v>
      </c>
      <c r="N63">
        <v>0</v>
      </c>
      <c r="O63" t="s">
        <v>122</v>
      </c>
      <c r="P63" s="1" t="s">
        <v>123</v>
      </c>
      <c r="AF63" s="1" t="s">
        <v>124</v>
      </c>
      <c r="AG63" t="s">
        <v>191</v>
      </c>
      <c r="AH63">
        <v>2000</v>
      </c>
      <c r="AI63" t="s">
        <v>148</v>
      </c>
      <c r="AJ63" t="s">
        <v>969</v>
      </c>
      <c r="AK63" t="s">
        <v>151</v>
      </c>
      <c r="AL63" t="s">
        <v>151</v>
      </c>
      <c r="AM63" t="s">
        <v>162</v>
      </c>
      <c r="AN63" t="s">
        <v>162</v>
      </c>
      <c r="AO63" t="s">
        <v>150</v>
      </c>
      <c r="AP63">
        <v>0</v>
      </c>
      <c r="AQ63" t="s">
        <v>153</v>
      </c>
      <c r="AR63" t="s">
        <v>226</v>
      </c>
      <c r="AS63" t="s">
        <v>802</v>
      </c>
      <c r="AT63" t="s">
        <v>824</v>
      </c>
      <c r="AU63" t="s">
        <v>780</v>
      </c>
      <c r="AV63" t="s">
        <v>230</v>
      </c>
      <c r="AW63" t="s">
        <v>970</v>
      </c>
      <c r="AX63" s="1" t="s">
        <v>123</v>
      </c>
      <c r="CR63" s="1" t="s">
        <v>123</v>
      </c>
      <c r="DB63" s="1" t="s">
        <v>123</v>
      </c>
      <c r="DL63" s="1" t="s">
        <v>123</v>
      </c>
      <c r="EO63" s="1" t="s">
        <v>123</v>
      </c>
      <c r="FO63" s="1" t="s">
        <v>123</v>
      </c>
      <c r="FP63" t="s">
        <v>132</v>
      </c>
      <c r="FR63" t="s">
        <v>132</v>
      </c>
      <c r="GW63" t="s">
        <v>786</v>
      </c>
      <c r="GX63" t="s">
        <v>787</v>
      </c>
      <c r="GY63" t="s">
        <v>807</v>
      </c>
      <c r="GZ63" t="s">
        <v>186</v>
      </c>
      <c r="HA63">
        <v>1968</v>
      </c>
      <c r="HB63" t="s">
        <v>398</v>
      </c>
      <c r="HC63" t="s">
        <v>971</v>
      </c>
      <c r="HD63" t="s">
        <v>972</v>
      </c>
    </row>
    <row r="64" spans="1:213" x14ac:dyDescent="0.45">
      <c r="A64">
        <v>97</v>
      </c>
      <c r="B64">
        <f>_xlfn.IFNA(VLOOKUP(Analiza[[#This Row],[Zakończono wypełnianie]],Zakończone[],2,0),"BRAK")</f>
        <v>60</v>
      </c>
      <c r="C64">
        <f t="shared" si="1"/>
        <v>37</v>
      </c>
      <c r="D64" t="s">
        <v>370</v>
      </c>
      <c r="E64" t="s">
        <v>118</v>
      </c>
      <c r="F64" t="s">
        <v>774</v>
      </c>
      <c r="J64" t="s">
        <v>119</v>
      </c>
      <c r="K64" t="s">
        <v>973</v>
      </c>
      <c r="L64" t="s">
        <v>974</v>
      </c>
      <c r="M64">
        <v>1963</v>
      </c>
      <c r="N64">
        <v>0</v>
      </c>
      <c r="O64" t="s">
        <v>122</v>
      </c>
      <c r="P64" s="1" t="s">
        <v>123</v>
      </c>
      <c r="AF64" s="1" t="s">
        <v>124</v>
      </c>
      <c r="AG64" t="s">
        <v>975</v>
      </c>
      <c r="AH64">
        <v>1996</v>
      </c>
      <c r="AI64" t="s">
        <v>148</v>
      </c>
      <c r="AJ64" t="s">
        <v>601</v>
      </c>
      <c r="AK64" t="s">
        <v>128</v>
      </c>
      <c r="AL64" t="s">
        <v>151</v>
      </c>
      <c r="AM64" t="s">
        <v>169</v>
      </c>
      <c r="AN64" t="s">
        <v>129</v>
      </c>
      <c r="AO64" t="s">
        <v>129</v>
      </c>
      <c r="AP64" t="s">
        <v>976</v>
      </c>
      <c r="AQ64" t="s">
        <v>131</v>
      </c>
      <c r="AR64" t="s">
        <v>131</v>
      </c>
      <c r="AS64" t="s">
        <v>802</v>
      </c>
      <c r="AT64" t="s">
        <v>824</v>
      </c>
      <c r="AU64" t="s">
        <v>977</v>
      </c>
      <c r="AV64" t="s">
        <v>230</v>
      </c>
      <c r="AX64" s="1" t="s">
        <v>123</v>
      </c>
      <c r="CR64" s="1" t="s">
        <v>123</v>
      </c>
      <c r="DB64" s="1" t="s">
        <v>123</v>
      </c>
      <c r="DL64" s="1" t="s">
        <v>123</v>
      </c>
      <c r="EO64" s="1" t="s">
        <v>123</v>
      </c>
      <c r="EP64" t="s">
        <v>178</v>
      </c>
      <c r="EQ64" t="s">
        <v>132</v>
      </c>
      <c r="FO64" s="1" t="s">
        <v>123</v>
      </c>
      <c r="FP64" t="s">
        <v>132</v>
      </c>
      <c r="FR64" t="s">
        <v>132</v>
      </c>
      <c r="GW64" t="s">
        <v>978</v>
      </c>
      <c r="GX64" t="s">
        <v>819</v>
      </c>
      <c r="GY64" t="s">
        <v>979</v>
      </c>
      <c r="GZ64" t="s">
        <v>140</v>
      </c>
      <c r="HA64">
        <v>1962</v>
      </c>
      <c r="HB64" t="s">
        <v>220</v>
      </c>
      <c r="HD64" t="s">
        <v>980</v>
      </c>
      <c r="HE64" t="s">
        <v>386</v>
      </c>
    </row>
    <row r="65" spans="1:213" x14ac:dyDescent="0.45">
      <c r="A65">
        <v>99</v>
      </c>
      <c r="B65">
        <f>_xlfn.IFNA(VLOOKUP(Analiza[[#This Row],[Zakończono wypełnianie]],Zakończone[],2,0),"BRAK")</f>
        <v>61</v>
      </c>
      <c r="C65">
        <f t="shared" si="1"/>
        <v>31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>
        <v>2015</v>
      </c>
      <c r="AI65" t="s">
        <v>148</v>
      </c>
      <c r="AJ65" t="s">
        <v>988</v>
      </c>
      <c r="AK65" t="s">
        <v>169</v>
      </c>
      <c r="AL65" t="s">
        <v>150</v>
      </c>
      <c r="AM65" t="s">
        <v>151</v>
      </c>
      <c r="AN65" t="s">
        <v>151</v>
      </c>
      <c r="AO65" t="s">
        <v>151</v>
      </c>
      <c r="AP65" t="s">
        <v>883</v>
      </c>
      <c r="AQ65" t="s">
        <v>131</v>
      </c>
      <c r="AR65" t="s">
        <v>302</v>
      </c>
      <c r="AT65" t="s">
        <v>989</v>
      </c>
      <c r="AU65" t="s">
        <v>990</v>
      </c>
      <c r="AV65" t="s">
        <v>157</v>
      </c>
      <c r="AX65" s="1" t="s">
        <v>123</v>
      </c>
      <c r="CR65" s="1" t="s">
        <v>123</v>
      </c>
      <c r="DB65" s="1" t="s">
        <v>123</v>
      </c>
      <c r="DL65" s="1" t="s">
        <v>123</v>
      </c>
      <c r="EO65" s="1" t="s">
        <v>123</v>
      </c>
      <c r="FO65" s="1" t="s">
        <v>123</v>
      </c>
      <c r="FP65" t="s">
        <v>132</v>
      </c>
      <c r="GW65" t="s">
        <v>786</v>
      </c>
      <c r="GX65" t="s">
        <v>991</v>
      </c>
      <c r="GY65" t="s">
        <v>820</v>
      </c>
      <c r="GZ65" t="s">
        <v>140</v>
      </c>
      <c r="HA65">
        <v>1991</v>
      </c>
      <c r="HB65" t="s">
        <v>220</v>
      </c>
    </row>
    <row r="66" spans="1:213" x14ac:dyDescent="0.45">
      <c r="A66">
        <v>100</v>
      </c>
      <c r="B66">
        <f>_xlfn.IFNA(VLOOKUP(Analiza[[#This Row],[Zakończono wypełnianie]],Zakończone[],2,0),"BRAK")</f>
        <v>62</v>
      </c>
      <c r="C66">
        <f t="shared" si="1"/>
        <v>37</v>
      </c>
      <c r="D66" t="s">
        <v>984</v>
      </c>
      <c r="E66" t="s">
        <v>118</v>
      </c>
      <c r="F66" t="s">
        <v>992</v>
      </c>
      <c r="J66" t="s">
        <v>119</v>
      </c>
      <c r="K66" t="s">
        <v>993</v>
      </c>
      <c r="L66" t="s">
        <v>994</v>
      </c>
      <c r="M66">
        <v>1026</v>
      </c>
      <c r="N66">
        <v>0</v>
      </c>
      <c r="O66" t="s">
        <v>122</v>
      </c>
      <c r="P66" s="1" t="s">
        <v>123</v>
      </c>
      <c r="AF66" s="1" t="s">
        <v>124</v>
      </c>
      <c r="AG66" t="s">
        <v>995</v>
      </c>
      <c r="AH66">
        <v>2010</v>
      </c>
      <c r="AI66" t="s">
        <v>148</v>
      </c>
      <c r="AJ66" t="s">
        <v>429</v>
      </c>
      <c r="AK66" t="s">
        <v>169</v>
      </c>
      <c r="AL66" t="s">
        <v>169</v>
      </c>
      <c r="AM66" t="s">
        <v>150</v>
      </c>
      <c r="AN66" t="s">
        <v>236</v>
      </c>
      <c r="AO66" t="s">
        <v>128</v>
      </c>
      <c r="AP66" t="s">
        <v>883</v>
      </c>
      <c r="AQ66" t="s">
        <v>152</v>
      </c>
      <c r="AR66" t="s">
        <v>131</v>
      </c>
      <c r="AS66" t="s">
        <v>996</v>
      </c>
      <c r="AT66" t="s">
        <v>794</v>
      </c>
      <c r="AU66" t="s">
        <v>780</v>
      </c>
      <c r="AV66" t="s">
        <v>230</v>
      </c>
      <c r="AX66" s="1" t="s">
        <v>123</v>
      </c>
      <c r="CR66" s="1" t="s">
        <v>123</v>
      </c>
      <c r="DB66" s="1" t="s">
        <v>123</v>
      </c>
      <c r="DL66" s="1" t="s">
        <v>123</v>
      </c>
      <c r="EO66" s="1" t="s">
        <v>123</v>
      </c>
      <c r="EP66" t="s">
        <v>180</v>
      </c>
      <c r="EQ66" t="s">
        <v>132</v>
      </c>
      <c r="FO66" s="1" t="s">
        <v>123</v>
      </c>
      <c r="FP66" t="s">
        <v>132</v>
      </c>
      <c r="FR66" t="s">
        <v>132</v>
      </c>
      <c r="GW66" t="s">
        <v>786</v>
      </c>
      <c r="GX66" t="s">
        <v>819</v>
      </c>
      <c r="GY66" t="s">
        <v>820</v>
      </c>
      <c r="GZ66" t="s">
        <v>186</v>
      </c>
      <c r="HA66">
        <v>1986</v>
      </c>
      <c r="HB66" t="s">
        <v>483</v>
      </c>
      <c r="HD66" t="s">
        <v>386</v>
      </c>
      <c r="HE66" t="s">
        <v>386</v>
      </c>
    </row>
    <row r="67" spans="1:213" x14ac:dyDescent="0.45">
      <c r="A67">
        <v>102</v>
      </c>
      <c r="B67">
        <f>_xlfn.IFNA(VLOOKUP(Analiza[[#This Row],[Zakończono wypełnianie]],Zakończone[],2,0),"BRAK")</f>
        <v>63</v>
      </c>
      <c r="C67">
        <f t="shared" ref="C67:C98" si="2">COUNTA(O67:HF67)</f>
        <v>44</v>
      </c>
      <c r="D67" t="s">
        <v>999</v>
      </c>
      <c r="E67" t="s">
        <v>118</v>
      </c>
      <c r="F67" t="s">
        <v>260</v>
      </c>
      <c r="J67" t="s">
        <v>119</v>
      </c>
      <c r="K67" t="s">
        <v>1000</v>
      </c>
      <c r="L67" t="s">
        <v>1001</v>
      </c>
      <c r="M67">
        <v>18013</v>
      </c>
      <c r="N67">
        <v>0</v>
      </c>
      <c r="O67" t="s">
        <v>122</v>
      </c>
      <c r="P67" s="1" t="s">
        <v>123</v>
      </c>
      <c r="AF67" s="1" t="s">
        <v>124</v>
      </c>
      <c r="AG67" t="s">
        <v>2271</v>
      </c>
      <c r="AH67">
        <v>1996</v>
      </c>
      <c r="AI67" t="s">
        <v>148</v>
      </c>
      <c r="AJ67" t="s">
        <v>1003</v>
      </c>
      <c r="AK67" t="s">
        <v>150</v>
      </c>
      <c r="AL67" t="s">
        <v>150</v>
      </c>
      <c r="AM67" t="s">
        <v>162</v>
      </c>
      <c r="AN67" t="s">
        <v>129</v>
      </c>
      <c r="AO67" t="s">
        <v>236</v>
      </c>
      <c r="AP67">
        <v>1</v>
      </c>
      <c r="AQ67" t="s">
        <v>131</v>
      </c>
      <c r="AR67" t="s">
        <v>153</v>
      </c>
      <c r="AS67" t="s">
        <v>1004</v>
      </c>
      <c r="AT67" t="s">
        <v>1005</v>
      </c>
      <c r="AU67" t="s">
        <v>532</v>
      </c>
      <c r="AV67" t="s">
        <v>157</v>
      </c>
      <c r="AW67" t="s">
        <v>1006</v>
      </c>
      <c r="AX67" s="1" t="s">
        <v>123</v>
      </c>
      <c r="CR67" s="1" t="s">
        <v>123</v>
      </c>
      <c r="DB67" s="1" t="s">
        <v>123</v>
      </c>
      <c r="DL67" s="1" t="s">
        <v>123</v>
      </c>
      <c r="EO67" s="1" t="s">
        <v>177</v>
      </c>
      <c r="EP67" t="s">
        <v>178</v>
      </c>
      <c r="EQ67" t="s">
        <v>132</v>
      </c>
      <c r="ER67" t="s">
        <v>1002</v>
      </c>
      <c r="ES67" t="s">
        <v>236</v>
      </c>
      <c r="ET67" t="s">
        <v>236</v>
      </c>
      <c r="EU67" t="s">
        <v>151</v>
      </c>
      <c r="EV67" t="s">
        <v>178</v>
      </c>
      <c r="EW67" t="s">
        <v>1007</v>
      </c>
      <c r="EX67" t="s">
        <v>1008</v>
      </c>
      <c r="EY67" t="s">
        <v>173</v>
      </c>
      <c r="FO67" s="1" t="s">
        <v>123</v>
      </c>
      <c r="FP67" t="s">
        <v>132</v>
      </c>
      <c r="FR67" t="s">
        <v>132</v>
      </c>
      <c r="GW67" t="s">
        <v>1009</v>
      </c>
      <c r="GX67" t="s">
        <v>1007</v>
      </c>
      <c r="GY67" t="s">
        <v>1009</v>
      </c>
      <c r="GZ67" t="s">
        <v>186</v>
      </c>
      <c r="HA67">
        <v>1966</v>
      </c>
      <c r="HB67" t="s">
        <v>141</v>
      </c>
    </row>
    <row r="68" spans="1:213" x14ac:dyDescent="0.45">
      <c r="A68">
        <v>105</v>
      </c>
      <c r="B68">
        <f>_xlfn.IFNA(VLOOKUP(Analiza[[#This Row],[Zakończono wypełnianie]],Zakończone[],2,0),"BRAK")</f>
        <v>64</v>
      </c>
      <c r="C68">
        <f t="shared" si="2"/>
        <v>35</v>
      </c>
      <c r="D68" t="s">
        <v>1014</v>
      </c>
      <c r="E68" t="s">
        <v>118</v>
      </c>
      <c r="J68" t="s">
        <v>119</v>
      </c>
      <c r="K68" t="s">
        <v>1015</v>
      </c>
      <c r="L68" t="s">
        <v>1016</v>
      </c>
      <c r="M68">
        <v>1293</v>
      </c>
      <c r="N68">
        <v>0</v>
      </c>
      <c r="O68" t="s">
        <v>122</v>
      </c>
      <c r="P68" s="1" t="s">
        <v>123</v>
      </c>
      <c r="AF68" s="1" t="s">
        <v>124</v>
      </c>
      <c r="AG68" t="s">
        <v>223</v>
      </c>
      <c r="AH68">
        <v>2003</v>
      </c>
      <c r="AI68" t="s">
        <v>148</v>
      </c>
      <c r="AJ68" t="s">
        <v>1017</v>
      </c>
      <c r="AK68" t="s">
        <v>128</v>
      </c>
      <c r="AL68" t="s">
        <v>128</v>
      </c>
      <c r="AM68" t="s">
        <v>128</v>
      </c>
      <c r="AN68" t="s">
        <v>236</v>
      </c>
      <c r="AO68" t="s">
        <v>132</v>
      </c>
      <c r="AP68" t="s">
        <v>1018</v>
      </c>
      <c r="AQ68" t="s">
        <v>131</v>
      </c>
      <c r="AR68" t="s">
        <v>131</v>
      </c>
      <c r="AT68" t="s">
        <v>1019</v>
      </c>
      <c r="AU68" t="s">
        <v>1020</v>
      </c>
      <c r="AV68" t="s">
        <v>157</v>
      </c>
      <c r="AX68" s="1" t="s">
        <v>123</v>
      </c>
      <c r="CR68" s="1" t="s">
        <v>123</v>
      </c>
      <c r="DB68" s="1" t="s">
        <v>123</v>
      </c>
      <c r="DL68" s="1" t="s">
        <v>123</v>
      </c>
      <c r="EO68" s="1" t="s">
        <v>123</v>
      </c>
      <c r="EP68" t="s">
        <v>180</v>
      </c>
      <c r="EQ68" t="s">
        <v>132</v>
      </c>
      <c r="FO68" s="1" t="s">
        <v>123</v>
      </c>
      <c r="FP68" t="s">
        <v>132</v>
      </c>
      <c r="FR68" t="s">
        <v>132</v>
      </c>
      <c r="GW68" t="s">
        <v>276</v>
      </c>
      <c r="GX68" t="s">
        <v>1021</v>
      </c>
      <c r="GY68" t="s">
        <v>1022</v>
      </c>
      <c r="GZ68" t="s">
        <v>140</v>
      </c>
      <c r="HA68">
        <v>1980</v>
      </c>
      <c r="HB68" t="s">
        <v>483</v>
      </c>
      <c r="HD68" t="s">
        <v>1023</v>
      </c>
    </row>
    <row r="69" spans="1:213" x14ac:dyDescent="0.45">
      <c r="A69">
        <v>110</v>
      </c>
      <c r="B69">
        <f>_xlfn.IFNA(VLOOKUP(Analiza[[#This Row],[Zakończono wypełnianie]],Zakończone[],2,0),"BRAK")</f>
        <v>65</v>
      </c>
      <c r="C69">
        <f t="shared" si="2"/>
        <v>35</v>
      </c>
      <c r="D69" t="s">
        <v>1033</v>
      </c>
      <c r="E69" t="s">
        <v>118</v>
      </c>
      <c r="F69" t="s">
        <v>1034</v>
      </c>
      <c r="J69" t="s">
        <v>119</v>
      </c>
      <c r="K69" t="s">
        <v>1035</v>
      </c>
      <c r="L69" t="s">
        <v>1036</v>
      </c>
      <c r="M69">
        <v>1167</v>
      </c>
      <c r="N69">
        <v>0</v>
      </c>
      <c r="O69" t="s">
        <v>122</v>
      </c>
      <c r="P69" s="1" t="s">
        <v>123</v>
      </c>
      <c r="AF69" s="1" t="s">
        <v>124</v>
      </c>
      <c r="AG69" t="s">
        <v>1037</v>
      </c>
      <c r="AH69" t="s">
        <v>1038</v>
      </c>
      <c r="AI69" t="s">
        <v>126</v>
      </c>
      <c r="AJ69" t="s">
        <v>1039</v>
      </c>
      <c r="AK69" t="s">
        <v>128</v>
      </c>
      <c r="AL69" t="s">
        <v>151</v>
      </c>
      <c r="AM69" t="s">
        <v>236</v>
      </c>
      <c r="AN69" t="s">
        <v>129</v>
      </c>
      <c r="AO69" t="s">
        <v>129</v>
      </c>
      <c r="AP69">
        <v>5</v>
      </c>
      <c r="AQ69" t="s">
        <v>302</v>
      </c>
      <c r="AR69" t="s">
        <v>302</v>
      </c>
      <c r="AT69" t="s">
        <v>1040</v>
      </c>
      <c r="AU69" t="s">
        <v>1041</v>
      </c>
      <c r="AV69" t="s">
        <v>892</v>
      </c>
      <c r="AW69" t="s">
        <v>1042</v>
      </c>
      <c r="AX69" s="1" t="s">
        <v>123</v>
      </c>
      <c r="CR69" s="1" t="s">
        <v>123</v>
      </c>
      <c r="DB69" s="1" t="s">
        <v>123</v>
      </c>
      <c r="DL69" s="1" t="s">
        <v>123</v>
      </c>
      <c r="EO69" s="1" t="s">
        <v>123</v>
      </c>
      <c r="EP69" t="s">
        <v>180</v>
      </c>
      <c r="EQ69" t="s">
        <v>132</v>
      </c>
      <c r="FO69" s="1" t="s">
        <v>123</v>
      </c>
      <c r="FP69" t="s">
        <v>132</v>
      </c>
      <c r="FR69" t="s">
        <v>132</v>
      </c>
      <c r="GW69" t="s">
        <v>1043</v>
      </c>
      <c r="GX69" t="s">
        <v>1044</v>
      </c>
      <c r="GY69" t="s">
        <v>1045</v>
      </c>
      <c r="GZ69" t="s">
        <v>186</v>
      </c>
      <c r="HA69">
        <v>1982</v>
      </c>
      <c r="HB69" t="s">
        <v>246</v>
      </c>
    </row>
    <row r="70" spans="1:213" x14ac:dyDescent="0.45">
      <c r="A70">
        <v>111</v>
      </c>
      <c r="B70">
        <f>_xlfn.IFNA(VLOOKUP(Analiza[[#This Row],[Zakończono wypełnianie]],Zakończone[],2,0),"BRAK")</f>
        <v>66</v>
      </c>
      <c r="C70">
        <f t="shared" si="2"/>
        <v>37</v>
      </c>
      <c r="D70" t="s">
        <v>1046</v>
      </c>
      <c r="E70" t="s">
        <v>118</v>
      </c>
      <c r="J70" t="s">
        <v>119</v>
      </c>
      <c r="K70" t="s">
        <v>1047</v>
      </c>
      <c r="L70" t="s">
        <v>1048</v>
      </c>
      <c r="M70">
        <v>1978</v>
      </c>
      <c r="N70">
        <v>0</v>
      </c>
      <c r="O70" t="s">
        <v>122</v>
      </c>
      <c r="P70" s="1" t="s">
        <v>123</v>
      </c>
      <c r="AF70" s="1" t="s">
        <v>124</v>
      </c>
      <c r="AG70" t="s">
        <v>1290</v>
      </c>
      <c r="AH70">
        <v>2009</v>
      </c>
      <c r="AI70" t="s">
        <v>148</v>
      </c>
      <c r="AJ70" t="s">
        <v>1050</v>
      </c>
      <c r="AK70" t="s">
        <v>150</v>
      </c>
      <c r="AL70" t="s">
        <v>162</v>
      </c>
      <c r="AM70" t="s">
        <v>169</v>
      </c>
      <c r="AN70" t="s">
        <v>162</v>
      </c>
      <c r="AO70" t="s">
        <v>150</v>
      </c>
      <c r="AP70" t="s">
        <v>1051</v>
      </c>
      <c r="AQ70" t="s">
        <v>302</v>
      </c>
      <c r="AR70" t="s">
        <v>153</v>
      </c>
      <c r="AS70" t="s">
        <v>1052</v>
      </c>
      <c r="AT70" t="s">
        <v>1053</v>
      </c>
      <c r="AU70" t="s">
        <v>1054</v>
      </c>
      <c r="AV70" t="s">
        <v>230</v>
      </c>
      <c r="AW70" t="s">
        <v>1050</v>
      </c>
      <c r="AX70" s="1" t="s">
        <v>123</v>
      </c>
      <c r="CR70" s="1" t="s">
        <v>123</v>
      </c>
      <c r="DB70" s="1" t="s">
        <v>123</v>
      </c>
      <c r="DL70" s="1" t="s">
        <v>123</v>
      </c>
      <c r="EO70" s="1" t="s">
        <v>123</v>
      </c>
      <c r="EP70" t="s">
        <v>180</v>
      </c>
      <c r="EQ70" t="s">
        <v>132</v>
      </c>
      <c r="FO70" s="1" t="s">
        <v>123</v>
      </c>
      <c r="FP70" t="s">
        <v>132</v>
      </c>
      <c r="FR70" t="s">
        <v>132</v>
      </c>
      <c r="GW70" t="s">
        <v>1055</v>
      </c>
      <c r="GX70" t="s">
        <v>1056</v>
      </c>
      <c r="GY70" t="s">
        <v>1057</v>
      </c>
      <c r="GZ70" t="s">
        <v>186</v>
      </c>
      <c r="HA70">
        <v>1978</v>
      </c>
      <c r="HB70" t="s">
        <v>141</v>
      </c>
      <c r="HD70" t="s">
        <v>1058</v>
      </c>
    </row>
    <row r="71" spans="1:213" x14ac:dyDescent="0.45">
      <c r="A71">
        <v>112</v>
      </c>
      <c r="B71" t="str">
        <f>_xlfn.IFNA(VLOOKUP(Analiza[[#This Row],[Zakończono wypełnianie]],Zakończone[],2,0),"BRAK")</f>
        <v>BRAK</v>
      </c>
      <c r="C71">
        <f t="shared" si="2"/>
        <v>25</v>
      </c>
      <c r="D71" t="s">
        <v>1059</v>
      </c>
      <c r="E71" t="s">
        <v>118</v>
      </c>
      <c r="J71" t="s">
        <v>286</v>
      </c>
      <c r="K71" t="s">
        <v>1060</v>
      </c>
      <c r="L71" t="s">
        <v>1060</v>
      </c>
      <c r="M71">
        <v>0</v>
      </c>
      <c r="N71">
        <v>0</v>
      </c>
      <c r="O71" t="s">
        <v>122</v>
      </c>
      <c r="P71" s="1" t="s">
        <v>123</v>
      </c>
      <c r="AF71" s="1" t="s">
        <v>124</v>
      </c>
      <c r="AG71" t="s">
        <v>1061</v>
      </c>
      <c r="AH71">
        <v>2009</v>
      </c>
      <c r="AI71" t="s">
        <v>148</v>
      </c>
      <c r="AJ71" t="s">
        <v>1062</v>
      </c>
      <c r="AK71" t="s">
        <v>169</v>
      </c>
      <c r="AL71" t="s">
        <v>169</v>
      </c>
      <c r="AM71" t="s">
        <v>151</v>
      </c>
      <c r="AN71" t="s">
        <v>150</v>
      </c>
      <c r="AO71" t="s">
        <v>169</v>
      </c>
      <c r="AP71" t="s">
        <v>237</v>
      </c>
      <c r="AQ71" t="s">
        <v>131</v>
      </c>
      <c r="AR71" t="s">
        <v>302</v>
      </c>
      <c r="AT71" t="s">
        <v>1063</v>
      </c>
      <c r="AU71" t="s">
        <v>1064</v>
      </c>
      <c r="AV71" t="s">
        <v>230</v>
      </c>
      <c r="AX71" s="1" t="s">
        <v>123</v>
      </c>
      <c r="CR71" s="1" t="s">
        <v>123</v>
      </c>
      <c r="DB71" s="1" t="s">
        <v>123</v>
      </c>
      <c r="DL71" s="1" t="s">
        <v>123</v>
      </c>
      <c r="EO71" s="1" t="s">
        <v>123</v>
      </c>
      <c r="FO71" s="1" t="s">
        <v>123</v>
      </c>
      <c r="FP71" t="s">
        <v>132</v>
      </c>
    </row>
    <row r="72" spans="1:213" x14ac:dyDescent="0.45">
      <c r="A72">
        <v>113</v>
      </c>
      <c r="B72">
        <f>_xlfn.IFNA(VLOOKUP(Analiza[[#This Row],[Zakończono wypełnianie]],Zakończone[],2,0),"BRAK")</f>
        <v>67</v>
      </c>
      <c r="C72">
        <f t="shared" si="2"/>
        <v>32</v>
      </c>
      <c r="D72" t="s">
        <v>1065</v>
      </c>
      <c r="E72" t="s">
        <v>118</v>
      </c>
      <c r="J72" t="s">
        <v>119</v>
      </c>
      <c r="K72" t="s">
        <v>1066</v>
      </c>
      <c r="L72" t="s">
        <v>1067</v>
      </c>
      <c r="M72">
        <v>2803</v>
      </c>
      <c r="N72">
        <v>0</v>
      </c>
      <c r="O72" t="s">
        <v>122</v>
      </c>
      <c r="P72" s="1" t="s">
        <v>123</v>
      </c>
      <c r="AF72" s="1" t="s">
        <v>124</v>
      </c>
      <c r="AG72" t="s">
        <v>1439</v>
      </c>
      <c r="AH72">
        <v>2019</v>
      </c>
      <c r="AI72" t="s">
        <v>148</v>
      </c>
      <c r="AJ72" t="s">
        <v>1069</v>
      </c>
      <c r="AK72" t="s">
        <v>128</v>
      </c>
      <c r="AL72" t="s">
        <v>151</v>
      </c>
      <c r="AM72" t="s">
        <v>128</v>
      </c>
      <c r="AN72" t="s">
        <v>129</v>
      </c>
      <c r="AO72" t="s">
        <v>132</v>
      </c>
      <c r="AP72" t="s">
        <v>1070</v>
      </c>
      <c r="AQ72" t="s">
        <v>153</v>
      </c>
      <c r="AR72" t="s">
        <v>132</v>
      </c>
      <c r="AT72" t="s">
        <v>1071</v>
      </c>
      <c r="AU72" t="s">
        <v>1072</v>
      </c>
      <c r="AV72" t="s">
        <v>892</v>
      </c>
      <c r="AX72" s="1" t="s">
        <v>123</v>
      </c>
      <c r="CR72" s="1" t="s">
        <v>123</v>
      </c>
      <c r="DB72" s="1" t="s">
        <v>123</v>
      </c>
      <c r="DL72" s="1" t="s">
        <v>123</v>
      </c>
      <c r="EO72" s="1" t="s">
        <v>123</v>
      </c>
      <c r="FO72" s="1" t="s">
        <v>123</v>
      </c>
      <c r="FP72" t="s">
        <v>132</v>
      </c>
      <c r="GW72" t="s">
        <v>1073</v>
      </c>
      <c r="GX72" t="s">
        <v>1074</v>
      </c>
      <c r="GY72" t="s">
        <v>1075</v>
      </c>
      <c r="GZ72" t="s">
        <v>140</v>
      </c>
      <c r="HA72">
        <v>1991</v>
      </c>
      <c r="HB72" t="s">
        <v>398</v>
      </c>
      <c r="HE72" t="s">
        <v>1076</v>
      </c>
    </row>
    <row r="73" spans="1:213" x14ac:dyDescent="0.45">
      <c r="A73">
        <v>114</v>
      </c>
      <c r="B73">
        <f>_xlfn.IFNA(VLOOKUP(Analiza[[#This Row],[Zakończono wypełnianie]],Zakończone[],2,0),"BRAK")</f>
        <v>68</v>
      </c>
      <c r="C73">
        <f t="shared" si="2"/>
        <v>41</v>
      </c>
      <c r="D73" t="s">
        <v>1077</v>
      </c>
      <c r="E73" t="s">
        <v>118</v>
      </c>
      <c r="J73" t="s">
        <v>119</v>
      </c>
      <c r="K73" t="s">
        <v>1078</v>
      </c>
      <c r="L73" t="s">
        <v>1079</v>
      </c>
      <c r="M73">
        <v>862</v>
      </c>
      <c r="N73">
        <v>0</v>
      </c>
      <c r="O73" t="s">
        <v>122</v>
      </c>
      <c r="P73" s="1" t="s">
        <v>123</v>
      </c>
      <c r="AF73" s="1" t="s">
        <v>124</v>
      </c>
      <c r="AG73" t="s">
        <v>223</v>
      </c>
      <c r="AH73">
        <v>2007</v>
      </c>
      <c r="AI73" t="s">
        <v>148</v>
      </c>
      <c r="AJ73" t="s">
        <v>969</v>
      </c>
      <c r="AK73" t="s">
        <v>151</v>
      </c>
      <c r="AL73" t="s">
        <v>151</v>
      </c>
      <c r="AM73" t="s">
        <v>150</v>
      </c>
      <c r="AN73" t="s">
        <v>162</v>
      </c>
      <c r="AO73" t="s">
        <v>150</v>
      </c>
      <c r="AP73" t="s">
        <v>237</v>
      </c>
      <c r="AQ73" t="s">
        <v>131</v>
      </c>
      <c r="AR73" t="s">
        <v>302</v>
      </c>
      <c r="AT73" t="s">
        <v>1080</v>
      </c>
      <c r="AU73" t="s">
        <v>1081</v>
      </c>
      <c r="AV73" t="s">
        <v>230</v>
      </c>
      <c r="AX73" s="1" t="s">
        <v>123</v>
      </c>
      <c r="CR73" s="1" t="s">
        <v>123</v>
      </c>
      <c r="DB73" s="1" t="s">
        <v>123</v>
      </c>
      <c r="DL73" s="1" t="s">
        <v>123</v>
      </c>
      <c r="EO73" s="1" t="s">
        <v>123</v>
      </c>
      <c r="EP73" t="s">
        <v>178</v>
      </c>
      <c r="EQ73" t="s">
        <v>132</v>
      </c>
      <c r="ER73" t="s">
        <v>1082</v>
      </c>
      <c r="ES73" t="s">
        <v>151</v>
      </c>
      <c r="ET73" t="s">
        <v>151</v>
      </c>
      <c r="EU73" t="s">
        <v>151</v>
      </c>
      <c r="EV73" t="s">
        <v>178</v>
      </c>
      <c r="EX73" t="s">
        <v>1083</v>
      </c>
      <c r="EY73" t="s">
        <v>173</v>
      </c>
      <c r="FO73" s="1" t="s">
        <v>123</v>
      </c>
      <c r="FP73" t="s">
        <v>132</v>
      </c>
      <c r="FR73" t="s">
        <v>132</v>
      </c>
      <c r="GW73" t="s">
        <v>1084</v>
      </c>
      <c r="GX73" t="s">
        <v>1085</v>
      </c>
      <c r="GY73" t="s">
        <v>1086</v>
      </c>
      <c r="GZ73" t="s">
        <v>140</v>
      </c>
      <c r="HA73">
        <v>1982</v>
      </c>
      <c r="HB73" t="s">
        <v>141</v>
      </c>
    </row>
    <row r="74" spans="1:213" x14ac:dyDescent="0.45">
      <c r="A74">
        <v>115</v>
      </c>
      <c r="B74">
        <f>_xlfn.IFNA(VLOOKUP(Analiza[[#This Row],[Zakończono wypełnianie]],Zakończone[],2,0),"BRAK")</f>
        <v>69</v>
      </c>
      <c r="C74">
        <f t="shared" si="2"/>
        <v>32</v>
      </c>
      <c r="D74" t="s">
        <v>1087</v>
      </c>
      <c r="E74" t="s">
        <v>118</v>
      </c>
      <c r="J74" t="s">
        <v>119</v>
      </c>
      <c r="K74" t="s">
        <v>1088</v>
      </c>
      <c r="L74" t="s">
        <v>1089</v>
      </c>
      <c r="M74">
        <v>1206</v>
      </c>
      <c r="N74">
        <v>0</v>
      </c>
      <c r="O74" t="s">
        <v>122</v>
      </c>
      <c r="P74" s="1" t="s">
        <v>123</v>
      </c>
      <c r="AF74" s="1" t="s">
        <v>124</v>
      </c>
      <c r="AG74" t="s">
        <v>1090</v>
      </c>
      <c r="AH74">
        <v>2004</v>
      </c>
      <c r="AI74" t="s">
        <v>126</v>
      </c>
      <c r="AJ74" t="s">
        <v>844</v>
      </c>
      <c r="AK74" t="s">
        <v>162</v>
      </c>
      <c r="AL74" t="s">
        <v>162</v>
      </c>
      <c r="AM74" t="s">
        <v>150</v>
      </c>
      <c r="AN74" t="s">
        <v>151</v>
      </c>
      <c r="AO74" t="s">
        <v>150</v>
      </c>
      <c r="AP74" t="s">
        <v>237</v>
      </c>
      <c r="AQ74" t="s">
        <v>302</v>
      </c>
      <c r="AR74" t="s">
        <v>226</v>
      </c>
      <c r="AS74" t="s">
        <v>1091</v>
      </c>
      <c r="AT74" t="s">
        <v>1092</v>
      </c>
      <c r="AU74" t="s">
        <v>1093</v>
      </c>
      <c r="AV74" t="s">
        <v>157</v>
      </c>
      <c r="AX74" s="1" t="s">
        <v>123</v>
      </c>
      <c r="CR74" s="1" t="s">
        <v>123</v>
      </c>
      <c r="DB74" s="1" t="s">
        <v>123</v>
      </c>
      <c r="DL74" s="1" t="s">
        <v>123</v>
      </c>
      <c r="EO74" s="1" t="s">
        <v>123</v>
      </c>
      <c r="FO74" s="1" t="s">
        <v>123</v>
      </c>
      <c r="FP74" t="s">
        <v>132</v>
      </c>
      <c r="GW74" t="s">
        <v>1094</v>
      </c>
      <c r="GX74" t="s">
        <v>1095</v>
      </c>
      <c r="GY74" t="s">
        <v>1096</v>
      </c>
      <c r="GZ74" t="s">
        <v>140</v>
      </c>
      <c r="HA74">
        <v>1976</v>
      </c>
      <c r="HB74" t="s">
        <v>141</v>
      </c>
    </row>
    <row r="75" spans="1:213" x14ac:dyDescent="0.45">
      <c r="A75">
        <v>117</v>
      </c>
      <c r="B75">
        <f>_xlfn.IFNA(VLOOKUP(Analiza[[#This Row],[Zakończono wypełnianie]],Zakończone[],2,0),"BRAK")</f>
        <v>70</v>
      </c>
      <c r="C75">
        <f t="shared" si="2"/>
        <v>30</v>
      </c>
      <c r="D75" t="s">
        <v>1098</v>
      </c>
      <c r="E75" t="s">
        <v>118</v>
      </c>
      <c r="J75" t="s">
        <v>119</v>
      </c>
      <c r="K75" t="s">
        <v>1099</v>
      </c>
      <c r="L75" t="s">
        <v>1100</v>
      </c>
      <c r="M75">
        <v>358</v>
      </c>
      <c r="N75">
        <v>0</v>
      </c>
      <c r="O75" t="s">
        <v>122</v>
      </c>
      <c r="P75" s="1" t="s">
        <v>123</v>
      </c>
      <c r="AF75" s="1" t="s">
        <v>124</v>
      </c>
      <c r="AG75" t="s">
        <v>1090</v>
      </c>
      <c r="AH75">
        <v>2018</v>
      </c>
      <c r="AI75" t="s">
        <v>126</v>
      </c>
      <c r="AJ75" t="s">
        <v>844</v>
      </c>
      <c r="AK75" t="s">
        <v>150</v>
      </c>
      <c r="AL75" t="s">
        <v>151</v>
      </c>
      <c r="AM75" t="s">
        <v>162</v>
      </c>
      <c r="AN75" t="s">
        <v>150</v>
      </c>
      <c r="AO75" t="s">
        <v>132</v>
      </c>
      <c r="AP75">
        <v>1</v>
      </c>
      <c r="AQ75" t="s">
        <v>153</v>
      </c>
      <c r="AR75" t="s">
        <v>132</v>
      </c>
      <c r="AT75" t="s">
        <v>1101</v>
      </c>
      <c r="AU75" t="s">
        <v>1102</v>
      </c>
      <c r="AV75" t="s">
        <v>157</v>
      </c>
      <c r="AX75" s="1" t="s">
        <v>123</v>
      </c>
      <c r="CR75" s="1" t="s">
        <v>123</v>
      </c>
      <c r="DB75" s="1" t="s">
        <v>123</v>
      </c>
      <c r="DL75" s="1" t="s">
        <v>123</v>
      </c>
      <c r="EO75" s="1" t="s">
        <v>123</v>
      </c>
      <c r="FO75" s="1" t="s">
        <v>123</v>
      </c>
      <c r="GW75" t="s">
        <v>1103</v>
      </c>
      <c r="GX75" t="s">
        <v>1104</v>
      </c>
      <c r="GY75" t="s">
        <v>1105</v>
      </c>
      <c r="GZ75" t="s">
        <v>140</v>
      </c>
      <c r="HA75">
        <v>1991</v>
      </c>
      <c r="HB75" t="s">
        <v>141</v>
      </c>
    </row>
    <row r="76" spans="1:213" x14ac:dyDescent="0.45">
      <c r="A76">
        <v>118</v>
      </c>
      <c r="B76" t="str">
        <f>_xlfn.IFNA(VLOOKUP(Analiza[[#This Row],[Zakończono wypełnianie]],Zakończone[],2,0),"BRAK")</f>
        <v>BRAK</v>
      </c>
      <c r="C76">
        <f t="shared" si="2"/>
        <v>18</v>
      </c>
      <c r="D76" t="s">
        <v>1098</v>
      </c>
      <c r="E76" t="s">
        <v>118</v>
      </c>
      <c r="J76" t="s">
        <v>286</v>
      </c>
      <c r="K76" t="s">
        <v>1106</v>
      </c>
      <c r="L76" t="s">
        <v>1106</v>
      </c>
      <c r="M76">
        <v>0</v>
      </c>
      <c r="N76">
        <v>0</v>
      </c>
      <c r="O76" t="s">
        <v>122</v>
      </c>
      <c r="P76" s="1" t="s">
        <v>416</v>
      </c>
      <c r="Q76" t="s">
        <v>1090</v>
      </c>
      <c r="R76" t="s">
        <v>126</v>
      </c>
      <c r="S76" t="s">
        <v>844</v>
      </c>
      <c r="T76" t="s">
        <v>150</v>
      </c>
      <c r="U76" t="s">
        <v>162</v>
      </c>
      <c r="V76" t="s">
        <v>129</v>
      </c>
      <c r="W76">
        <v>12</v>
      </c>
      <c r="X76" t="s">
        <v>302</v>
      </c>
      <c r="Y76" t="s">
        <v>209</v>
      </c>
      <c r="Z76" t="s">
        <v>1108</v>
      </c>
      <c r="AA76" t="s">
        <v>1109</v>
      </c>
      <c r="AB76" t="s">
        <v>1110</v>
      </c>
      <c r="AC76" t="s">
        <v>172</v>
      </c>
      <c r="AE76">
        <v>7</v>
      </c>
      <c r="AF76" s="1" t="s">
        <v>123</v>
      </c>
      <c r="AX76" s="1" t="s">
        <v>123</v>
      </c>
      <c r="CR76" s="1"/>
      <c r="DB76" s="1"/>
      <c r="DL76" s="1"/>
      <c r="EO76" s="1"/>
      <c r="FO76" s="1"/>
    </row>
    <row r="77" spans="1:213" x14ac:dyDescent="0.45">
      <c r="A77">
        <v>119</v>
      </c>
      <c r="B77" t="str">
        <f>_xlfn.IFNA(VLOOKUP(Analiza[[#This Row],[Zakończono wypełnianie]],Zakończone[],2,0),"BRAK")</f>
        <v>BRAK</v>
      </c>
      <c r="C77">
        <f t="shared" si="2"/>
        <v>16</v>
      </c>
      <c r="D77" t="s">
        <v>1098</v>
      </c>
      <c r="E77" t="s">
        <v>118</v>
      </c>
      <c r="J77" t="s">
        <v>286</v>
      </c>
      <c r="K77" t="s">
        <v>1111</v>
      </c>
      <c r="L77" t="s">
        <v>1111</v>
      </c>
      <c r="M77">
        <v>0</v>
      </c>
      <c r="N77">
        <v>0</v>
      </c>
      <c r="O77" t="s">
        <v>122</v>
      </c>
      <c r="P77" s="1" t="s">
        <v>123</v>
      </c>
      <c r="AF77" s="1" t="s">
        <v>124</v>
      </c>
      <c r="AG77" t="s">
        <v>1090</v>
      </c>
      <c r="AH77">
        <v>2001</v>
      </c>
      <c r="AI77" t="s">
        <v>126</v>
      </c>
      <c r="AJ77" t="s">
        <v>844</v>
      </c>
      <c r="AK77" t="s">
        <v>162</v>
      </c>
      <c r="AL77" t="s">
        <v>162</v>
      </c>
      <c r="AM77" t="s">
        <v>151</v>
      </c>
      <c r="AN77" t="s">
        <v>162</v>
      </c>
      <c r="AO77" t="s">
        <v>151</v>
      </c>
      <c r="AP77">
        <v>1</v>
      </c>
      <c r="AQ77" t="s">
        <v>302</v>
      </c>
      <c r="AR77" t="s">
        <v>153</v>
      </c>
      <c r="AV77" t="s">
        <v>172</v>
      </c>
      <c r="AX77" s="1"/>
      <c r="CR77" s="1"/>
      <c r="DB77" s="1"/>
      <c r="DL77" s="1"/>
      <c r="EO77" s="1"/>
      <c r="FO77" s="1"/>
    </row>
    <row r="78" spans="1:213" x14ac:dyDescent="0.45">
      <c r="A78">
        <v>121</v>
      </c>
      <c r="B78" t="str">
        <f>_xlfn.IFNA(VLOOKUP(Analiza[[#This Row],[Zakończono wypełnianie]],Zakończone[],2,0),"BRAK")</f>
        <v>BRAK</v>
      </c>
      <c r="C78">
        <f t="shared" si="2"/>
        <v>68</v>
      </c>
      <c r="D78" t="s">
        <v>1098</v>
      </c>
      <c r="E78" t="s">
        <v>118</v>
      </c>
      <c r="J78" t="s">
        <v>286</v>
      </c>
      <c r="K78" t="s">
        <v>1113</v>
      </c>
      <c r="L78" t="s">
        <v>1113</v>
      </c>
      <c r="M78">
        <v>0</v>
      </c>
      <c r="N78">
        <v>0</v>
      </c>
      <c r="O78" t="s">
        <v>122</v>
      </c>
      <c r="P78" s="1" t="s">
        <v>123</v>
      </c>
      <c r="AF78" s="1" t="s">
        <v>124</v>
      </c>
      <c r="AG78" t="s">
        <v>1114</v>
      </c>
      <c r="AH78">
        <v>1977</v>
      </c>
      <c r="AI78" t="s">
        <v>126</v>
      </c>
      <c r="AJ78" t="s">
        <v>1115</v>
      </c>
      <c r="AK78" t="s">
        <v>169</v>
      </c>
      <c r="AL78" t="s">
        <v>150</v>
      </c>
      <c r="AM78" t="s">
        <v>151</v>
      </c>
      <c r="AN78" t="s">
        <v>236</v>
      </c>
      <c r="AO78" t="s">
        <v>236</v>
      </c>
      <c r="AP78" t="s">
        <v>1116</v>
      </c>
      <c r="AQ78" t="s">
        <v>131</v>
      </c>
      <c r="AR78" t="s">
        <v>302</v>
      </c>
      <c r="AS78" t="s">
        <v>1117</v>
      </c>
      <c r="AT78" t="s">
        <v>1118</v>
      </c>
      <c r="AU78" t="s">
        <v>1119</v>
      </c>
      <c r="AV78" t="s">
        <v>157</v>
      </c>
      <c r="AX78" s="1" t="s">
        <v>159</v>
      </c>
      <c r="AY78">
        <v>2</v>
      </c>
      <c r="AZ78" t="s">
        <v>428</v>
      </c>
      <c r="BA78">
        <v>2002</v>
      </c>
      <c r="BB78" t="s">
        <v>148</v>
      </c>
      <c r="BC78" t="s">
        <v>1121</v>
      </c>
      <c r="BD78" t="s">
        <v>150</v>
      </c>
      <c r="BE78" t="s">
        <v>150</v>
      </c>
      <c r="BF78" t="s">
        <v>150</v>
      </c>
      <c r="BG78" t="s">
        <v>129</v>
      </c>
      <c r="BH78" t="s">
        <v>129</v>
      </c>
      <c r="BI78" t="s">
        <v>1122</v>
      </c>
      <c r="BJ78" t="s">
        <v>1123</v>
      </c>
      <c r="BK78" t="s">
        <v>157</v>
      </c>
      <c r="BN78" t="s">
        <v>166</v>
      </c>
      <c r="BO78" t="s">
        <v>1124</v>
      </c>
      <c r="BP78">
        <v>2012</v>
      </c>
      <c r="BQ78" t="s">
        <v>148</v>
      </c>
      <c r="BR78" t="s">
        <v>1125</v>
      </c>
      <c r="BS78" t="s">
        <v>150</v>
      </c>
      <c r="BT78" t="s">
        <v>169</v>
      </c>
      <c r="BU78" t="s">
        <v>151</v>
      </c>
      <c r="BV78" t="s">
        <v>236</v>
      </c>
      <c r="BW78" t="s">
        <v>151</v>
      </c>
      <c r="BX78" t="s">
        <v>1126</v>
      </c>
      <c r="BY78" t="s">
        <v>1127</v>
      </c>
      <c r="BZ78" t="s">
        <v>230</v>
      </c>
      <c r="CC78" t="s">
        <v>173</v>
      </c>
      <c r="CR78" s="1" t="s">
        <v>123</v>
      </c>
      <c r="DB78" s="1" t="s">
        <v>214</v>
      </c>
      <c r="DC78" t="s">
        <v>1114</v>
      </c>
      <c r="DD78" t="s">
        <v>1128</v>
      </c>
      <c r="DE78" t="s">
        <v>150</v>
      </c>
      <c r="DF78" t="s">
        <v>162</v>
      </c>
      <c r="DG78" t="s">
        <v>151</v>
      </c>
      <c r="DH78" t="s">
        <v>150</v>
      </c>
      <c r="DI78" t="s">
        <v>150</v>
      </c>
      <c r="DJ78" t="s">
        <v>150</v>
      </c>
      <c r="DK78" t="s">
        <v>1129</v>
      </c>
      <c r="DL78" s="1" t="s">
        <v>174</v>
      </c>
      <c r="DP78" t="s">
        <v>175</v>
      </c>
      <c r="DQ78" t="s">
        <v>1130</v>
      </c>
      <c r="DR78" t="s">
        <v>162</v>
      </c>
      <c r="DS78" t="s">
        <v>150</v>
      </c>
      <c r="DT78" t="s">
        <v>151</v>
      </c>
      <c r="DU78" t="s">
        <v>151</v>
      </c>
      <c r="DV78" t="s">
        <v>150</v>
      </c>
      <c r="DW78" t="s">
        <v>162</v>
      </c>
      <c r="DX78" t="s">
        <v>162</v>
      </c>
      <c r="EO78" s="1"/>
      <c r="FO78" s="1"/>
    </row>
    <row r="79" spans="1:213" x14ac:dyDescent="0.45">
      <c r="A79">
        <v>122</v>
      </c>
      <c r="B79">
        <f>_xlfn.IFNA(VLOOKUP(Analiza[[#This Row],[Zakończono wypełnianie]],Zakończone[],2,0),"BRAK")</f>
        <v>71</v>
      </c>
      <c r="C79">
        <f t="shared" si="2"/>
        <v>32</v>
      </c>
      <c r="D79" t="s">
        <v>1131</v>
      </c>
      <c r="E79" t="s">
        <v>118</v>
      </c>
      <c r="J79" t="s">
        <v>119</v>
      </c>
      <c r="K79" t="s">
        <v>1132</v>
      </c>
      <c r="L79" t="s">
        <v>1133</v>
      </c>
      <c r="M79">
        <v>3215</v>
      </c>
      <c r="N79">
        <v>0</v>
      </c>
      <c r="O79" t="s">
        <v>122</v>
      </c>
      <c r="P79" s="1" t="s">
        <v>123</v>
      </c>
      <c r="AF79" s="1" t="s">
        <v>124</v>
      </c>
      <c r="AG79" t="s">
        <v>191</v>
      </c>
      <c r="AH79">
        <v>2015</v>
      </c>
      <c r="AI79" t="s">
        <v>126</v>
      </c>
      <c r="AJ79" t="s">
        <v>1134</v>
      </c>
      <c r="AK79" t="s">
        <v>128</v>
      </c>
      <c r="AL79" t="s">
        <v>151</v>
      </c>
      <c r="AM79" t="s">
        <v>169</v>
      </c>
      <c r="AN79" t="s">
        <v>162</v>
      </c>
      <c r="AO79" t="s">
        <v>150</v>
      </c>
      <c r="AP79">
        <v>1</v>
      </c>
      <c r="AQ79" t="s">
        <v>302</v>
      </c>
      <c r="AR79" t="s">
        <v>226</v>
      </c>
      <c r="AS79" t="s">
        <v>1135</v>
      </c>
      <c r="AT79" t="s">
        <v>1136</v>
      </c>
      <c r="AU79" t="s">
        <v>1137</v>
      </c>
      <c r="AV79" t="s">
        <v>172</v>
      </c>
      <c r="AX79" s="1" t="s">
        <v>123</v>
      </c>
      <c r="CR79" s="1" t="s">
        <v>123</v>
      </c>
      <c r="DB79" s="1" t="s">
        <v>123</v>
      </c>
      <c r="DL79" s="1" t="s">
        <v>123</v>
      </c>
      <c r="EO79" s="1" t="s">
        <v>123</v>
      </c>
      <c r="FO79" s="1" t="s">
        <v>123</v>
      </c>
      <c r="GW79" t="s">
        <v>1138</v>
      </c>
      <c r="GX79" t="s">
        <v>1139</v>
      </c>
      <c r="GY79" t="s">
        <v>1140</v>
      </c>
      <c r="GZ79" t="s">
        <v>186</v>
      </c>
      <c r="HA79">
        <v>1991</v>
      </c>
      <c r="HB79" t="s">
        <v>141</v>
      </c>
      <c r="HD79" t="s">
        <v>1141</v>
      </c>
    </row>
    <row r="80" spans="1:213" x14ac:dyDescent="0.45">
      <c r="A80">
        <v>123</v>
      </c>
      <c r="B80">
        <f>_xlfn.IFNA(VLOOKUP(Analiza[[#This Row],[Zakończono wypełnianie]],Zakończone[],2,0),"BRAK")</f>
        <v>72</v>
      </c>
      <c r="C80">
        <f t="shared" si="2"/>
        <v>32</v>
      </c>
      <c r="D80" t="s">
        <v>1142</v>
      </c>
      <c r="E80" t="s">
        <v>118</v>
      </c>
      <c r="J80" t="s">
        <v>119</v>
      </c>
      <c r="K80" t="s">
        <v>1143</v>
      </c>
      <c r="L80" t="s">
        <v>1144</v>
      </c>
      <c r="M80">
        <v>258</v>
      </c>
      <c r="N80">
        <v>0</v>
      </c>
      <c r="O80" t="s">
        <v>122</v>
      </c>
      <c r="P80" s="1" t="s">
        <v>123</v>
      </c>
      <c r="AF80" s="1" t="s">
        <v>124</v>
      </c>
      <c r="AG80" t="s">
        <v>1439</v>
      </c>
      <c r="AH80">
        <v>2016</v>
      </c>
      <c r="AI80" t="s">
        <v>126</v>
      </c>
      <c r="AJ80" t="s">
        <v>1146</v>
      </c>
      <c r="AK80" t="s">
        <v>150</v>
      </c>
      <c r="AL80" t="s">
        <v>150</v>
      </c>
      <c r="AM80" t="s">
        <v>169</v>
      </c>
      <c r="AN80" t="s">
        <v>169</v>
      </c>
      <c r="AO80" t="s">
        <v>169</v>
      </c>
      <c r="AP80">
        <v>3</v>
      </c>
      <c r="AQ80" t="s">
        <v>302</v>
      </c>
      <c r="AR80" t="s">
        <v>943</v>
      </c>
      <c r="AT80" t="s">
        <v>1147</v>
      </c>
      <c r="AU80" t="s">
        <v>1148</v>
      </c>
      <c r="AV80" t="s">
        <v>892</v>
      </c>
      <c r="AX80" s="1" t="s">
        <v>123</v>
      </c>
      <c r="CR80" s="1" t="s">
        <v>123</v>
      </c>
      <c r="DB80" s="1" t="s">
        <v>123</v>
      </c>
      <c r="DL80" s="1" t="s">
        <v>123</v>
      </c>
      <c r="EO80" s="1" t="s">
        <v>123</v>
      </c>
      <c r="EP80" t="s">
        <v>178</v>
      </c>
      <c r="EQ80">
        <v>1</v>
      </c>
      <c r="FO80" s="1" t="s">
        <v>123</v>
      </c>
      <c r="GW80" t="s">
        <v>1149</v>
      </c>
      <c r="GX80" t="s">
        <v>1149</v>
      </c>
      <c r="GY80" t="s">
        <v>1150</v>
      </c>
      <c r="GZ80" t="s">
        <v>186</v>
      </c>
      <c r="HA80">
        <v>1986</v>
      </c>
      <c r="HB80" t="s">
        <v>398</v>
      </c>
    </row>
    <row r="81" spans="1:213" x14ac:dyDescent="0.45">
      <c r="A81">
        <v>124</v>
      </c>
      <c r="B81">
        <f>_xlfn.IFNA(VLOOKUP(Analiza[[#This Row],[Zakończono wypełnianie]],Zakończone[],2,0),"BRAK")</f>
        <v>73</v>
      </c>
      <c r="C81">
        <f t="shared" si="2"/>
        <v>34</v>
      </c>
      <c r="D81" t="s">
        <v>1151</v>
      </c>
      <c r="E81" t="s">
        <v>118</v>
      </c>
      <c r="F81" t="s">
        <v>1152</v>
      </c>
      <c r="J81" t="s">
        <v>119</v>
      </c>
      <c r="K81" t="s">
        <v>1153</v>
      </c>
      <c r="L81" t="s">
        <v>1154</v>
      </c>
      <c r="M81">
        <v>1159</v>
      </c>
      <c r="N81">
        <v>0</v>
      </c>
      <c r="O81" t="s">
        <v>122</v>
      </c>
      <c r="P81" s="1" t="s">
        <v>123</v>
      </c>
      <c r="AF81" s="1" t="s">
        <v>124</v>
      </c>
      <c r="AG81" t="s">
        <v>191</v>
      </c>
      <c r="AH81">
        <v>2018</v>
      </c>
      <c r="AI81" t="s">
        <v>126</v>
      </c>
      <c r="AJ81" t="s">
        <v>969</v>
      </c>
      <c r="AK81" t="s">
        <v>150</v>
      </c>
      <c r="AL81" t="s">
        <v>150</v>
      </c>
      <c r="AM81" t="s">
        <v>162</v>
      </c>
      <c r="AN81" t="s">
        <v>128</v>
      </c>
      <c r="AO81" t="s">
        <v>151</v>
      </c>
      <c r="AP81" t="s">
        <v>530</v>
      </c>
      <c r="AQ81" t="s">
        <v>131</v>
      </c>
      <c r="AR81" t="s">
        <v>302</v>
      </c>
      <c r="AS81" t="s">
        <v>1155</v>
      </c>
      <c r="AT81" t="s">
        <v>1156</v>
      </c>
      <c r="AU81" t="s">
        <v>1157</v>
      </c>
      <c r="AV81" t="s">
        <v>230</v>
      </c>
      <c r="AW81" t="s">
        <v>1158</v>
      </c>
      <c r="AX81" s="1" t="s">
        <v>123</v>
      </c>
      <c r="CR81" s="1" t="s">
        <v>123</v>
      </c>
      <c r="DB81" s="1" t="s">
        <v>123</v>
      </c>
      <c r="DL81" s="1" t="s">
        <v>123</v>
      </c>
      <c r="EO81" s="1" t="s">
        <v>123</v>
      </c>
      <c r="FO81" s="1" t="s">
        <v>123</v>
      </c>
      <c r="GW81" t="s">
        <v>1159</v>
      </c>
      <c r="GX81" t="s">
        <v>1160</v>
      </c>
      <c r="GY81" t="s">
        <v>1161</v>
      </c>
      <c r="GZ81" t="s">
        <v>140</v>
      </c>
      <c r="HA81">
        <v>1991</v>
      </c>
      <c r="HB81" t="s">
        <v>483</v>
      </c>
      <c r="HD81" t="s">
        <v>1162</v>
      </c>
      <c r="HE81" t="s">
        <v>142</v>
      </c>
    </row>
    <row r="82" spans="1:213" x14ac:dyDescent="0.45">
      <c r="A82">
        <v>125</v>
      </c>
      <c r="B82">
        <f>_xlfn.IFNA(VLOOKUP(Analiza[[#This Row],[Zakończono wypełnianie]],Zakończone[],2,0),"BRAK")</f>
        <v>74</v>
      </c>
      <c r="C82">
        <f t="shared" si="2"/>
        <v>79</v>
      </c>
      <c r="D82" t="s">
        <v>1163</v>
      </c>
      <c r="E82" t="s">
        <v>118</v>
      </c>
      <c r="J82" t="s">
        <v>119</v>
      </c>
      <c r="K82" t="s">
        <v>1164</v>
      </c>
      <c r="L82" t="s">
        <v>1165</v>
      </c>
      <c r="M82">
        <v>982</v>
      </c>
      <c r="N82">
        <v>0</v>
      </c>
      <c r="O82" t="s">
        <v>122</v>
      </c>
      <c r="P82" s="1" t="s">
        <v>123</v>
      </c>
      <c r="AF82" s="1" t="s">
        <v>124</v>
      </c>
      <c r="AG82" t="s">
        <v>191</v>
      </c>
      <c r="AH82">
        <v>1978</v>
      </c>
      <c r="AI82" t="s">
        <v>148</v>
      </c>
      <c r="AJ82" t="s">
        <v>1167</v>
      </c>
      <c r="AK82" t="s">
        <v>169</v>
      </c>
      <c r="AL82" t="s">
        <v>169</v>
      </c>
      <c r="AM82" t="s">
        <v>169</v>
      </c>
      <c r="AN82" t="s">
        <v>150</v>
      </c>
      <c r="AO82" t="s">
        <v>150</v>
      </c>
      <c r="AP82" t="s">
        <v>1168</v>
      </c>
      <c r="AQ82" t="s">
        <v>132</v>
      </c>
      <c r="AR82" t="s">
        <v>132</v>
      </c>
      <c r="AS82" t="s">
        <v>1169</v>
      </c>
      <c r="AT82" t="s">
        <v>1170</v>
      </c>
      <c r="AU82" t="s">
        <v>132</v>
      </c>
      <c r="AW82" t="s">
        <v>1171</v>
      </c>
      <c r="AX82" s="1" t="s">
        <v>159</v>
      </c>
      <c r="AY82">
        <v>1</v>
      </c>
      <c r="AZ82" t="s">
        <v>1290</v>
      </c>
      <c r="BA82">
        <v>2020</v>
      </c>
      <c r="BB82" t="s">
        <v>148</v>
      </c>
      <c r="BC82" t="s">
        <v>1050</v>
      </c>
      <c r="BD82" t="s">
        <v>132</v>
      </c>
      <c r="BE82" t="s">
        <v>132</v>
      </c>
      <c r="BF82" t="s">
        <v>132</v>
      </c>
      <c r="BG82" t="s">
        <v>132</v>
      </c>
      <c r="BH82" t="s">
        <v>132</v>
      </c>
      <c r="BI82" t="s">
        <v>1173</v>
      </c>
      <c r="BJ82" t="s">
        <v>1174</v>
      </c>
      <c r="BK82" t="s">
        <v>230</v>
      </c>
      <c r="BM82" t="s">
        <v>1175</v>
      </c>
      <c r="BN82" t="s">
        <v>173</v>
      </c>
      <c r="CR82" s="1" t="s">
        <v>123</v>
      </c>
      <c r="DB82" s="1" t="s">
        <v>214</v>
      </c>
      <c r="DC82" t="s">
        <v>191</v>
      </c>
      <c r="DD82" t="s">
        <v>308</v>
      </c>
      <c r="DE82" t="s">
        <v>169</v>
      </c>
      <c r="DF82" t="s">
        <v>162</v>
      </c>
      <c r="DG82" t="s">
        <v>150</v>
      </c>
      <c r="DH82" t="s">
        <v>169</v>
      </c>
      <c r="DI82" t="s">
        <v>150</v>
      </c>
      <c r="DJ82" t="s">
        <v>150</v>
      </c>
      <c r="DK82" t="s">
        <v>1177</v>
      </c>
      <c r="DL82" s="1" t="s">
        <v>174</v>
      </c>
      <c r="DO82" t="s">
        <v>1178</v>
      </c>
      <c r="DQ82" t="s">
        <v>747</v>
      </c>
      <c r="DR82" t="s">
        <v>150</v>
      </c>
      <c r="DS82" t="s">
        <v>150</v>
      </c>
      <c r="DT82" t="s">
        <v>150</v>
      </c>
      <c r="DU82" t="s">
        <v>150</v>
      </c>
      <c r="DV82" t="s">
        <v>162</v>
      </c>
      <c r="DW82" t="s">
        <v>162</v>
      </c>
      <c r="DX82" t="s">
        <v>162</v>
      </c>
      <c r="DY82">
        <v>25</v>
      </c>
      <c r="DZ82">
        <v>10</v>
      </c>
      <c r="EA82">
        <v>0</v>
      </c>
      <c r="EB82">
        <v>10</v>
      </c>
      <c r="EC82">
        <v>25</v>
      </c>
      <c r="ED82">
        <v>15</v>
      </c>
      <c r="EE82">
        <v>15</v>
      </c>
      <c r="EG82">
        <v>10</v>
      </c>
      <c r="EH82">
        <v>10</v>
      </c>
      <c r="EI82">
        <v>0</v>
      </c>
      <c r="EJ82">
        <v>10</v>
      </c>
      <c r="EK82">
        <v>50</v>
      </c>
      <c r="EL82">
        <v>10</v>
      </c>
      <c r="EM82">
        <v>10</v>
      </c>
      <c r="EO82" s="1" t="s">
        <v>123</v>
      </c>
      <c r="FO82" s="1" t="s">
        <v>123</v>
      </c>
      <c r="GW82" t="s">
        <v>1179</v>
      </c>
      <c r="GX82" t="s">
        <v>1180</v>
      </c>
      <c r="GY82" t="s">
        <v>1181</v>
      </c>
      <c r="GZ82" t="s">
        <v>186</v>
      </c>
      <c r="HA82" t="s">
        <v>1182</v>
      </c>
      <c r="HB82" t="s">
        <v>141</v>
      </c>
      <c r="HD82" t="s">
        <v>1183</v>
      </c>
    </row>
    <row r="83" spans="1:213" x14ac:dyDescent="0.45">
      <c r="A83">
        <v>126</v>
      </c>
      <c r="B83">
        <f>_xlfn.IFNA(VLOOKUP(Analiza[[#This Row],[Zakończono wypełnianie]],Zakończone[],2,0),"BRAK")</f>
        <v>75</v>
      </c>
      <c r="C83">
        <f t="shared" si="2"/>
        <v>31</v>
      </c>
      <c r="D83" t="s">
        <v>1151</v>
      </c>
      <c r="E83" t="s">
        <v>118</v>
      </c>
      <c r="F83" t="s">
        <v>359</v>
      </c>
      <c r="J83" t="s">
        <v>119</v>
      </c>
      <c r="K83" t="s">
        <v>1184</v>
      </c>
      <c r="L83" t="s">
        <v>1185</v>
      </c>
      <c r="M83">
        <v>739</v>
      </c>
      <c r="N83">
        <v>0</v>
      </c>
      <c r="O83" t="s">
        <v>122</v>
      </c>
      <c r="P83" s="1" t="s">
        <v>123</v>
      </c>
      <c r="AF83" s="1" t="s">
        <v>124</v>
      </c>
      <c r="AG83" t="s">
        <v>191</v>
      </c>
      <c r="AH83">
        <v>2018</v>
      </c>
      <c r="AI83" t="s">
        <v>126</v>
      </c>
      <c r="AJ83" t="s">
        <v>1186</v>
      </c>
      <c r="AK83" t="s">
        <v>151</v>
      </c>
      <c r="AL83" t="s">
        <v>162</v>
      </c>
      <c r="AM83" t="s">
        <v>169</v>
      </c>
      <c r="AN83" t="s">
        <v>150</v>
      </c>
      <c r="AO83" t="s">
        <v>132</v>
      </c>
      <c r="AP83" t="s">
        <v>959</v>
      </c>
      <c r="AQ83" t="s">
        <v>302</v>
      </c>
      <c r="AR83" t="s">
        <v>226</v>
      </c>
      <c r="AS83" t="s">
        <v>1187</v>
      </c>
      <c r="AT83" t="s">
        <v>1188</v>
      </c>
      <c r="AU83" t="s">
        <v>1189</v>
      </c>
      <c r="AV83" t="s">
        <v>172</v>
      </c>
      <c r="AX83" s="1" t="s">
        <v>123</v>
      </c>
      <c r="CR83" s="1" t="s">
        <v>123</v>
      </c>
      <c r="DB83" s="1" t="s">
        <v>123</v>
      </c>
      <c r="DL83" s="1" t="s">
        <v>123</v>
      </c>
      <c r="EO83" s="1" t="s">
        <v>123</v>
      </c>
      <c r="FO83" s="1" t="s">
        <v>123</v>
      </c>
      <c r="GW83" t="s">
        <v>276</v>
      </c>
      <c r="GX83" t="s">
        <v>1190</v>
      </c>
      <c r="GY83" t="s">
        <v>1191</v>
      </c>
      <c r="GZ83" t="s">
        <v>186</v>
      </c>
      <c r="HA83">
        <v>1991</v>
      </c>
      <c r="HB83" t="s">
        <v>141</v>
      </c>
    </row>
    <row r="84" spans="1:213" x14ac:dyDescent="0.45">
      <c r="A84">
        <v>127</v>
      </c>
      <c r="B84">
        <f>_xlfn.IFNA(VLOOKUP(Analiza[[#This Row],[Zakończono wypełnianie]],Zakończone[],2,0),"BRAK")</f>
        <v>76</v>
      </c>
      <c r="C84">
        <f t="shared" si="2"/>
        <v>42</v>
      </c>
      <c r="D84" t="s">
        <v>1192</v>
      </c>
      <c r="E84" t="s">
        <v>118</v>
      </c>
      <c r="J84" t="s">
        <v>119</v>
      </c>
      <c r="K84" t="s">
        <v>1193</v>
      </c>
      <c r="L84" t="s">
        <v>1194</v>
      </c>
      <c r="M84">
        <v>1676</v>
      </c>
      <c r="N84">
        <v>0</v>
      </c>
      <c r="O84" t="s">
        <v>122</v>
      </c>
      <c r="P84" s="1" t="s">
        <v>123</v>
      </c>
      <c r="AF84" s="1" t="s">
        <v>124</v>
      </c>
      <c r="AG84" t="s">
        <v>223</v>
      </c>
      <c r="AH84">
        <v>1998</v>
      </c>
      <c r="AI84" t="s">
        <v>148</v>
      </c>
      <c r="AJ84" t="s">
        <v>1195</v>
      </c>
      <c r="AK84" t="s">
        <v>162</v>
      </c>
      <c r="AL84" t="s">
        <v>151</v>
      </c>
      <c r="AM84" t="s">
        <v>151</v>
      </c>
      <c r="AN84" t="s">
        <v>236</v>
      </c>
      <c r="AO84" t="s">
        <v>151</v>
      </c>
      <c r="AP84">
        <v>0</v>
      </c>
      <c r="AQ84" t="s">
        <v>131</v>
      </c>
      <c r="AR84" t="s">
        <v>302</v>
      </c>
      <c r="AS84" t="s">
        <v>1196</v>
      </c>
      <c r="AT84" t="s">
        <v>1196</v>
      </c>
      <c r="AU84" t="s">
        <v>1197</v>
      </c>
      <c r="AV84" t="s">
        <v>157</v>
      </c>
      <c r="AX84" s="1" t="s">
        <v>123</v>
      </c>
      <c r="CR84" s="1" t="s">
        <v>123</v>
      </c>
      <c r="DB84" s="1" t="s">
        <v>123</v>
      </c>
      <c r="DL84" s="1" t="s">
        <v>123</v>
      </c>
      <c r="EO84" s="1" t="s">
        <v>177</v>
      </c>
      <c r="EP84" t="s">
        <v>180</v>
      </c>
      <c r="EQ84" t="s">
        <v>132</v>
      </c>
      <c r="ER84" t="s">
        <v>132</v>
      </c>
      <c r="ES84" t="s">
        <v>151</v>
      </c>
      <c r="ET84" t="s">
        <v>151</v>
      </c>
      <c r="EU84" t="s">
        <v>151</v>
      </c>
      <c r="EV84" t="s">
        <v>178</v>
      </c>
      <c r="EW84" t="s">
        <v>132</v>
      </c>
      <c r="EX84" t="s">
        <v>132</v>
      </c>
      <c r="EY84" t="s">
        <v>173</v>
      </c>
      <c r="FO84" s="1" t="s">
        <v>123</v>
      </c>
      <c r="GW84" t="s">
        <v>1198</v>
      </c>
      <c r="GX84" t="s">
        <v>1199</v>
      </c>
      <c r="GY84" t="s">
        <v>1198</v>
      </c>
      <c r="GZ84" t="s">
        <v>186</v>
      </c>
      <c r="HA84">
        <v>1974</v>
      </c>
      <c r="HB84" t="s">
        <v>141</v>
      </c>
      <c r="HC84" t="s">
        <v>313</v>
      </c>
    </row>
    <row r="85" spans="1:213" x14ac:dyDescent="0.45">
      <c r="A85">
        <v>128</v>
      </c>
      <c r="B85">
        <f>_xlfn.IFNA(VLOOKUP(Analiza[[#This Row],[Zakończono wypełnianie]],Zakończone[],2,0),"BRAK")</f>
        <v>77</v>
      </c>
      <c r="C85">
        <f t="shared" si="2"/>
        <v>43</v>
      </c>
      <c r="D85" t="s">
        <v>1200</v>
      </c>
      <c r="E85" t="s">
        <v>118</v>
      </c>
      <c r="J85" t="s">
        <v>119</v>
      </c>
      <c r="K85" t="s">
        <v>1201</v>
      </c>
      <c r="L85" t="s">
        <v>1202</v>
      </c>
      <c r="M85">
        <v>658</v>
      </c>
      <c r="N85">
        <v>0</v>
      </c>
      <c r="O85" t="s">
        <v>122</v>
      </c>
      <c r="P85" s="1" t="s">
        <v>123</v>
      </c>
      <c r="AF85" s="1" t="s">
        <v>123</v>
      </c>
      <c r="AX85" s="1" t="s">
        <v>123</v>
      </c>
      <c r="CR85" s="1" t="s">
        <v>123</v>
      </c>
      <c r="DB85" s="1" t="s">
        <v>214</v>
      </c>
      <c r="DC85" t="s">
        <v>191</v>
      </c>
      <c r="DD85" t="s">
        <v>308</v>
      </c>
      <c r="DE85" t="s">
        <v>162</v>
      </c>
      <c r="DF85" t="s">
        <v>162</v>
      </c>
      <c r="DG85" t="s">
        <v>150</v>
      </c>
      <c r="DH85" t="s">
        <v>150</v>
      </c>
      <c r="DI85" t="s">
        <v>150</v>
      </c>
      <c r="DJ85" t="s">
        <v>169</v>
      </c>
      <c r="DK85" t="s">
        <v>1203</v>
      </c>
      <c r="DL85" s="1" t="s">
        <v>123</v>
      </c>
      <c r="EO85" s="1" t="s">
        <v>177</v>
      </c>
      <c r="EP85" t="s">
        <v>178</v>
      </c>
      <c r="EQ85">
        <v>2</v>
      </c>
      <c r="ER85" t="s">
        <v>191</v>
      </c>
      <c r="ES85" t="s">
        <v>169</v>
      </c>
      <c r="ET85" t="s">
        <v>169</v>
      </c>
      <c r="EU85" t="s">
        <v>169</v>
      </c>
      <c r="EV85" t="s">
        <v>178</v>
      </c>
      <c r="EW85" t="s">
        <v>1204</v>
      </c>
      <c r="EX85" t="s">
        <v>1205</v>
      </c>
      <c r="EY85" t="s">
        <v>1206</v>
      </c>
      <c r="EZ85" t="s">
        <v>223</v>
      </c>
      <c r="FA85" t="s">
        <v>128</v>
      </c>
      <c r="FB85" t="s">
        <v>236</v>
      </c>
      <c r="FC85" t="s">
        <v>129</v>
      </c>
      <c r="FD85" t="s">
        <v>178</v>
      </c>
      <c r="FE85" t="s">
        <v>960</v>
      </c>
      <c r="FF85" t="s">
        <v>1207</v>
      </c>
      <c r="FG85" t="s">
        <v>173</v>
      </c>
      <c r="FO85" s="1" t="s">
        <v>123</v>
      </c>
      <c r="GW85" t="s">
        <v>1208</v>
      </c>
      <c r="GX85" t="s">
        <v>1209</v>
      </c>
      <c r="GY85" t="s">
        <v>1210</v>
      </c>
      <c r="GZ85" t="s">
        <v>186</v>
      </c>
      <c r="HA85">
        <v>1987</v>
      </c>
      <c r="HB85" t="s">
        <v>141</v>
      </c>
      <c r="HD85" t="s">
        <v>191</v>
      </c>
    </row>
    <row r="86" spans="1:213" x14ac:dyDescent="0.45">
      <c r="A86">
        <v>129</v>
      </c>
      <c r="B86">
        <f>_xlfn.IFNA(VLOOKUP(Analiza[[#This Row],[Zakończono wypełnianie]],Zakończone[],2,0),"BRAK")</f>
        <v>78</v>
      </c>
      <c r="C86">
        <f t="shared" si="2"/>
        <v>31</v>
      </c>
      <c r="D86" t="s">
        <v>1211</v>
      </c>
      <c r="E86" t="s">
        <v>118</v>
      </c>
      <c r="F86" t="s">
        <v>1152</v>
      </c>
      <c r="J86" t="s">
        <v>119</v>
      </c>
      <c r="K86" t="s">
        <v>1212</v>
      </c>
      <c r="L86" t="s">
        <v>1213</v>
      </c>
      <c r="M86">
        <v>808</v>
      </c>
      <c r="N86">
        <v>0</v>
      </c>
      <c r="O86" t="s">
        <v>122</v>
      </c>
      <c r="P86" s="1" t="s">
        <v>123</v>
      </c>
      <c r="AF86" s="1" t="s">
        <v>124</v>
      </c>
      <c r="AG86" t="s">
        <v>428</v>
      </c>
      <c r="AH86">
        <v>1998</v>
      </c>
      <c r="AI86" t="s">
        <v>148</v>
      </c>
      <c r="AJ86" t="s">
        <v>1215</v>
      </c>
      <c r="AK86" t="s">
        <v>150</v>
      </c>
      <c r="AL86" t="s">
        <v>150</v>
      </c>
      <c r="AM86" t="s">
        <v>151</v>
      </c>
      <c r="AN86" t="s">
        <v>129</v>
      </c>
      <c r="AO86" t="s">
        <v>128</v>
      </c>
      <c r="AP86" t="s">
        <v>1216</v>
      </c>
      <c r="AQ86" t="s">
        <v>131</v>
      </c>
      <c r="AR86" t="s">
        <v>131</v>
      </c>
      <c r="AS86" t="s">
        <v>1217</v>
      </c>
      <c r="AT86" t="s">
        <v>1218</v>
      </c>
      <c r="AU86" t="s">
        <v>1219</v>
      </c>
      <c r="AW86" t="s">
        <v>1220</v>
      </c>
      <c r="AX86" s="1" t="s">
        <v>123</v>
      </c>
      <c r="CR86" s="1" t="s">
        <v>123</v>
      </c>
      <c r="DB86" s="1" t="s">
        <v>123</v>
      </c>
      <c r="DL86" s="1" t="s">
        <v>123</v>
      </c>
      <c r="EO86" s="1" t="s">
        <v>123</v>
      </c>
      <c r="FO86" s="1" t="s">
        <v>123</v>
      </c>
      <c r="GW86" t="s">
        <v>1221</v>
      </c>
      <c r="GX86" t="s">
        <v>1222</v>
      </c>
      <c r="GY86" t="s">
        <v>1223</v>
      </c>
      <c r="GZ86" t="s">
        <v>186</v>
      </c>
      <c r="HA86">
        <v>1973</v>
      </c>
      <c r="HB86" t="s">
        <v>141</v>
      </c>
    </row>
    <row r="87" spans="1:213" x14ac:dyDescent="0.45">
      <c r="A87">
        <v>130</v>
      </c>
      <c r="B87">
        <f>_xlfn.IFNA(VLOOKUP(Analiza[[#This Row],[Zakończono wypełnianie]],Zakończone[],2,0),"BRAK")</f>
        <v>79</v>
      </c>
      <c r="C87">
        <f t="shared" si="2"/>
        <v>81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>
        <v>1985</v>
      </c>
      <c r="AI87" t="s">
        <v>148</v>
      </c>
      <c r="AJ87" t="s">
        <v>391</v>
      </c>
      <c r="AK87" t="s">
        <v>150</v>
      </c>
      <c r="AL87" t="s">
        <v>150</v>
      </c>
      <c r="AM87" t="s">
        <v>169</v>
      </c>
      <c r="AN87" t="s">
        <v>236</v>
      </c>
      <c r="AO87" t="s">
        <v>236</v>
      </c>
      <c r="AP87">
        <v>0</v>
      </c>
      <c r="AQ87" t="s">
        <v>152</v>
      </c>
      <c r="AR87" t="s">
        <v>152</v>
      </c>
      <c r="AS87" t="s">
        <v>1228</v>
      </c>
      <c r="AT87" t="s">
        <v>1229</v>
      </c>
      <c r="AU87" t="s">
        <v>1229</v>
      </c>
      <c r="AV87" t="s">
        <v>157</v>
      </c>
      <c r="AX87" s="1" t="s">
        <v>159</v>
      </c>
      <c r="AY87">
        <v>2</v>
      </c>
      <c r="AZ87" t="s">
        <v>1230</v>
      </c>
      <c r="BA87">
        <v>2005</v>
      </c>
      <c r="BB87" t="s">
        <v>148</v>
      </c>
      <c r="BC87" t="s">
        <v>1231</v>
      </c>
      <c r="BD87" t="s">
        <v>169</v>
      </c>
      <c r="BE87" t="s">
        <v>169</v>
      </c>
      <c r="BF87" t="s">
        <v>169</v>
      </c>
      <c r="BG87" t="s">
        <v>236</v>
      </c>
      <c r="BH87" t="s">
        <v>236</v>
      </c>
      <c r="BI87">
        <v>0</v>
      </c>
      <c r="BJ87" t="s">
        <v>1232</v>
      </c>
      <c r="BK87" t="s">
        <v>157</v>
      </c>
      <c r="BN87" t="s">
        <v>166</v>
      </c>
      <c r="BO87" t="s">
        <v>1233</v>
      </c>
      <c r="BP87">
        <v>2008</v>
      </c>
      <c r="BQ87" t="s">
        <v>148</v>
      </c>
      <c r="BR87" t="s">
        <v>1234</v>
      </c>
      <c r="BS87" t="s">
        <v>169</v>
      </c>
      <c r="BT87" t="s">
        <v>169</v>
      </c>
      <c r="BU87" t="s">
        <v>169</v>
      </c>
      <c r="BV87" t="s">
        <v>128</v>
      </c>
      <c r="BW87" t="s">
        <v>162</v>
      </c>
      <c r="BX87" t="s">
        <v>1235</v>
      </c>
      <c r="BY87" t="s">
        <v>1236</v>
      </c>
      <c r="BZ87" t="s">
        <v>157</v>
      </c>
      <c r="CC87" t="s">
        <v>173</v>
      </c>
      <c r="CR87" s="1" t="s">
        <v>123</v>
      </c>
      <c r="DB87" s="1" t="s">
        <v>123</v>
      </c>
      <c r="DL87" s="1" t="s">
        <v>174</v>
      </c>
      <c r="DM87" t="s">
        <v>394</v>
      </c>
      <c r="DQ87" t="s">
        <v>1230</v>
      </c>
      <c r="DR87" t="s">
        <v>150</v>
      </c>
      <c r="DS87" t="s">
        <v>150</v>
      </c>
      <c r="DT87" t="s">
        <v>150</v>
      </c>
      <c r="DU87" t="s">
        <v>150</v>
      </c>
      <c r="DV87" t="s">
        <v>150</v>
      </c>
      <c r="DW87" t="s">
        <v>169</v>
      </c>
      <c r="DX87" t="s">
        <v>150</v>
      </c>
      <c r="DY87">
        <v>20</v>
      </c>
      <c r="DZ87">
        <v>5</v>
      </c>
      <c r="EA87">
        <v>0</v>
      </c>
      <c r="EB87">
        <v>30</v>
      </c>
      <c r="EC87">
        <v>25</v>
      </c>
      <c r="ED87">
        <v>10</v>
      </c>
      <c r="EE87">
        <v>10</v>
      </c>
      <c r="EG87">
        <v>10</v>
      </c>
      <c r="EH87">
        <v>5</v>
      </c>
      <c r="EI87">
        <v>0</v>
      </c>
      <c r="EJ87">
        <v>25</v>
      </c>
      <c r="EK87">
        <v>25</v>
      </c>
      <c r="EL87">
        <v>5</v>
      </c>
      <c r="EM87">
        <v>30</v>
      </c>
      <c r="EO87" s="1" t="s">
        <v>123</v>
      </c>
      <c r="FO87" s="1" t="s">
        <v>123</v>
      </c>
      <c r="GW87" t="s">
        <v>1237</v>
      </c>
      <c r="GX87" t="s">
        <v>1229</v>
      </c>
      <c r="GY87" t="s">
        <v>1229</v>
      </c>
      <c r="GZ87" t="s">
        <v>140</v>
      </c>
      <c r="HA87">
        <v>1958</v>
      </c>
      <c r="HB87" t="s">
        <v>141</v>
      </c>
    </row>
    <row r="88" spans="1:213" x14ac:dyDescent="0.45">
      <c r="A88">
        <v>131</v>
      </c>
      <c r="B88">
        <f>_xlfn.IFNA(VLOOKUP(Analiza[[#This Row],[Zakończono wypełnianie]],Zakończone[],2,0),"BRAK")</f>
        <v>80</v>
      </c>
      <c r="C88">
        <f t="shared" si="2"/>
        <v>35</v>
      </c>
      <c r="D88" t="s">
        <v>1238</v>
      </c>
      <c r="E88" t="s">
        <v>118</v>
      </c>
      <c r="J88" t="s">
        <v>119</v>
      </c>
      <c r="K88" t="s">
        <v>1239</v>
      </c>
      <c r="L88" t="s">
        <v>1240</v>
      </c>
      <c r="M88">
        <v>356</v>
      </c>
      <c r="N88">
        <v>0</v>
      </c>
      <c r="O88" t="s">
        <v>122</v>
      </c>
      <c r="P88" s="1" t="s">
        <v>123</v>
      </c>
      <c r="AF88" s="1" t="s">
        <v>124</v>
      </c>
      <c r="AG88" t="s">
        <v>223</v>
      </c>
      <c r="AH88">
        <v>1997</v>
      </c>
      <c r="AI88" t="s">
        <v>148</v>
      </c>
      <c r="AJ88" t="s">
        <v>161</v>
      </c>
      <c r="AK88" t="s">
        <v>128</v>
      </c>
      <c r="AL88" t="s">
        <v>128</v>
      </c>
      <c r="AM88" t="s">
        <v>162</v>
      </c>
      <c r="AN88" t="s">
        <v>162</v>
      </c>
      <c r="AO88" t="s">
        <v>162</v>
      </c>
      <c r="AP88">
        <v>1</v>
      </c>
      <c r="AQ88" t="s">
        <v>131</v>
      </c>
      <c r="AR88" t="s">
        <v>131</v>
      </c>
      <c r="AS88" t="s">
        <v>1241</v>
      </c>
      <c r="AT88" t="s">
        <v>1242</v>
      </c>
      <c r="AU88" t="s">
        <v>1243</v>
      </c>
      <c r="AV88" t="s">
        <v>157</v>
      </c>
      <c r="AW88" t="s">
        <v>1244</v>
      </c>
      <c r="AX88" s="1" t="s">
        <v>123</v>
      </c>
      <c r="CR88" s="1" t="s">
        <v>123</v>
      </c>
      <c r="DB88" s="1" t="s">
        <v>123</v>
      </c>
      <c r="DL88" s="1" t="s">
        <v>123</v>
      </c>
      <c r="EO88" s="1" t="s">
        <v>123</v>
      </c>
      <c r="EP88" t="s">
        <v>178</v>
      </c>
      <c r="EQ88" t="s">
        <v>132</v>
      </c>
      <c r="FO88" s="1" t="s">
        <v>123</v>
      </c>
      <c r="GW88" t="s">
        <v>1245</v>
      </c>
      <c r="GX88" t="s">
        <v>1246</v>
      </c>
      <c r="GY88" t="s">
        <v>1247</v>
      </c>
      <c r="GZ88" t="s">
        <v>186</v>
      </c>
      <c r="HA88">
        <v>1974</v>
      </c>
      <c r="HB88" t="s">
        <v>398</v>
      </c>
      <c r="HD88" t="s">
        <v>1248</v>
      </c>
    </row>
    <row r="89" spans="1:213" x14ac:dyDescent="0.45">
      <c r="A89">
        <v>133</v>
      </c>
      <c r="B89">
        <f>_xlfn.IFNA(VLOOKUP(Analiza[[#This Row],[Zakończono wypełnianie]],Zakończone[],2,0),"BRAK")</f>
        <v>81</v>
      </c>
      <c r="C89">
        <f t="shared" si="2"/>
        <v>41</v>
      </c>
      <c r="D89" t="s">
        <v>1251</v>
      </c>
      <c r="E89" t="s">
        <v>118</v>
      </c>
      <c r="J89" t="s">
        <v>119</v>
      </c>
      <c r="K89" t="s">
        <v>1252</v>
      </c>
      <c r="L89" t="s">
        <v>1253</v>
      </c>
      <c r="M89">
        <v>367</v>
      </c>
      <c r="N89">
        <v>0</v>
      </c>
      <c r="O89" t="s">
        <v>122</v>
      </c>
      <c r="P89" s="1" t="s">
        <v>123</v>
      </c>
      <c r="AF89" s="1" t="s">
        <v>124</v>
      </c>
      <c r="AG89" t="s">
        <v>223</v>
      </c>
      <c r="AH89">
        <v>2006</v>
      </c>
      <c r="AI89" t="s">
        <v>148</v>
      </c>
      <c r="AJ89" t="s">
        <v>1050</v>
      </c>
      <c r="AK89" t="s">
        <v>162</v>
      </c>
      <c r="AL89" t="s">
        <v>162</v>
      </c>
      <c r="AM89" t="s">
        <v>169</v>
      </c>
      <c r="AN89" t="s">
        <v>236</v>
      </c>
      <c r="AO89" t="s">
        <v>151</v>
      </c>
      <c r="AP89">
        <v>3</v>
      </c>
      <c r="AQ89" t="s">
        <v>131</v>
      </c>
      <c r="AR89" t="s">
        <v>302</v>
      </c>
      <c r="AS89" t="s">
        <v>1254</v>
      </c>
      <c r="AT89" t="s">
        <v>1255</v>
      </c>
      <c r="AU89" t="s">
        <v>1256</v>
      </c>
      <c r="AV89" t="s">
        <v>157</v>
      </c>
      <c r="AW89" t="s">
        <v>1257</v>
      </c>
      <c r="AX89" s="1" t="s">
        <v>123</v>
      </c>
      <c r="CR89" s="1" t="s">
        <v>123</v>
      </c>
      <c r="DB89" s="1" t="s">
        <v>214</v>
      </c>
      <c r="DC89" t="s">
        <v>191</v>
      </c>
      <c r="DD89" t="s">
        <v>308</v>
      </c>
      <c r="DE89" t="s">
        <v>169</v>
      </c>
      <c r="DF89" t="s">
        <v>150</v>
      </c>
      <c r="DG89" t="s">
        <v>150</v>
      </c>
      <c r="DH89" t="s">
        <v>169</v>
      </c>
      <c r="DI89" t="s">
        <v>162</v>
      </c>
      <c r="DJ89" t="s">
        <v>162</v>
      </c>
      <c r="DK89" t="s">
        <v>1258</v>
      </c>
      <c r="DL89" s="1" t="s">
        <v>123</v>
      </c>
      <c r="EO89" s="1" t="s">
        <v>123</v>
      </c>
      <c r="FO89" s="1" t="s">
        <v>123</v>
      </c>
      <c r="GW89" t="s">
        <v>1259</v>
      </c>
      <c r="GX89" t="s">
        <v>1260</v>
      </c>
      <c r="GY89" t="s">
        <v>1261</v>
      </c>
      <c r="GZ89" t="s">
        <v>186</v>
      </c>
      <c r="HA89">
        <v>1982</v>
      </c>
      <c r="HB89" t="s">
        <v>141</v>
      </c>
    </row>
    <row r="90" spans="1:213" x14ac:dyDescent="0.45">
      <c r="A90">
        <v>135</v>
      </c>
      <c r="B90">
        <f>_xlfn.IFNA(VLOOKUP(Analiza[[#This Row],[Zakończono wypełnianie]],Zakończone[],2,0),"BRAK")</f>
        <v>82</v>
      </c>
      <c r="C90">
        <f t="shared" si="2"/>
        <v>67</v>
      </c>
      <c r="D90" t="s">
        <v>1264</v>
      </c>
      <c r="E90" t="s">
        <v>118</v>
      </c>
      <c r="F90" t="s">
        <v>1265</v>
      </c>
      <c r="J90" t="s">
        <v>119</v>
      </c>
      <c r="K90" t="s">
        <v>1266</v>
      </c>
      <c r="L90" t="s">
        <v>1267</v>
      </c>
      <c r="M90">
        <v>2127</v>
      </c>
      <c r="N90">
        <v>0</v>
      </c>
      <c r="O90" t="s">
        <v>122</v>
      </c>
      <c r="P90" s="1" t="s">
        <v>123</v>
      </c>
      <c r="AF90" s="1" t="s">
        <v>124</v>
      </c>
      <c r="AG90" t="s">
        <v>191</v>
      </c>
      <c r="AH90">
        <v>1982</v>
      </c>
      <c r="AI90" t="s">
        <v>126</v>
      </c>
      <c r="AJ90" t="s">
        <v>1268</v>
      </c>
      <c r="AK90" t="s">
        <v>169</v>
      </c>
      <c r="AL90" t="s">
        <v>169</v>
      </c>
      <c r="AM90" t="s">
        <v>169</v>
      </c>
      <c r="AN90" t="s">
        <v>169</v>
      </c>
      <c r="AO90" t="s">
        <v>169</v>
      </c>
      <c r="AP90">
        <v>0</v>
      </c>
      <c r="AQ90" t="s">
        <v>153</v>
      </c>
      <c r="AR90" t="s">
        <v>759</v>
      </c>
      <c r="AS90" t="s">
        <v>1269</v>
      </c>
      <c r="AT90" t="s">
        <v>1270</v>
      </c>
      <c r="AU90" t="s">
        <v>386</v>
      </c>
      <c r="AW90" t="s">
        <v>1271</v>
      </c>
      <c r="AX90" s="1" t="s">
        <v>159</v>
      </c>
      <c r="AY90">
        <v>1</v>
      </c>
      <c r="AZ90" t="s">
        <v>1290</v>
      </c>
      <c r="BA90">
        <v>2011</v>
      </c>
      <c r="BB90" t="s">
        <v>148</v>
      </c>
      <c r="BC90" t="s">
        <v>1050</v>
      </c>
      <c r="BD90" t="s">
        <v>169</v>
      </c>
      <c r="BE90" t="s">
        <v>169</v>
      </c>
      <c r="BF90" t="s">
        <v>169</v>
      </c>
      <c r="BG90" t="s">
        <v>169</v>
      </c>
      <c r="BH90" t="s">
        <v>169</v>
      </c>
      <c r="BI90" t="s">
        <v>1273</v>
      </c>
      <c r="BJ90" t="s">
        <v>1274</v>
      </c>
      <c r="BK90" t="s">
        <v>157</v>
      </c>
      <c r="BM90" t="s">
        <v>1275</v>
      </c>
      <c r="BN90" t="s">
        <v>173</v>
      </c>
      <c r="CR90" s="1" t="s">
        <v>123</v>
      </c>
      <c r="DB90" s="1" t="s">
        <v>214</v>
      </c>
      <c r="DC90" t="s">
        <v>191</v>
      </c>
      <c r="DD90" t="s">
        <v>1276</v>
      </c>
      <c r="DE90" t="s">
        <v>169</v>
      </c>
      <c r="DF90" t="s">
        <v>169</v>
      </c>
      <c r="DG90" t="s">
        <v>169</v>
      </c>
      <c r="DH90" t="s">
        <v>150</v>
      </c>
      <c r="DI90" t="s">
        <v>169</v>
      </c>
      <c r="DJ90" t="s">
        <v>169</v>
      </c>
      <c r="DK90" t="s">
        <v>1277</v>
      </c>
      <c r="DL90" s="1" t="s">
        <v>123</v>
      </c>
      <c r="EO90" s="1" t="s">
        <v>177</v>
      </c>
      <c r="EP90" t="s">
        <v>178</v>
      </c>
      <c r="EQ90">
        <v>1</v>
      </c>
      <c r="ER90" t="s">
        <v>747</v>
      </c>
      <c r="ES90" t="s">
        <v>169</v>
      </c>
      <c r="ET90" t="s">
        <v>169</v>
      </c>
      <c r="EU90" t="s">
        <v>151</v>
      </c>
      <c r="EV90" t="s">
        <v>178</v>
      </c>
      <c r="EW90" t="s">
        <v>1278</v>
      </c>
      <c r="EX90" t="s">
        <v>1279</v>
      </c>
      <c r="EY90" t="s">
        <v>173</v>
      </c>
      <c r="FO90" s="1" t="s">
        <v>123</v>
      </c>
      <c r="GW90" t="s">
        <v>1280</v>
      </c>
      <c r="GX90" t="s">
        <v>1281</v>
      </c>
      <c r="GY90" t="s">
        <v>1282</v>
      </c>
      <c r="GZ90" t="s">
        <v>186</v>
      </c>
      <c r="HA90" t="s">
        <v>1283</v>
      </c>
      <c r="HB90" t="s">
        <v>398</v>
      </c>
      <c r="HD90" t="s">
        <v>1284</v>
      </c>
      <c r="HE90" t="s">
        <v>1285</v>
      </c>
    </row>
    <row r="91" spans="1:213" x14ac:dyDescent="0.45">
      <c r="A91">
        <v>137</v>
      </c>
      <c r="B91">
        <f>_xlfn.IFNA(VLOOKUP(Analiza[[#This Row],[Zakończono wypełnianie]],Zakończone[],2,0),"BRAK")</f>
        <v>83</v>
      </c>
      <c r="C91">
        <f t="shared" si="2"/>
        <v>43</v>
      </c>
      <c r="D91" t="s">
        <v>1142</v>
      </c>
      <c r="E91" t="s">
        <v>118</v>
      </c>
      <c r="J91" t="s">
        <v>119</v>
      </c>
      <c r="K91" t="s">
        <v>1288</v>
      </c>
      <c r="L91" t="s">
        <v>1289</v>
      </c>
      <c r="M91">
        <v>1208727</v>
      </c>
      <c r="N91">
        <v>0</v>
      </c>
      <c r="O91" t="s">
        <v>122</v>
      </c>
      <c r="P91" s="1" t="s">
        <v>123</v>
      </c>
      <c r="AF91" s="1" t="s">
        <v>124</v>
      </c>
      <c r="AG91" t="s">
        <v>1290</v>
      </c>
      <c r="AH91">
        <v>2012</v>
      </c>
      <c r="AI91" t="s">
        <v>148</v>
      </c>
      <c r="AJ91" t="s">
        <v>1050</v>
      </c>
      <c r="AK91" t="s">
        <v>162</v>
      </c>
      <c r="AL91" t="s">
        <v>151</v>
      </c>
      <c r="AM91" t="s">
        <v>162</v>
      </c>
      <c r="AN91" t="s">
        <v>151</v>
      </c>
      <c r="AO91" t="s">
        <v>128</v>
      </c>
      <c r="AP91" t="s">
        <v>237</v>
      </c>
      <c r="AQ91" t="s">
        <v>132</v>
      </c>
      <c r="AR91" t="s">
        <v>132</v>
      </c>
      <c r="AS91" t="s">
        <v>1291</v>
      </c>
      <c r="AT91" t="s">
        <v>1292</v>
      </c>
      <c r="AU91" t="s">
        <v>1293</v>
      </c>
      <c r="AV91" t="s">
        <v>892</v>
      </c>
      <c r="AX91" s="1" t="s">
        <v>123</v>
      </c>
      <c r="CR91" s="1" t="s">
        <v>123</v>
      </c>
      <c r="DB91" s="1" t="s">
        <v>123</v>
      </c>
      <c r="DL91" s="1" t="s">
        <v>123</v>
      </c>
      <c r="EO91" s="1" t="s">
        <v>177</v>
      </c>
      <c r="EP91" t="s">
        <v>178</v>
      </c>
      <c r="EQ91" t="s">
        <v>132</v>
      </c>
      <c r="ER91" t="s">
        <v>191</v>
      </c>
      <c r="ES91" t="s">
        <v>162</v>
      </c>
      <c r="ET91" t="s">
        <v>151</v>
      </c>
      <c r="EU91" t="s">
        <v>128</v>
      </c>
      <c r="EV91" t="s">
        <v>178</v>
      </c>
      <c r="EW91" t="s">
        <v>1294</v>
      </c>
      <c r="EX91" t="s">
        <v>1295</v>
      </c>
      <c r="EY91" t="s">
        <v>173</v>
      </c>
      <c r="FO91" s="1" t="s">
        <v>123</v>
      </c>
      <c r="GW91" t="s">
        <v>1296</v>
      </c>
      <c r="GX91" t="s">
        <v>1297</v>
      </c>
      <c r="GY91" t="s">
        <v>1298</v>
      </c>
      <c r="GZ91" t="s">
        <v>186</v>
      </c>
      <c r="HA91">
        <v>1987</v>
      </c>
      <c r="HB91" t="s">
        <v>246</v>
      </c>
      <c r="HD91" t="s">
        <v>1299</v>
      </c>
      <c r="HE91" t="s">
        <v>1300</v>
      </c>
    </row>
    <row r="92" spans="1:213" x14ac:dyDescent="0.45">
      <c r="A92">
        <v>139</v>
      </c>
      <c r="B92">
        <f>_xlfn.IFNA(VLOOKUP(Analiza[[#This Row],[Zakończono wypełnianie]],Zakończone[],2,0),"BRAK")</f>
        <v>84</v>
      </c>
      <c r="C92">
        <f t="shared" si="2"/>
        <v>47</v>
      </c>
      <c r="D92" t="s">
        <v>1302</v>
      </c>
      <c r="E92" t="s">
        <v>118</v>
      </c>
      <c r="J92" t="s">
        <v>119</v>
      </c>
      <c r="K92" t="s">
        <v>1303</v>
      </c>
      <c r="L92" t="s">
        <v>1304</v>
      </c>
      <c r="M92">
        <v>558</v>
      </c>
      <c r="N92">
        <v>0</v>
      </c>
      <c r="O92" t="s">
        <v>122</v>
      </c>
      <c r="P92" s="1" t="s">
        <v>416</v>
      </c>
      <c r="Q92" t="s">
        <v>191</v>
      </c>
      <c r="R92" t="s">
        <v>126</v>
      </c>
      <c r="S92" t="s">
        <v>1305</v>
      </c>
      <c r="T92" t="s">
        <v>162</v>
      </c>
      <c r="U92" t="s">
        <v>128</v>
      </c>
      <c r="V92" t="s">
        <v>150</v>
      </c>
      <c r="W92" t="s">
        <v>1306</v>
      </c>
      <c r="X92" t="s">
        <v>153</v>
      </c>
      <c r="Y92" t="s">
        <v>759</v>
      </c>
      <c r="Z92" t="s">
        <v>1307</v>
      </c>
      <c r="AA92" t="s">
        <v>1308</v>
      </c>
      <c r="AB92" t="s">
        <v>1309</v>
      </c>
      <c r="AC92" t="s">
        <v>230</v>
      </c>
      <c r="AE92">
        <v>2</v>
      </c>
      <c r="AF92" s="1" t="s">
        <v>124</v>
      </c>
      <c r="AG92" t="s">
        <v>191</v>
      </c>
      <c r="AH92">
        <v>2015</v>
      </c>
      <c r="AI92" t="s">
        <v>126</v>
      </c>
      <c r="AJ92" t="s">
        <v>1312</v>
      </c>
      <c r="AK92" t="s">
        <v>162</v>
      </c>
      <c r="AL92" t="s">
        <v>128</v>
      </c>
      <c r="AM92" t="s">
        <v>162</v>
      </c>
      <c r="AN92" t="s">
        <v>162</v>
      </c>
      <c r="AO92" t="s">
        <v>162</v>
      </c>
      <c r="AP92" t="s">
        <v>237</v>
      </c>
      <c r="AQ92" t="s">
        <v>302</v>
      </c>
      <c r="AR92" t="s">
        <v>153</v>
      </c>
      <c r="AS92" t="s">
        <v>1313</v>
      </c>
      <c r="AT92" t="s">
        <v>1314</v>
      </c>
      <c r="AU92" t="s">
        <v>1315</v>
      </c>
      <c r="AV92" t="s">
        <v>172</v>
      </c>
      <c r="AX92" s="1" t="s">
        <v>123</v>
      </c>
      <c r="CR92" s="1" t="s">
        <v>123</v>
      </c>
      <c r="DB92" s="1" t="s">
        <v>123</v>
      </c>
      <c r="DL92" s="1" t="s">
        <v>123</v>
      </c>
      <c r="EO92" s="1" t="s">
        <v>123</v>
      </c>
      <c r="FO92" s="1" t="s">
        <v>123</v>
      </c>
      <c r="GW92" t="s">
        <v>1316</v>
      </c>
      <c r="GX92" t="s">
        <v>1317</v>
      </c>
      <c r="GY92" t="s">
        <v>1318</v>
      </c>
      <c r="GZ92" t="s">
        <v>186</v>
      </c>
      <c r="HA92">
        <v>1992</v>
      </c>
      <c r="HB92" t="s">
        <v>398</v>
      </c>
      <c r="HD92" t="s">
        <v>1319</v>
      </c>
      <c r="HE92" t="s">
        <v>1320</v>
      </c>
    </row>
    <row r="93" spans="1:213" x14ac:dyDescent="0.45">
      <c r="A93">
        <v>141</v>
      </c>
      <c r="B93">
        <f>_xlfn.IFNA(VLOOKUP(Analiza[[#This Row],[Zakończono wypełnianie]],Zakończone[],2,0),"BRAK")</f>
        <v>85</v>
      </c>
      <c r="C93">
        <f t="shared" si="2"/>
        <v>34</v>
      </c>
      <c r="D93" t="s">
        <v>1322</v>
      </c>
      <c r="E93" t="s">
        <v>118</v>
      </c>
      <c r="J93" t="s">
        <v>119</v>
      </c>
      <c r="K93" t="s">
        <v>1323</v>
      </c>
      <c r="L93" t="s">
        <v>1324</v>
      </c>
      <c r="M93">
        <v>767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>
        <v>2018</v>
      </c>
      <c r="AI93" t="s">
        <v>126</v>
      </c>
      <c r="AJ93" t="s">
        <v>1325</v>
      </c>
      <c r="AK93" t="s">
        <v>150</v>
      </c>
      <c r="AL93" t="s">
        <v>150</v>
      </c>
      <c r="AM93" t="s">
        <v>128</v>
      </c>
      <c r="AN93" t="s">
        <v>236</v>
      </c>
      <c r="AO93" t="s">
        <v>128</v>
      </c>
      <c r="AP93">
        <v>1</v>
      </c>
      <c r="AQ93" t="s">
        <v>302</v>
      </c>
      <c r="AR93" t="s">
        <v>226</v>
      </c>
      <c r="AS93" t="s">
        <v>1326</v>
      </c>
      <c r="AT93" t="s">
        <v>1327</v>
      </c>
      <c r="AU93" t="s">
        <v>1328</v>
      </c>
      <c r="AV93" t="s">
        <v>157</v>
      </c>
      <c r="AX93" s="1" t="s">
        <v>123</v>
      </c>
      <c r="CR93" s="1" t="s">
        <v>123</v>
      </c>
      <c r="DB93" s="1" t="s">
        <v>123</v>
      </c>
      <c r="DL93" s="1" t="s">
        <v>123</v>
      </c>
      <c r="EO93" s="1" t="s">
        <v>123</v>
      </c>
      <c r="EP93" t="s">
        <v>180</v>
      </c>
      <c r="FO93" s="1" t="s">
        <v>123</v>
      </c>
      <c r="GW93" t="s">
        <v>1329</v>
      </c>
      <c r="GX93" t="s">
        <v>1329</v>
      </c>
      <c r="GY93" t="s">
        <v>132</v>
      </c>
      <c r="GZ93" t="s">
        <v>186</v>
      </c>
      <c r="HA93">
        <v>1991</v>
      </c>
      <c r="HB93" t="s">
        <v>220</v>
      </c>
      <c r="HD93" t="s">
        <v>1330</v>
      </c>
      <c r="HE93" t="s">
        <v>532</v>
      </c>
    </row>
    <row r="94" spans="1:213" x14ac:dyDescent="0.45">
      <c r="A94">
        <v>145</v>
      </c>
      <c r="B94">
        <f>_xlfn.IFNA(VLOOKUP(Analiza[[#This Row],[Zakończono wypełnianie]],Zakończone[],2,0),"BRAK")</f>
        <v>86</v>
      </c>
      <c r="C94">
        <f t="shared" si="2"/>
        <v>43</v>
      </c>
      <c r="D94" t="s">
        <v>1336</v>
      </c>
      <c r="E94" t="s">
        <v>118</v>
      </c>
      <c r="J94" t="s">
        <v>119</v>
      </c>
      <c r="K94" t="s">
        <v>1337</v>
      </c>
      <c r="L94" t="s">
        <v>1338</v>
      </c>
      <c r="M94">
        <v>516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>
        <v>2007</v>
      </c>
      <c r="AI94" t="s">
        <v>126</v>
      </c>
      <c r="AJ94" t="s">
        <v>1339</v>
      </c>
      <c r="AK94" t="s">
        <v>162</v>
      </c>
      <c r="AL94" t="s">
        <v>162</v>
      </c>
      <c r="AM94" t="s">
        <v>150</v>
      </c>
      <c r="AN94" t="s">
        <v>169</v>
      </c>
      <c r="AO94" t="s">
        <v>169</v>
      </c>
      <c r="AP94" t="s">
        <v>1340</v>
      </c>
      <c r="AQ94" t="s">
        <v>131</v>
      </c>
      <c r="AR94" t="s">
        <v>759</v>
      </c>
      <c r="AS94" t="s">
        <v>1341</v>
      </c>
      <c r="AT94" t="s">
        <v>1342</v>
      </c>
      <c r="AU94" t="s">
        <v>1343</v>
      </c>
      <c r="AV94" t="s">
        <v>157</v>
      </c>
      <c r="AW94" t="s">
        <v>1344</v>
      </c>
      <c r="AX94" s="1" t="s">
        <v>123</v>
      </c>
      <c r="CR94" s="1" t="s">
        <v>123</v>
      </c>
      <c r="DB94" s="1" t="s">
        <v>123</v>
      </c>
      <c r="DL94" s="1" t="s">
        <v>123</v>
      </c>
      <c r="EO94" s="1" t="s">
        <v>177</v>
      </c>
      <c r="EP94" t="s">
        <v>178</v>
      </c>
      <c r="EQ94" t="s">
        <v>132</v>
      </c>
      <c r="ER94" t="s">
        <v>191</v>
      </c>
      <c r="ES94" t="s">
        <v>236</v>
      </c>
      <c r="ET94" t="s">
        <v>236</v>
      </c>
      <c r="EU94" t="s">
        <v>151</v>
      </c>
      <c r="EV94" t="s">
        <v>178</v>
      </c>
      <c r="EW94" t="s">
        <v>1345</v>
      </c>
      <c r="EX94" t="s">
        <v>1346</v>
      </c>
      <c r="EY94" t="s">
        <v>173</v>
      </c>
      <c r="FO94" s="1" t="s">
        <v>123</v>
      </c>
      <c r="GW94" t="s">
        <v>1347</v>
      </c>
      <c r="GX94" t="s">
        <v>1348</v>
      </c>
      <c r="GY94" t="s">
        <v>1349</v>
      </c>
      <c r="GZ94" t="s">
        <v>186</v>
      </c>
      <c r="HA94">
        <v>1982</v>
      </c>
      <c r="HB94" t="s">
        <v>141</v>
      </c>
      <c r="HD94" t="s">
        <v>1350</v>
      </c>
    </row>
    <row r="95" spans="1:213" x14ac:dyDescent="0.45">
      <c r="A95">
        <v>147</v>
      </c>
      <c r="B95" t="str">
        <f>_xlfn.IFNA(VLOOKUP(Analiza[[#This Row],[Zakończono wypełnianie]],Zakończone[],2,0),"BRAK")</f>
        <v>BRAK</v>
      </c>
      <c r="C95">
        <f t="shared" si="2"/>
        <v>25</v>
      </c>
      <c r="D95" t="s">
        <v>1352</v>
      </c>
      <c r="E95" t="s">
        <v>118</v>
      </c>
      <c r="J95" t="s">
        <v>286</v>
      </c>
      <c r="K95" t="s">
        <v>1353</v>
      </c>
      <c r="L95" t="s">
        <v>1353</v>
      </c>
      <c r="M95">
        <v>0</v>
      </c>
      <c r="N95">
        <v>0</v>
      </c>
      <c r="O95" t="s">
        <v>122</v>
      </c>
      <c r="P95" s="1" t="s">
        <v>123</v>
      </c>
      <c r="AF95" s="1" t="s">
        <v>124</v>
      </c>
      <c r="AG95" t="s">
        <v>813</v>
      </c>
      <c r="AH95">
        <v>2008</v>
      </c>
      <c r="AI95" t="s">
        <v>148</v>
      </c>
      <c r="AJ95" t="s">
        <v>1354</v>
      </c>
      <c r="AK95" t="s">
        <v>162</v>
      </c>
      <c r="AL95" t="s">
        <v>151</v>
      </c>
      <c r="AM95" t="s">
        <v>151</v>
      </c>
      <c r="AN95" t="s">
        <v>236</v>
      </c>
      <c r="AO95" t="s">
        <v>151</v>
      </c>
      <c r="AP95" t="s">
        <v>237</v>
      </c>
      <c r="AQ95" t="s">
        <v>131</v>
      </c>
      <c r="AR95" t="s">
        <v>302</v>
      </c>
      <c r="AT95" t="s">
        <v>1355</v>
      </c>
      <c r="AU95" t="s">
        <v>1356</v>
      </c>
      <c r="AW95" t="s">
        <v>1357</v>
      </c>
      <c r="AX95" s="1" t="s">
        <v>123</v>
      </c>
      <c r="CR95" s="1" t="s">
        <v>123</v>
      </c>
      <c r="DB95" s="1" t="s">
        <v>123</v>
      </c>
      <c r="DL95" s="1" t="s">
        <v>123</v>
      </c>
      <c r="EO95" s="1" t="s">
        <v>177</v>
      </c>
      <c r="EP95" t="s">
        <v>178</v>
      </c>
      <c r="EQ95" t="s">
        <v>132</v>
      </c>
      <c r="FO95" s="1"/>
    </row>
    <row r="96" spans="1:213" x14ac:dyDescent="0.45">
      <c r="A96">
        <v>149</v>
      </c>
      <c r="B96">
        <f>_xlfn.IFNA(VLOOKUP(Analiza[[#This Row],[Zakończono wypełnianie]],Zakończone[],2,0),"BRAK")</f>
        <v>87</v>
      </c>
      <c r="C96">
        <f t="shared" si="2"/>
        <v>32</v>
      </c>
      <c r="D96" t="s">
        <v>1352</v>
      </c>
      <c r="E96" t="s">
        <v>118</v>
      </c>
      <c r="J96" t="s">
        <v>119</v>
      </c>
      <c r="K96" t="s">
        <v>1359</v>
      </c>
      <c r="L96" t="s">
        <v>1360</v>
      </c>
      <c r="M96">
        <v>8266</v>
      </c>
      <c r="N96">
        <v>0</v>
      </c>
      <c r="O96" t="s">
        <v>122</v>
      </c>
      <c r="P96" s="1" t="s">
        <v>123</v>
      </c>
      <c r="AF96" s="1" t="s">
        <v>124</v>
      </c>
      <c r="AG96" t="s">
        <v>160</v>
      </c>
      <c r="AH96">
        <v>2010</v>
      </c>
      <c r="AI96" t="s">
        <v>148</v>
      </c>
      <c r="AJ96" t="s">
        <v>1361</v>
      </c>
      <c r="AK96" t="s">
        <v>236</v>
      </c>
      <c r="AL96" t="s">
        <v>150</v>
      </c>
      <c r="AM96" t="s">
        <v>129</v>
      </c>
      <c r="AN96" t="s">
        <v>129</v>
      </c>
      <c r="AO96" t="s">
        <v>129</v>
      </c>
      <c r="AP96" t="s">
        <v>1362</v>
      </c>
      <c r="AQ96" t="s">
        <v>153</v>
      </c>
      <c r="AR96" t="s">
        <v>153</v>
      </c>
      <c r="AS96" t="s">
        <v>1363</v>
      </c>
      <c r="AT96" t="s">
        <v>1364</v>
      </c>
      <c r="AU96" t="s">
        <v>1365</v>
      </c>
      <c r="AV96" t="s">
        <v>157</v>
      </c>
      <c r="AX96" s="1" t="s">
        <v>123</v>
      </c>
      <c r="CR96" s="1" t="s">
        <v>123</v>
      </c>
      <c r="DB96" s="1" t="s">
        <v>123</v>
      </c>
      <c r="DL96" s="1" t="s">
        <v>123</v>
      </c>
      <c r="EO96" s="1" t="s">
        <v>123</v>
      </c>
      <c r="FO96" s="1" t="s">
        <v>123</v>
      </c>
      <c r="GW96" t="s">
        <v>1366</v>
      </c>
      <c r="GX96" t="s">
        <v>1367</v>
      </c>
      <c r="GY96" t="s">
        <v>532</v>
      </c>
      <c r="GZ96" t="s">
        <v>140</v>
      </c>
      <c r="HA96">
        <v>1986</v>
      </c>
      <c r="HB96" t="s">
        <v>398</v>
      </c>
      <c r="HD96" t="s">
        <v>1368</v>
      </c>
    </row>
    <row r="97" spans="1:214" x14ac:dyDescent="0.45">
      <c r="A97">
        <v>151</v>
      </c>
      <c r="B97" t="str">
        <f>_xlfn.IFNA(VLOOKUP(Analiza[[#This Row],[Zakończono wypełnianie]],Zakończone[],2,0),"BRAK")</f>
        <v>BRAK</v>
      </c>
      <c r="C97">
        <f t="shared" si="2"/>
        <v>25</v>
      </c>
      <c r="D97" t="s">
        <v>1142</v>
      </c>
      <c r="E97" t="s">
        <v>118</v>
      </c>
      <c r="J97" t="s">
        <v>286</v>
      </c>
      <c r="K97" t="s">
        <v>1370</v>
      </c>
      <c r="L97" t="s">
        <v>1370</v>
      </c>
      <c r="M97">
        <v>0</v>
      </c>
      <c r="N97">
        <v>0</v>
      </c>
      <c r="O97" t="s">
        <v>122</v>
      </c>
      <c r="P97" s="1" t="s">
        <v>123</v>
      </c>
      <c r="AF97" s="1" t="s">
        <v>124</v>
      </c>
      <c r="AG97" t="s">
        <v>223</v>
      </c>
      <c r="AH97">
        <v>2017</v>
      </c>
      <c r="AI97" t="s">
        <v>148</v>
      </c>
      <c r="AJ97" t="s">
        <v>1371</v>
      </c>
      <c r="AK97" t="s">
        <v>128</v>
      </c>
      <c r="AL97" t="s">
        <v>151</v>
      </c>
      <c r="AM97" t="s">
        <v>162</v>
      </c>
      <c r="AN97" t="s">
        <v>162</v>
      </c>
      <c r="AO97" t="s">
        <v>128</v>
      </c>
      <c r="AP97" t="s">
        <v>237</v>
      </c>
      <c r="AQ97" t="s">
        <v>302</v>
      </c>
      <c r="AR97" t="s">
        <v>302</v>
      </c>
      <c r="AS97" t="s">
        <v>1372</v>
      </c>
      <c r="AT97" t="s">
        <v>1373</v>
      </c>
      <c r="AU97" t="s">
        <v>1374</v>
      </c>
      <c r="AV97" t="s">
        <v>157</v>
      </c>
      <c r="AX97" s="1" t="s">
        <v>123</v>
      </c>
      <c r="CR97" s="1" t="s">
        <v>123</v>
      </c>
      <c r="DB97" s="1" t="s">
        <v>123</v>
      </c>
      <c r="DL97" s="1" t="s">
        <v>123</v>
      </c>
      <c r="EO97" s="1" t="s">
        <v>123</v>
      </c>
      <c r="FO97" s="1" t="s">
        <v>123</v>
      </c>
    </row>
    <row r="98" spans="1:214" x14ac:dyDescent="0.45">
      <c r="A98">
        <v>153</v>
      </c>
      <c r="B98">
        <f>_xlfn.IFNA(VLOOKUP(Analiza[[#This Row],[Zakończono wypełnianie]],Zakończone[],2,0),"BRAK")</f>
        <v>88</v>
      </c>
      <c r="C98">
        <f t="shared" si="2"/>
        <v>33</v>
      </c>
      <c r="D98" t="s">
        <v>1352</v>
      </c>
      <c r="E98" t="s">
        <v>118</v>
      </c>
      <c r="J98" t="s">
        <v>119</v>
      </c>
      <c r="K98" t="s">
        <v>1376</v>
      </c>
      <c r="L98" t="s">
        <v>1377</v>
      </c>
      <c r="M98">
        <v>352</v>
      </c>
      <c r="N98">
        <v>0</v>
      </c>
      <c r="O98" t="s">
        <v>122</v>
      </c>
      <c r="P98" s="1" t="s">
        <v>123</v>
      </c>
      <c r="AF98" s="1" t="s">
        <v>124</v>
      </c>
      <c r="AG98" t="s">
        <v>223</v>
      </c>
      <c r="AH98">
        <v>2000</v>
      </c>
      <c r="AI98" t="s">
        <v>148</v>
      </c>
      <c r="AJ98" t="s">
        <v>161</v>
      </c>
      <c r="AK98" t="s">
        <v>162</v>
      </c>
      <c r="AL98" t="s">
        <v>162</v>
      </c>
      <c r="AM98" t="s">
        <v>150</v>
      </c>
      <c r="AN98" t="s">
        <v>129</v>
      </c>
      <c r="AO98" t="s">
        <v>128</v>
      </c>
      <c r="AP98">
        <v>5</v>
      </c>
      <c r="AQ98" t="s">
        <v>302</v>
      </c>
      <c r="AR98" t="s">
        <v>302</v>
      </c>
      <c r="AS98" t="s">
        <v>1378</v>
      </c>
      <c r="AT98" t="s">
        <v>1379</v>
      </c>
      <c r="AU98" t="s">
        <v>1380</v>
      </c>
      <c r="AV98" t="s">
        <v>172</v>
      </c>
      <c r="AX98" s="1" t="s">
        <v>123</v>
      </c>
      <c r="CR98" s="1" t="s">
        <v>123</v>
      </c>
      <c r="DB98" s="1" t="s">
        <v>123</v>
      </c>
      <c r="DL98" s="1" t="s">
        <v>123</v>
      </c>
      <c r="EO98" s="1" t="s">
        <v>123</v>
      </c>
      <c r="FO98" s="1" t="s">
        <v>123</v>
      </c>
      <c r="GW98" t="s">
        <v>1381</v>
      </c>
      <c r="GX98" t="s">
        <v>1382</v>
      </c>
      <c r="GY98" t="s">
        <v>1383</v>
      </c>
      <c r="GZ98" t="s">
        <v>140</v>
      </c>
      <c r="HA98">
        <v>1982</v>
      </c>
      <c r="HB98" t="s">
        <v>246</v>
      </c>
      <c r="HD98" t="s">
        <v>386</v>
      </c>
      <c r="HE98" t="s">
        <v>386</v>
      </c>
    </row>
    <row r="99" spans="1:214" x14ac:dyDescent="0.45">
      <c r="A99">
        <v>154</v>
      </c>
      <c r="B99">
        <f>_xlfn.IFNA(VLOOKUP(Analiza[[#This Row],[Zakończono wypełnianie]],Zakończone[],2,0),"BRAK")</f>
        <v>89</v>
      </c>
      <c r="C99">
        <f t="shared" ref="C99:C130" si="3">COUNTA(O99:HF99)</f>
        <v>17</v>
      </c>
      <c r="D99" t="s">
        <v>1142</v>
      </c>
      <c r="E99" t="s">
        <v>118</v>
      </c>
      <c r="J99" t="s">
        <v>119</v>
      </c>
      <c r="K99" t="s">
        <v>1384</v>
      </c>
      <c r="L99" t="s">
        <v>1385</v>
      </c>
      <c r="M99">
        <v>167</v>
      </c>
      <c r="N99">
        <v>0</v>
      </c>
      <c r="O99" t="s">
        <v>122</v>
      </c>
      <c r="P99" s="1" t="s">
        <v>123</v>
      </c>
      <c r="AF99" s="1" t="s">
        <v>123</v>
      </c>
      <c r="AX99" s="1" t="s">
        <v>123</v>
      </c>
      <c r="CR99" s="1" t="s">
        <v>123</v>
      </c>
      <c r="DB99" s="1" t="s">
        <v>123</v>
      </c>
      <c r="DL99" s="1" t="s">
        <v>123</v>
      </c>
      <c r="EO99" s="1" t="s">
        <v>123</v>
      </c>
      <c r="FO99" s="1" t="s">
        <v>123</v>
      </c>
      <c r="GW99" t="s">
        <v>1386</v>
      </c>
      <c r="GX99" t="s">
        <v>1387</v>
      </c>
      <c r="GY99" t="s">
        <v>1388</v>
      </c>
      <c r="GZ99" t="s">
        <v>186</v>
      </c>
      <c r="HA99">
        <v>1987</v>
      </c>
      <c r="HB99" t="s">
        <v>141</v>
      </c>
      <c r="HD99" t="s">
        <v>532</v>
      </c>
      <c r="HE99" t="s">
        <v>1389</v>
      </c>
    </row>
    <row r="100" spans="1:214" x14ac:dyDescent="0.45">
      <c r="A100">
        <v>155</v>
      </c>
      <c r="B100" t="str">
        <f>_xlfn.IFNA(VLOOKUP(Analiza[[#This Row],[Zakończono wypełnianie]],Zakończone[],2,0),"BRAK")</f>
        <v>BRAK</v>
      </c>
      <c r="C100">
        <f t="shared" si="3"/>
        <v>9</v>
      </c>
      <c r="D100" t="s">
        <v>1131</v>
      </c>
      <c r="E100" t="s">
        <v>118</v>
      </c>
      <c r="J100" t="s">
        <v>286</v>
      </c>
      <c r="K100" t="s">
        <v>1390</v>
      </c>
      <c r="L100" t="s">
        <v>1390</v>
      </c>
      <c r="M100">
        <v>0</v>
      </c>
      <c r="N100">
        <v>0</v>
      </c>
      <c r="O100" t="s">
        <v>122</v>
      </c>
      <c r="P100" s="1" t="s">
        <v>123</v>
      </c>
      <c r="AF100" s="1" t="s">
        <v>123</v>
      </c>
      <c r="AX100" s="1" t="s">
        <v>123</v>
      </c>
      <c r="CR100" s="1" t="s">
        <v>123</v>
      </c>
      <c r="DB100" s="1" t="s">
        <v>123</v>
      </c>
      <c r="DL100" s="1" t="s">
        <v>123</v>
      </c>
      <c r="EO100" s="1" t="s">
        <v>123</v>
      </c>
      <c r="FO100" s="1" t="s">
        <v>123</v>
      </c>
    </row>
    <row r="101" spans="1:214" x14ac:dyDescent="0.45">
      <c r="A101">
        <v>156</v>
      </c>
      <c r="B101">
        <f>_xlfn.IFNA(VLOOKUP(Analiza[[#This Row],[Zakończono wypełnianie]],Zakończone[],2,0),"BRAK")</f>
        <v>90</v>
      </c>
      <c r="C101">
        <f t="shared" si="3"/>
        <v>32</v>
      </c>
      <c r="D101" t="s">
        <v>1142</v>
      </c>
      <c r="E101" t="s">
        <v>118</v>
      </c>
      <c r="J101" t="s">
        <v>119</v>
      </c>
      <c r="K101" t="s">
        <v>1391</v>
      </c>
      <c r="L101" t="s">
        <v>1392</v>
      </c>
      <c r="M101">
        <v>415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>
        <v>2012</v>
      </c>
      <c r="AI101" t="s">
        <v>126</v>
      </c>
      <c r="AJ101" t="s">
        <v>1393</v>
      </c>
      <c r="AK101" t="s">
        <v>162</v>
      </c>
      <c r="AL101" t="s">
        <v>150</v>
      </c>
      <c r="AM101" t="s">
        <v>150</v>
      </c>
      <c r="AN101" t="s">
        <v>236</v>
      </c>
      <c r="AO101" t="s">
        <v>236</v>
      </c>
      <c r="AP101" t="s">
        <v>1340</v>
      </c>
      <c r="AQ101" t="s">
        <v>302</v>
      </c>
      <c r="AR101" t="s">
        <v>153</v>
      </c>
      <c r="AS101" t="s">
        <v>1394</v>
      </c>
      <c r="AT101" t="s">
        <v>1395</v>
      </c>
      <c r="AU101" t="s">
        <v>1396</v>
      </c>
      <c r="AW101" t="s">
        <v>1397</v>
      </c>
      <c r="AX101" s="1" t="s">
        <v>123</v>
      </c>
      <c r="CR101" s="1" t="s">
        <v>123</v>
      </c>
      <c r="DB101" s="1" t="s">
        <v>123</v>
      </c>
      <c r="DL101" s="1" t="s">
        <v>123</v>
      </c>
      <c r="EO101" s="1" t="s">
        <v>123</v>
      </c>
      <c r="FO101" s="1" t="s">
        <v>123</v>
      </c>
      <c r="GW101" t="s">
        <v>1398</v>
      </c>
      <c r="GX101" t="s">
        <v>1399</v>
      </c>
      <c r="GY101" t="s">
        <v>1400</v>
      </c>
      <c r="GZ101" t="s">
        <v>140</v>
      </c>
      <c r="HA101">
        <v>1985</v>
      </c>
      <c r="HB101" t="s">
        <v>141</v>
      </c>
      <c r="HD101" t="s">
        <v>1401</v>
      </c>
    </row>
    <row r="102" spans="1:214" x14ac:dyDescent="0.45">
      <c r="A102">
        <v>158</v>
      </c>
      <c r="B102">
        <f>_xlfn.IFNA(VLOOKUP(Analiza[[#This Row],[Zakończono wypełnianie]],Zakończone[],2,0),"BRAK")</f>
        <v>91</v>
      </c>
      <c r="C102">
        <f t="shared" si="3"/>
        <v>32</v>
      </c>
      <c r="D102" t="s">
        <v>1131</v>
      </c>
      <c r="E102" t="s">
        <v>118</v>
      </c>
      <c r="J102" t="s">
        <v>119</v>
      </c>
      <c r="K102" t="s">
        <v>1403</v>
      </c>
      <c r="L102" t="s">
        <v>1404</v>
      </c>
      <c r="M102">
        <v>325</v>
      </c>
      <c r="N102">
        <v>0</v>
      </c>
      <c r="O102" t="s">
        <v>122</v>
      </c>
      <c r="P102" s="1" t="s">
        <v>123</v>
      </c>
      <c r="AF102" s="1" t="s">
        <v>124</v>
      </c>
      <c r="AG102" t="s">
        <v>223</v>
      </c>
      <c r="AH102">
        <v>2013</v>
      </c>
      <c r="AI102" t="s">
        <v>148</v>
      </c>
      <c r="AJ102" t="s">
        <v>958</v>
      </c>
      <c r="AK102" t="s">
        <v>128</v>
      </c>
      <c r="AL102" t="s">
        <v>128</v>
      </c>
      <c r="AM102" t="s">
        <v>162</v>
      </c>
      <c r="AN102" t="s">
        <v>151</v>
      </c>
      <c r="AO102" t="s">
        <v>151</v>
      </c>
      <c r="AP102">
        <v>3</v>
      </c>
      <c r="AQ102" t="s">
        <v>131</v>
      </c>
      <c r="AR102" t="s">
        <v>153</v>
      </c>
      <c r="AS102" t="s">
        <v>1405</v>
      </c>
      <c r="AT102" t="s">
        <v>1406</v>
      </c>
      <c r="AU102" t="s">
        <v>1407</v>
      </c>
      <c r="AV102" t="s">
        <v>157</v>
      </c>
      <c r="AX102" s="1" t="s">
        <v>123</v>
      </c>
      <c r="CR102" s="1" t="s">
        <v>123</v>
      </c>
      <c r="DB102" s="1" t="s">
        <v>123</v>
      </c>
      <c r="DL102" s="1" t="s">
        <v>123</v>
      </c>
      <c r="EO102" s="1" t="s">
        <v>123</v>
      </c>
      <c r="FO102" s="1" t="s">
        <v>123</v>
      </c>
      <c r="GW102" t="s">
        <v>1408</v>
      </c>
      <c r="GX102" t="s">
        <v>1409</v>
      </c>
      <c r="GY102" t="s">
        <v>1410</v>
      </c>
      <c r="GZ102" t="s">
        <v>140</v>
      </c>
      <c r="HA102">
        <v>1984</v>
      </c>
      <c r="HB102" t="s">
        <v>398</v>
      </c>
      <c r="HD102" t="s">
        <v>1411</v>
      </c>
    </row>
    <row r="103" spans="1:214" x14ac:dyDescent="0.45">
      <c r="A103">
        <v>159</v>
      </c>
      <c r="B103">
        <f>_xlfn.IFNA(VLOOKUP(Analiza[[#This Row],[Zakończono wypełnianie]],Zakończone[],2,0),"BRAK")</f>
        <v>92</v>
      </c>
      <c r="C103">
        <f t="shared" si="3"/>
        <v>33</v>
      </c>
      <c r="D103" t="s">
        <v>1412</v>
      </c>
      <c r="E103" t="s">
        <v>118</v>
      </c>
      <c r="J103" t="s">
        <v>119</v>
      </c>
      <c r="K103" t="s">
        <v>1413</v>
      </c>
      <c r="L103" t="s">
        <v>1414</v>
      </c>
      <c r="M103">
        <v>1007</v>
      </c>
      <c r="N103">
        <v>0</v>
      </c>
      <c r="O103" t="s">
        <v>122</v>
      </c>
      <c r="P103" s="1" t="s">
        <v>123</v>
      </c>
      <c r="AF103" s="1" t="s">
        <v>124</v>
      </c>
      <c r="AG103" t="s">
        <v>1415</v>
      </c>
      <c r="AH103">
        <v>2006</v>
      </c>
      <c r="AI103" t="s">
        <v>148</v>
      </c>
      <c r="AJ103" t="s">
        <v>263</v>
      </c>
      <c r="AK103" t="s">
        <v>169</v>
      </c>
      <c r="AL103" t="s">
        <v>169</v>
      </c>
      <c r="AM103" t="s">
        <v>169</v>
      </c>
      <c r="AN103" t="s">
        <v>150</v>
      </c>
      <c r="AO103" t="s">
        <v>169</v>
      </c>
      <c r="AP103" t="s">
        <v>1416</v>
      </c>
      <c r="AQ103" t="s">
        <v>131</v>
      </c>
      <c r="AR103" t="s">
        <v>153</v>
      </c>
      <c r="AS103" t="s">
        <v>1417</v>
      </c>
      <c r="AT103" t="s">
        <v>1418</v>
      </c>
      <c r="AU103" t="s">
        <v>1419</v>
      </c>
      <c r="AW103" t="s">
        <v>1420</v>
      </c>
      <c r="AX103" s="1" t="s">
        <v>123</v>
      </c>
      <c r="CR103" s="1" t="s">
        <v>123</v>
      </c>
      <c r="DB103" s="1" t="s">
        <v>123</v>
      </c>
      <c r="DL103" s="1" t="s">
        <v>123</v>
      </c>
      <c r="EO103" s="1" t="s">
        <v>123</v>
      </c>
      <c r="FO103" s="1" t="s">
        <v>123</v>
      </c>
      <c r="GW103" t="s">
        <v>1421</v>
      </c>
      <c r="GX103" t="s">
        <v>1422</v>
      </c>
      <c r="GY103" t="s">
        <v>142</v>
      </c>
      <c r="GZ103" t="s">
        <v>140</v>
      </c>
      <c r="HA103">
        <v>1983</v>
      </c>
      <c r="HB103" t="s">
        <v>141</v>
      </c>
      <c r="HD103" t="s">
        <v>1423</v>
      </c>
      <c r="HE103" t="s">
        <v>132</v>
      </c>
    </row>
    <row r="104" spans="1:214" x14ac:dyDescent="0.45">
      <c r="A104">
        <v>162</v>
      </c>
      <c r="B104">
        <f>_xlfn.IFNA(VLOOKUP(Analiza[[#This Row],[Zakończono wypełnianie]],Zakończone[],2,0),"BRAK")</f>
        <v>93</v>
      </c>
      <c r="C104">
        <f t="shared" si="3"/>
        <v>31</v>
      </c>
      <c r="D104" t="s">
        <v>1352</v>
      </c>
      <c r="E104" t="s">
        <v>118</v>
      </c>
      <c r="J104" t="s">
        <v>119</v>
      </c>
      <c r="K104" t="s">
        <v>1426</v>
      </c>
      <c r="L104" t="s">
        <v>1427</v>
      </c>
      <c r="M104">
        <v>490</v>
      </c>
      <c r="N104">
        <v>0</v>
      </c>
      <c r="O104" t="s">
        <v>122</v>
      </c>
      <c r="P104" s="1" t="s">
        <v>123</v>
      </c>
      <c r="AF104" s="1" t="s">
        <v>124</v>
      </c>
      <c r="AG104" t="s">
        <v>1415</v>
      </c>
      <c r="AH104">
        <v>2006</v>
      </c>
      <c r="AI104" t="s">
        <v>126</v>
      </c>
      <c r="AJ104" t="s">
        <v>192</v>
      </c>
      <c r="AK104" t="s">
        <v>150</v>
      </c>
      <c r="AL104" t="s">
        <v>150</v>
      </c>
      <c r="AM104" t="s">
        <v>169</v>
      </c>
      <c r="AN104" t="s">
        <v>150</v>
      </c>
      <c r="AO104" t="s">
        <v>150</v>
      </c>
      <c r="AP104" t="s">
        <v>237</v>
      </c>
      <c r="AQ104" t="s">
        <v>226</v>
      </c>
      <c r="AR104" t="s">
        <v>1428</v>
      </c>
      <c r="AS104" t="s">
        <v>1429</v>
      </c>
      <c r="AT104" t="s">
        <v>1430</v>
      </c>
      <c r="AU104" t="s">
        <v>1431</v>
      </c>
      <c r="AV104" t="s">
        <v>157</v>
      </c>
      <c r="AX104" s="1" t="s">
        <v>123</v>
      </c>
      <c r="CR104" s="1" t="s">
        <v>123</v>
      </c>
      <c r="DB104" s="1" t="s">
        <v>123</v>
      </c>
      <c r="DL104" s="1" t="s">
        <v>123</v>
      </c>
      <c r="EO104" s="1" t="s">
        <v>123</v>
      </c>
      <c r="FO104" s="1" t="s">
        <v>123</v>
      </c>
      <c r="GW104" t="s">
        <v>1432</v>
      </c>
      <c r="GX104" t="s">
        <v>1433</v>
      </c>
      <c r="GY104" t="s">
        <v>1434</v>
      </c>
      <c r="GZ104" t="s">
        <v>186</v>
      </c>
      <c r="HA104">
        <v>1982</v>
      </c>
      <c r="HB104" t="s">
        <v>141</v>
      </c>
    </row>
    <row r="105" spans="1:214" x14ac:dyDescent="0.45">
      <c r="A105">
        <v>164</v>
      </c>
      <c r="B105">
        <f>_xlfn.IFNA(VLOOKUP(Analiza[[#This Row],[Zakończono wypełnianie]],Zakończone[],2,0),"BRAK")</f>
        <v>94</v>
      </c>
      <c r="C105">
        <f t="shared" si="3"/>
        <v>34</v>
      </c>
      <c r="D105" t="s">
        <v>1436</v>
      </c>
      <c r="E105" t="s">
        <v>118</v>
      </c>
      <c r="J105" t="s">
        <v>119</v>
      </c>
      <c r="K105" t="s">
        <v>1437</v>
      </c>
      <c r="L105" t="s">
        <v>1438</v>
      </c>
      <c r="M105">
        <v>880</v>
      </c>
      <c r="N105">
        <v>0</v>
      </c>
      <c r="O105" t="s">
        <v>122</v>
      </c>
      <c r="P105" s="1" t="s">
        <v>123</v>
      </c>
      <c r="AF105" s="1" t="s">
        <v>124</v>
      </c>
      <c r="AG105" t="s">
        <v>1439</v>
      </c>
      <c r="AH105">
        <v>2019</v>
      </c>
      <c r="AI105" t="s">
        <v>148</v>
      </c>
      <c r="AJ105" t="s">
        <v>1440</v>
      </c>
      <c r="AK105" t="s">
        <v>128</v>
      </c>
      <c r="AL105" t="s">
        <v>128</v>
      </c>
      <c r="AM105" t="s">
        <v>150</v>
      </c>
      <c r="AN105" t="s">
        <v>169</v>
      </c>
      <c r="AO105" t="s">
        <v>169</v>
      </c>
      <c r="AP105" t="s">
        <v>1441</v>
      </c>
      <c r="AQ105" t="s">
        <v>302</v>
      </c>
      <c r="AR105" t="s">
        <v>226</v>
      </c>
      <c r="AS105" t="s">
        <v>1442</v>
      </c>
      <c r="AT105" t="s">
        <v>1443</v>
      </c>
      <c r="AU105" t="s">
        <v>1444</v>
      </c>
      <c r="AV105" t="s">
        <v>230</v>
      </c>
      <c r="AX105" s="1" t="s">
        <v>123</v>
      </c>
      <c r="CR105" s="1" t="s">
        <v>123</v>
      </c>
      <c r="DB105" s="1" t="s">
        <v>123</v>
      </c>
      <c r="DL105" s="1" t="s">
        <v>123</v>
      </c>
      <c r="EO105" s="1" t="s">
        <v>123</v>
      </c>
      <c r="EP105" t="s">
        <v>178</v>
      </c>
      <c r="FO105" s="1" t="s">
        <v>123</v>
      </c>
      <c r="GW105" t="s">
        <v>1445</v>
      </c>
      <c r="GX105" t="s">
        <v>1446</v>
      </c>
      <c r="GY105" t="s">
        <v>1447</v>
      </c>
      <c r="GZ105" t="s">
        <v>140</v>
      </c>
      <c r="HA105">
        <v>1990</v>
      </c>
      <c r="HB105" t="s">
        <v>398</v>
      </c>
      <c r="HD105" t="s">
        <v>1448</v>
      </c>
      <c r="HE105" t="s">
        <v>1449</v>
      </c>
    </row>
    <row r="106" spans="1:214" x14ac:dyDescent="0.45">
      <c r="A106">
        <v>165</v>
      </c>
      <c r="B106">
        <f>_xlfn.IFNA(VLOOKUP(Analiza[[#This Row],[Zakończono wypełnianie]],Zakończone[],2,0),"BRAK")</f>
        <v>95</v>
      </c>
      <c r="C106">
        <f t="shared" si="3"/>
        <v>33</v>
      </c>
      <c r="D106" t="s">
        <v>1352</v>
      </c>
      <c r="E106" t="s">
        <v>118</v>
      </c>
      <c r="J106" t="s">
        <v>119</v>
      </c>
      <c r="K106" t="s">
        <v>1450</v>
      </c>
      <c r="L106" t="s">
        <v>1451</v>
      </c>
      <c r="M106">
        <v>402</v>
      </c>
      <c r="N106">
        <v>0</v>
      </c>
      <c r="O106" t="s">
        <v>122</v>
      </c>
      <c r="P106" s="1" t="s">
        <v>123</v>
      </c>
      <c r="AF106" s="1" t="s">
        <v>124</v>
      </c>
      <c r="AG106" t="s">
        <v>223</v>
      </c>
      <c r="AH106">
        <v>2008</v>
      </c>
      <c r="AI106" t="s">
        <v>148</v>
      </c>
      <c r="AJ106" t="s">
        <v>1452</v>
      </c>
      <c r="AK106" t="s">
        <v>128</v>
      </c>
      <c r="AL106" t="s">
        <v>236</v>
      </c>
      <c r="AM106" t="s">
        <v>129</v>
      </c>
      <c r="AN106" t="s">
        <v>129</v>
      </c>
      <c r="AO106" t="s">
        <v>128</v>
      </c>
      <c r="AP106" t="s">
        <v>237</v>
      </c>
      <c r="AQ106" t="s">
        <v>131</v>
      </c>
      <c r="AR106" t="s">
        <v>131</v>
      </c>
      <c r="AS106" t="s">
        <v>1453</v>
      </c>
      <c r="AT106" t="s">
        <v>1454</v>
      </c>
      <c r="AU106" t="s">
        <v>1005</v>
      </c>
      <c r="AV106" t="s">
        <v>157</v>
      </c>
      <c r="AX106" s="1" t="s">
        <v>123</v>
      </c>
      <c r="CR106" s="1" t="s">
        <v>123</v>
      </c>
      <c r="DB106" s="1" t="s">
        <v>123</v>
      </c>
      <c r="DL106" s="1" t="s">
        <v>123</v>
      </c>
      <c r="EO106" s="1" t="s">
        <v>123</v>
      </c>
      <c r="FO106" s="1" t="s">
        <v>123</v>
      </c>
      <c r="GW106" t="s">
        <v>1455</v>
      </c>
      <c r="GX106" t="s">
        <v>1456</v>
      </c>
      <c r="GY106" t="s">
        <v>1457</v>
      </c>
      <c r="GZ106" t="s">
        <v>140</v>
      </c>
      <c r="HA106">
        <v>1984</v>
      </c>
      <c r="HB106" t="s">
        <v>220</v>
      </c>
      <c r="HD106" t="s">
        <v>386</v>
      </c>
      <c r="HE106" t="s">
        <v>386</v>
      </c>
    </row>
    <row r="107" spans="1:214" x14ac:dyDescent="0.45">
      <c r="A107">
        <v>167</v>
      </c>
      <c r="B107">
        <f>_xlfn.IFNA(VLOOKUP(Analiza[[#This Row],[Zakończono wypełnianie]],Zakończone[],2,0),"BRAK")</f>
        <v>96</v>
      </c>
      <c r="C107">
        <f t="shared" si="3"/>
        <v>32</v>
      </c>
      <c r="D107" t="s">
        <v>1131</v>
      </c>
      <c r="E107" t="s">
        <v>118</v>
      </c>
      <c r="J107" t="s">
        <v>119</v>
      </c>
      <c r="K107" t="s">
        <v>1459</v>
      </c>
      <c r="L107" t="s">
        <v>1460</v>
      </c>
      <c r="M107">
        <v>665</v>
      </c>
      <c r="N107">
        <v>0</v>
      </c>
      <c r="O107" t="s">
        <v>122</v>
      </c>
      <c r="P107" s="1" t="s">
        <v>123</v>
      </c>
      <c r="AF107" s="1" t="s">
        <v>124</v>
      </c>
      <c r="AG107" t="s">
        <v>1461</v>
      </c>
      <c r="AH107">
        <v>2007</v>
      </c>
      <c r="AI107" t="s">
        <v>148</v>
      </c>
      <c r="AJ107" t="s">
        <v>1462</v>
      </c>
      <c r="AK107" t="s">
        <v>162</v>
      </c>
      <c r="AL107" t="s">
        <v>151</v>
      </c>
      <c r="AM107" t="s">
        <v>151</v>
      </c>
      <c r="AN107" t="s">
        <v>150</v>
      </c>
      <c r="AO107" t="s">
        <v>128</v>
      </c>
      <c r="AP107">
        <v>2</v>
      </c>
      <c r="AQ107" t="s">
        <v>302</v>
      </c>
      <c r="AR107" t="s">
        <v>302</v>
      </c>
      <c r="AS107" t="s">
        <v>1463</v>
      </c>
      <c r="AT107" t="s">
        <v>1464</v>
      </c>
      <c r="AU107" t="s">
        <v>1465</v>
      </c>
      <c r="AV107" t="s">
        <v>157</v>
      </c>
      <c r="AX107" s="1" t="s">
        <v>123</v>
      </c>
      <c r="CR107" s="1" t="s">
        <v>123</v>
      </c>
      <c r="DB107" s="1" t="s">
        <v>123</v>
      </c>
      <c r="DL107" s="1" t="s">
        <v>123</v>
      </c>
      <c r="EO107" s="1" t="s">
        <v>123</v>
      </c>
      <c r="FO107" s="1" t="s">
        <v>123</v>
      </c>
      <c r="GW107" t="s">
        <v>1466</v>
      </c>
      <c r="GX107" t="s">
        <v>1467</v>
      </c>
      <c r="GY107" t="s">
        <v>1468</v>
      </c>
      <c r="GZ107" t="s">
        <v>140</v>
      </c>
      <c r="HA107">
        <v>1982</v>
      </c>
      <c r="HB107" t="s">
        <v>398</v>
      </c>
      <c r="HD107" t="s">
        <v>1469</v>
      </c>
    </row>
    <row r="108" spans="1:214" x14ac:dyDescent="0.45">
      <c r="A108">
        <v>169</v>
      </c>
      <c r="B108">
        <f>_xlfn.IFNA(VLOOKUP(Analiza[[#This Row],[Zakończono wypełnianie]],Zakończone[],2,0),"BRAK")</f>
        <v>97</v>
      </c>
      <c r="C108">
        <f t="shared" si="3"/>
        <v>33</v>
      </c>
      <c r="D108" t="s">
        <v>1352</v>
      </c>
      <c r="E108" t="s">
        <v>118</v>
      </c>
      <c r="J108" t="s">
        <v>119</v>
      </c>
      <c r="K108" t="s">
        <v>1470</v>
      </c>
      <c r="L108" t="s">
        <v>1471</v>
      </c>
      <c r="M108">
        <v>495</v>
      </c>
      <c r="N108">
        <v>0</v>
      </c>
      <c r="O108" t="s">
        <v>122</v>
      </c>
      <c r="P108" s="1" t="s">
        <v>123</v>
      </c>
      <c r="AF108" s="1" t="s">
        <v>124</v>
      </c>
      <c r="AG108" t="s">
        <v>1472</v>
      </c>
      <c r="AI108" t="s">
        <v>148</v>
      </c>
      <c r="AJ108" t="s">
        <v>1474</v>
      </c>
      <c r="AK108" t="s">
        <v>169</v>
      </c>
      <c r="AL108" t="s">
        <v>169</v>
      </c>
      <c r="AM108" t="s">
        <v>151</v>
      </c>
      <c r="AN108" t="s">
        <v>162</v>
      </c>
      <c r="AO108" t="s">
        <v>162</v>
      </c>
      <c r="AP108" t="s">
        <v>1475</v>
      </c>
      <c r="AQ108" t="s">
        <v>132</v>
      </c>
      <c r="AR108" t="s">
        <v>132</v>
      </c>
      <c r="AS108" t="s">
        <v>1476</v>
      </c>
      <c r="AT108" t="s">
        <v>1477</v>
      </c>
      <c r="AU108" t="s">
        <v>1473</v>
      </c>
      <c r="AV108" t="s">
        <v>157</v>
      </c>
      <c r="AX108" s="1" t="s">
        <v>123</v>
      </c>
      <c r="CR108" s="1" t="s">
        <v>123</v>
      </c>
      <c r="DB108" s="1" t="s">
        <v>123</v>
      </c>
      <c r="DL108" s="1" t="s">
        <v>123</v>
      </c>
      <c r="EO108" s="1" t="s">
        <v>123</v>
      </c>
      <c r="FO108" s="1" t="s">
        <v>123</v>
      </c>
      <c r="GW108" t="s">
        <v>1478</v>
      </c>
      <c r="GX108" t="s">
        <v>1478</v>
      </c>
      <c r="GY108" t="s">
        <v>1473</v>
      </c>
      <c r="GZ108" t="s">
        <v>140</v>
      </c>
      <c r="HA108" t="s">
        <v>1473</v>
      </c>
      <c r="HB108" t="s">
        <v>398</v>
      </c>
      <c r="HD108" t="s">
        <v>1479</v>
      </c>
      <c r="HE108" t="s">
        <v>1473</v>
      </c>
      <c r="HF108" t="s">
        <v>1473</v>
      </c>
    </row>
    <row r="109" spans="1:214" x14ac:dyDescent="0.45">
      <c r="A109">
        <v>171</v>
      </c>
      <c r="B109">
        <f>_xlfn.IFNA(VLOOKUP(Analiza[[#This Row],[Zakończono wypełnianie]],Zakończone[],2,0),"BRAK")</f>
        <v>98</v>
      </c>
      <c r="C109">
        <f t="shared" si="3"/>
        <v>30</v>
      </c>
      <c r="D109" t="s">
        <v>1336</v>
      </c>
      <c r="E109" t="s">
        <v>118</v>
      </c>
      <c r="J109" t="s">
        <v>119</v>
      </c>
      <c r="K109" t="s">
        <v>1481</v>
      </c>
      <c r="L109" t="s">
        <v>1482</v>
      </c>
      <c r="M109">
        <v>562</v>
      </c>
      <c r="N109">
        <v>0</v>
      </c>
      <c r="O109" t="s">
        <v>122</v>
      </c>
      <c r="P109" s="1" t="s">
        <v>123</v>
      </c>
      <c r="AF109" s="1" t="s">
        <v>124</v>
      </c>
      <c r="AG109" t="s">
        <v>223</v>
      </c>
      <c r="AH109">
        <v>2014</v>
      </c>
      <c r="AI109" t="s">
        <v>148</v>
      </c>
      <c r="AJ109" t="s">
        <v>1483</v>
      </c>
      <c r="AK109" t="s">
        <v>151</v>
      </c>
      <c r="AL109" t="s">
        <v>128</v>
      </c>
      <c r="AM109" t="s">
        <v>128</v>
      </c>
      <c r="AN109" t="s">
        <v>151</v>
      </c>
      <c r="AO109" t="s">
        <v>162</v>
      </c>
      <c r="AP109" t="s">
        <v>1484</v>
      </c>
      <c r="AQ109" t="s">
        <v>153</v>
      </c>
      <c r="AR109" t="s">
        <v>153</v>
      </c>
      <c r="AT109" t="s">
        <v>1485</v>
      </c>
      <c r="AU109" t="s">
        <v>1486</v>
      </c>
      <c r="AV109" t="s">
        <v>172</v>
      </c>
      <c r="AX109" s="1" t="s">
        <v>123</v>
      </c>
      <c r="CR109" s="1" t="s">
        <v>123</v>
      </c>
      <c r="DB109" s="1" t="s">
        <v>123</v>
      </c>
      <c r="DL109" s="1" t="s">
        <v>123</v>
      </c>
      <c r="EO109" s="1" t="s">
        <v>123</v>
      </c>
      <c r="FO109" s="1" t="s">
        <v>123</v>
      </c>
      <c r="GW109" t="s">
        <v>1487</v>
      </c>
      <c r="GX109" t="s">
        <v>1488</v>
      </c>
      <c r="GY109" t="s">
        <v>1489</v>
      </c>
      <c r="GZ109" t="s">
        <v>140</v>
      </c>
      <c r="HA109">
        <v>1991</v>
      </c>
      <c r="HB109" t="s">
        <v>141</v>
      </c>
    </row>
    <row r="110" spans="1:214" x14ac:dyDescent="0.45">
      <c r="A110">
        <v>175</v>
      </c>
      <c r="B110">
        <f>_xlfn.IFNA(VLOOKUP(Analiza[[#This Row],[Zakończono wypełnianie]],Zakończone[],2,0),"BRAK")</f>
        <v>99</v>
      </c>
      <c r="C110">
        <f t="shared" si="3"/>
        <v>31</v>
      </c>
      <c r="D110" t="s">
        <v>1131</v>
      </c>
      <c r="E110" t="s">
        <v>118</v>
      </c>
      <c r="J110" t="s">
        <v>119</v>
      </c>
      <c r="K110" t="s">
        <v>1493</v>
      </c>
      <c r="L110" t="s">
        <v>1494</v>
      </c>
      <c r="M110">
        <v>2185</v>
      </c>
      <c r="N110">
        <v>0</v>
      </c>
      <c r="O110" t="s">
        <v>122</v>
      </c>
      <c r="P110" s="1" t="s">
        <v>123</v>
      </c>
      <c r="AF110" s="1" t="s">
        <v>124</v>
      </c>
      <c r="AG110" t="s">
        <v>223</v>
      </c>
      <c r="AH110">
        <v>2005</v>
      </c>
      <c r="AI110" t="s">
        <v>148</v>
      </c>
      <c r="AJ110" t="s">
        <v>1495</v>
      </c>
      <c r="AK110" t="s">
        <v>150</v>
      </c>
      <c r="AL110" t="s">
        <v>169</v>
      </c>
      <c r="AM110" t="s">
        <v>169</v>
      </c>
      <c r="AN110" t="s">
        <v>169</v>
      </c>
      <c r="AO110" t="s">
        <v>150</v>
      </c>
      <c r="AP110" t="s">
        <v>237</v>
      </c>
      <c r="AQ110" t="s">
        <v>131</v>
      </c>
      <c r="AR110" t="s">
        <v>302</v>
      </c>
      <c r="AT110" t="s">
        <v>1496</v>
      </c>
      <c r="AU110" t="s">
        <v>386</v>
      </c>
      <c r="AV110" t="s">
        <v>230</v>
      </c>
      <c r="AX110" s="1" t="s">
        <v>123</v>
      </c>
      <c r="CR110" s="1" t="s">
        <v>123</v>
      </c>
      <c r="DB110" s="1" t="s">
        <v>123</v>
      </c>
      <c r="DL110" s="1" t="s">
        <v>123</v>
      </c>
      <c r="EO110" s="1" t="s">
        <v>123</v>
      </c>
      <c r="EP110" t="s">
        <v>178</v>
      </c>
      <c r="FO110" s="1" t="s">
        <v>123</v>
      </c>
      <c r="GW110" t="s">
        <v>1497</v>
      </c>
      <c r="GX110" t="s">
        <v>1497</v>
      </c>
      <c r="GY110" t="s">
        <v>1497</v>
      </c>
      <c r="GZ110" t="s">
        <v>186</v>
      </c>
      <c r="HA110">
        <v>1981</v>
      </c>
      <c r="HB110" t="s">
        <v>246</v>
      </c>
    </row>
    <row r="111" spans="1:214" x14ac:dyDescent="0.45">
      <c r="A111">
        <v>178</v>
      </c>
      <c r="B111">
        <f>_xlfn.IFNA(VLOOKUP(Analiza[[#This Row],[Zakończono wypełnianie]],Zakończone[],2,0),"BRAK")</f>
        <v>100</v>
      </c>
      <c r="C111">
        <f t="shared" si="3"/>
        <v>31</v>
      </c>
      <c r="D111" t="s">
        <v>1131</v>
      </c>
      <c r="E111" t="s">
        <v>118</v>
      </c>
      <c r="J111" t="s">
        <v>119</v>
      </c>
      <c r="K111" t="s">
        <v>1501</v>
      </c>
      <c r="L111" t="s">
        <v>1502</v>
      </c>
      <c r="M111">
        <v>1485</v>
      </c>
      <c r="N111">
        <v>0</v>
      </c>
      <c r="O111" t="s">
        <v>122</v>
      </c>
      <c r="P111" s="1" t="s">
        <v>123</v>
      </c>
      <c r="AF111" s="1" t="s">
        <v>124</v>
      </c>
      <c r="AG111" t="s">
        <v>1503</v>
      </c>
      <c r="AH111">
        <v>2016</v>
      </c>
      <c r="AI111" t="s">
        <v>148</v>
      </c>
      <c r="AJ111" t="s">
        <v>1504</v>
      </c>
      <c r="AK111" t="s">
        <v>150</v>
      </c>
      <c r="AL111" t="s">
        <v>151</v>
      </c>
      <c r="AM111" t="s">
        <v>162</v>
      </c>
      <c r="AN111" t="s">
        <v>150</v>
      </c>
      <c r="AO111" t="s">
        <v>169</v>
      </c>
      <c r="AP111">
        <v>4</v>
      </c>
      <c r="AQ111" t="s">
        <v>302</v>
      </c>
      <c r="AR111" t="s">
        <v>153</v>
      </c>
      <c r="AS111" t="s">
        <v>1505</v>
      </c>
      <c r="AT111" t="s">
        <v>1506</v>
      </c>
      <c r="AU111" t="s">
        <v>1507</v>
      </c>
      <c r="AV111" t="s">
        <v>157</v>
      </c>
      <c r="AX111" s="1" t="s">
        <v>123</v>
      </c>
      <c r="CR111" s="1" t="s">
        <v>123</v>
      </c>
      <c r="DB111" s="1" t="s">
        <v>123</v>
      </c>
      <c r="DL111" s="1" t="s">
        <v>123</v>
      </c>
      <c r="EO111" s="1" t="s">
        <v>123</v>
      </c>
      <c r="FO111" s="1" t="s">
        <v>123</v>
      </c>
      <c r="GW111" t="s">
        <v>1508</v>
      </c>
      <c r="GX111" t="s">
        <v>1509</v>
      </c>
      <c r="GY111" t="s">
        <v>1510</v>
      </c>
      <c r="GZ111" t="s">
        <v>186</v>
      </c>
      <c r="HA111">
        <v>1991</v>
      </c>
      <c r="HB111" t="s">
        <v>398</v>
      </c>
    </row>
    <row r="112" spans="1:214" x14ac:dyDescent="0.45">
      <c r="A112">
        <v>179</v>
      </c>
      <c r="B112">
        <f>_xlfn.IFNA(VLOOKUP(Analiza[[#This Row],[Zakończono wypełnianie]],Zakończone[],2,0),"BRAK")</f>
        <v>101</v>
      </c>
      <c r="C112">
        <f t="shared" si="3"/>
        <v>42</v>
      </c>
      <c r="D112" t="s">
        <v>1511</v>
      </c>
      <c r="E112" t="s">
        <v>118</v>
      </c>
      <c r="J112" t="s">
        <v>119</v>
      </c>
      <c r="K112" t="s">
        <v>1512</v>
      </c>
      <c r="L112" t="s">
        <v>1513</v>
      </c>
      <c r="M112">
        <v>2685</v>
      </c>
      <c r="N112">
        <v>0</v>
      </c>
      <c r="O112" t="s">
        <v>122</v>
      </c>
      <c r="P112" s="1" t="s">
        <v>123</v>
      </c>
      <c r="AF112" s="1" t="s">
        <v>124</v>
      </c>
      <c r="AG112" t="s">
        <v>1514</v>
      </c>
      <c r="AH112">
        <v>1996</v>
      </c>
      <c r="AI112" t="s">
        <v>148</v>
      </c>
      <c r="AJ112" t="s">
        <v>1515</v>
      </c>
      <c r="AK112" t="s">
        <v>162</v>
      </c>
      <c r="AL112" t="s">
        <v>151</v>
      </c>
      <c r="AM112" t="s">
        <v>162</v>
      </c>
      <c r="AN112" t="s">
        <v>162</v>
      </c>
      <c r="AO112" t="s">
        <v>151</v>
      </c>
      <c r="AP112" t="s">
        <v>1516</v>
      </c>
      <c r="AQ112" t="s">
        <v>194</v>
      </c>
      <c r="AR112" t="s">
        <v>194</v>
      </c>
      <c r="AS112" t="s">
        <v>1517</v>
      </c>
      <c r="AT112" t="s">
        <v>1518</v>
      </c>
      <c r="AU112" t="s">
        <v>1519</v>
      </c>
      <c r="AV112" t="s">
        <v>172</v>
      </c>
      <c r="AX112" s="1" t="s">
        <v>123</v>
      </c>
      <c r="CR112" s="1" t="s">
        <v>123</v>
      </c>
      <c r="DB112" s="1" t="s">
        <v>123</v>
      </c>
      <c r="DL112" s="1" t="s">
        <v>123</v>
      </c>
      <c r="EO112" s="1" t="s">
        <v>177</v>
      </c>
      <c r="EP112" t="s">
        <v>180</v>
      </c>
      <c r="EQ112">
        <v>1</v>
      </c>
      <c r="ER112" t="s">
        <v>1520</v>
      </c>
      <c r="ES112" t="s">
        <v>150</v>
      </c>
      <c r="ET112" t="s">
        <v>162</v>
      </c>
      <c r="EU112" t="s">
        <v>162</v>
      </c>
      <c r="EV112" t="s">
        <v>178</v>
      </c>
      <c r="EW112" t="s">
        <v>1521</v>
      </c>
      <c r="EX112" t="s">
        <v>1522</v>
      </c>
      <c r="EY112" t="s">
        <v>173</v>
      </c>
      <c r="FO112" s="1" t="s">
        <v>123</v>
      </c>
      <c r="GW112" t="s">
        <v>1523</v>
      </c>
      <c r="GX112" t="s">
        <v>1524</v>
      </c>
      <c r="GY112" t="s">
        <v>1525</v>
      </c>
      <c r="GZ112" t="s">
        <v>186</v>
      </c>
      <c r="HA112">
        <v>1974</v>
      </c>
      <c r="HB112" t="s">
        <v>398</v>
      </c>
      <c r="HD112" t="s">
        <v>1526</v>
      </c>
    </row>
    <row r="113" spans="1:214" x14ac:dyDescent="0.45">
      <c r="A113">
        <v>181</v>
      </c>
      <c r="B113">
        <f>_xlfn.IFNA(VLOOKUP(Analiza[[#This Row],[Zakończono wypełnianie]],Zakończone[],2,0),"BRAK")</f>
        <v>102</v>
      </c>
      <c r="C113">
        <f t="shared" si="3"/>
        <v>33</v>
      </c>
      <c r="D113" t="s">
        <v>1336</v>
      </c>
      <c r="E113" t="s">
        <v>118</v>
      </c>
      <c r="J113" t="s">
        <v>119</v>
      </c>
      <c r="K113" t="s">
        <v>1528</v>
      </c>
      <c r="L113" t="s">
        <v>1529</v>
      </c>
      <c r="M113">
        <v>426</v>
      </c>
      <c r="N113">
        <v>0</v>
      </c>
      <c r="O113" t="s">
        <v>122</v>
      </c>
      <c r="P113" s="1" t="s">
        <v>416</v>
      </c>
      <c r="Q113" t="s">
        <v>1439</v>
      </c>
      <c r="R113" t="s">
        <v>126</v>
      </c>
      <c r="S113" t="s">
        <v>192</v>
      </c>
      <c r="T113" t="s">
        <v>151</v>
      </c>
      <c r="U113" t="s">
        <v>162</v>
      </c>
      <c r="V113" t="s">
        <v>128</v>
      </c>
      <c r="W113" t="s">
        <v>1531</v>
      </c>
      <c r="X113" t="s">
        <v>194</v>
      </c>
      <c r="Y113" t="s">
        <v>194</v>
      </c>
      <c r="Z113" t="s">
        <v>1532</v>
      </c>
      <c r="AA113" t="s">
        <v>1533</v>
      </c>
      <c r="AB113" t="s">
        <v>1534</v>
      </c>
      <c r="AC113" t="s">
        <v>892</v>
      </c>
      <c r="AE113">
        <v>7</v>
      </c>
      <c r="AF113" s="1" t="s">
        <v>123</v>
      </c>
      <c r="AX113" s="1" t="s">
        <v>123</v>
      </c>
      <c r="CR113" s="1" t="s">
        <v>123</v>
      </c>
      <c r="DB113" s="1" t="s">
        <v>123</v>
      </c>
      <c r="DL113" s="1" t="s">
        <v>123</v>
      </c>
      <c r="EO113" s="1" t="s">
        <v>123</v>
      </c>
      <c r="EP113" t="s">
        <v>178</v>
      </c>
      <c r="EQ113" t="s">
        <v>132</v>
      </c>
      <c r="FO113" s="1" t="s">
        <v>123</v>
      </c>
      <c r="GW113" t="s">
        <v>1535</v>
      </c>
      <c r="GX113" t="s">
        <v>1536</v>
      </c>
      <c r="GY113" t="s">
        <v>1537</v>
      </c>
      <c r="GZ113" t="s">
        <v>140</v>
      </c>
      <c r="HA113">
        <v>1991</v>
      </c>
      <c r="HB113" t="s">
        <v>141</v>
      </c>
      <c r="HD113" t="s">
        <v>1538</v>
      </c>
      <c r="HE113" t="s">
        <v>1539</v>
      </c>
    </row>
    <row r="114" spans="1:214" x14ac:dyDescent="0.45">
      <c r="A114">
        <v>182</v>
      </c>
      <c r="B114">
        <f>_xlfn.IFNA(VLOOKUP(Analiza[[#This Row],[Zakończono wypełnianie]],Zakończone[],2,0),"BRAK")</f>
        <v>103</v>
      </c>
      <c r="C114">
        <f t="shared" si="3"/>
        <v>33</v>
      </c>
      <c r="D114" t="s">
        <v>1540</v>
      </c>
      <c r="E114" t="s">
        <v>118</v>
      </c>
      <c r="J114" t="s">
        <v>119</v>
      </c>
      <c r="K114" t="s">
        <v>1541</v>
      </c>
      <c r="L114" t="s">
        <v>1542</v>
      </c>
      <c r="M114">
        <v>193</v>
      </c>
      <c r="N114">
        <v>0</v>
      </c>
      <c r="O114" t="s">
        <v>122</v>
      </c>
      <c r="P114" s="1" t="s">
        <v>123</v>
      </c>
      <c r="AF114" s="1" t="s">
        <v>124</v>
      </c>
      <c r="AG114" t="s">
        <v>191</v>
      </c>
      <c r="AH114">
        <v>2013</v>
      </c>
      <c r="AI114" t="s">
        <v>126</v>
      </c>
      <c r="AJ114" t="s">
        <v>1544</v>
      </c>
      <c r="AK114" t="s">
        <v>236</v>
      </c>
      <c r="AL114" t="s">
        <v>236</v>
      </c>
      <c r="AM114" t="s">
        <v>162</v>
      </c>
      <c r="AN114" t="s">
        <v>236</v>
      </c>
      <c r="AO114" t="s">
        <v>236</v>
      </c>
      <c r="AP114">
        <v>1</v>
      </c>
      <c r="AQ114" t="s">
        <v>131</v>
      </c>
      <c r="AR114" t="s">
        <v>302</v>
      </c>
      <c r="AT114" t="s">
        <v>267</v>
      </c>
      <c r="AU114" t="s">
        <v>267</v>
      </c>
      <c r="AV114" t="s">
        <v>157</v>
      </c>
      <c r="AX114" s="1" t="s">
        <v>123</v>
      </c>
      <c r="CR114" s="1" t="s">
        <v>123</v>
      </c>
      <c r="DB114" s="1" t="s">
        <v>123</v>
      </c>
      <c r="DL114" s="1" t="s">
        <v>123</v>
      </c>
      <c r="EO114" s="1" t="s">
        <v>123</v>
      </c>
      <c r="FO114" s="1" t="s">
        <v>123</v>
      </c>
      <c r="GW114" t="s">
        <v>267</v>
      </c>
      <c r="GX114" t="s">
        <v>267</v>
      </c>
      <c r="GY114" t="s">
        <v>267</v>
      </c>
      <c r="GZ114" t="s">
        <v>186</v>
      </c>
      <c r="HA114">
        <v>1989</v>
      </c>
      <c r="HB114" t="s">
        <v>141</v>
      </c>
      <c r="HD114" t="s">
        <v>267</v>
      </c>
      <c r="HE114" t="s">
        <v>267</v>
      </c>
      <c r="HF114" t="s">
        <v>267</v>
      </c>
    </row>
    <row r="115" spans="1:214" x14ac:dyDescent="0.45">
      <c r="A115">
        <v>183</v>
      </c>
      <c r="B115">
        <f>_xlfn.IFNA(VLOOKUP(Analiza[[#This Row],[Zakończono wypełnianie]],Zakończone[],2,0),"BRAK")</f>
        <v>104</v>
      </c>
      <c r="C115">
        <f t="shared" si="3"/>
        <v>32</v>
      </c>
      <c r="D115" t="s">
        <v>1545</v>
      </c>
      <c r="E115" t="s">
        <v>118</v>
      </c>
      <c r="J115" t="s">
        <v>119</v>
      </c>
      <c r="K115" t="s">
        <v>1546</v>
      </c>
      <c r="L115" t="s">
        <v>1547</v>
      </c>
      <c r="M115">
        <v>1556</v>
      </c>
      <c r="N115">
        <v>0</v>
      </c>
      <c r="O115" t="s">
        <v>122</v>
      </c>
      <c r="P115" s="1" t="s">
        <v>123</v>
      </c>
      <c r="AF115" s="1" t="s">
        <v>124</v>
      </c>
      <c r="AG115" t="s">
        <v>191</v>
      </c>
      <c r="AH115">
        <v>2018</v>
      </c>
      <c r="AI115" t="s">
        <v>126</v>
      </c>
      <c r="AJ115" t="s">
        <v>192</v>
      </c>
      <c r="AK115" t="s">
        <v>150</v>
      </c>
      <c r="AL115" t="s">
        <v>162</v>
      </c>
      <c r="AM115" t="s">
        <v>150</v>
      </c>
      <c r="AN115" t="s">
        <v>162</v>
      </c>
      <c r="AO115" t="s">
        <v>169</v>
      </c>
      <c r="AP115" t="s">
        <v>237</v>
      </c>
      <c r="AQ115" t="s">
        <v>153</v>
      </c>
      <c r="AR115" t="s">
        <v>209</v>
      </c>
      <c r="AS115" t="s">
        <v>1548</v>
      </c>
      <c r="AT115" t="s">
        <v>1549</v>
      </c>
      <c r="AU115" t="s">
        <v>1550</v>
      </c>
      <c r="AV115" t="s">
        <v>230</v>
      </c>
      <c r="AX115" s="1" t="s">
        <v>123</v>
      </c>
      <c r="CR115" s="1" t="s">
        <v>123</v>
      </c>
      <c r="DB115" s="1" t="s">
        <v>123</v>
      </c>
      <c r="DL115" s="1" t="s">
        <v>123</v>
      </c>
      <c r="EO115" s="1" t="s">
        <v>123</v>
      </c>
      <c r="FO115" s="1" t="s">
        <v>123</v>
      </c>
      <c r="GW115" t="s">
        <v>1551</v>
      </c>
      <c r="GX115" t="s">
        <v>1552</v>
      </c>
      <c r="GY115" t="s">
        <v>1553</v>
      </c>
      <c r="GZ115" t="s">
        <v>186</v>
      </c>
      <c r="HA115">
        <v>1994</v>
      </c>
      <c r="HB115" t="s">
        <v>483</v>
      </c>
      <c r="HD115" t="s">
        <v>1554</v>
      </c>
    </row>
    <row r="116" spans="1:214" x14ac:dyDescent="0.45">
      <c r="A116">
        <v>184</v>
      </c>
      <c r="B116">
        <f>_xlfn.IFNA(VLOOKUP(Analiza[[#This Row],[Zakończono wypełnianie]],Zakończone[],2,0),"BRAK")</f>
        <v>105</v>
      </c>
      <c r="C116">
        <f t="shared" si="3"/>
        <v>33</v>
      </c>
      <c r="D116" t="s">
        <v>1555</v>
      </c>
      <c r="E116" t="s">
        <v>118</v>
      </c>
      <c r="J116" t="s">
        <v>119</v>
      </c>
      <c r="K116" t="s">
        <v>1556</v>
      </c>
      <c r="L116" t="s">
        <v>1557</v>
      </c>
      <c r="M116">
        <v>1119</v>
      </c>
      <c r="N116">
        <v>0</v>
      </c>
      <c r="O116" t="s">
        <v>122</v>
      </c>
      <c r="P116" s="1" t="s">
        <v>123</v>
      </c>
      <c r="AF116" s="1" t="s">
        <v>124</v>
      </c>
      <c r="AG116" t="s">
        <v>191</v>
      </c>
      <c r="AH116">
        <v>1997</v>
      </c>
      <c r="AI116" t="s">
        <v>126</v>
      </c>
      <c r="AJ116" t="s">
        <v>1558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1559</v>
      </c>
      <c r="AQ116" t="s">
        <v>132</v>
      </c>
      <c r="AR116" t="s">
        <v>132</v>
      </c>
      <c r="AS116" t="s">
        <v>1560</v>
      </c>
      <c r="AT116" t="s">
        <v>1561</v>
      </c>
      <c r="AU116" t="s">
        <v>1562</v>
      </c>
      <c r="AV116" t="s">
        <v>172</v>
      </c>
      <c r="AX116" s="1" t="s">
        <v>123</v>
      </c>
      <c r="CR116" s="1" t="s">
        <v>123</v>
      </c>
      <c r="DB116" s="1" t="s">
        <v>123</v>
      </c>
      <c r="DL116" s="1" t="s">
        <v>123</v>
      </c>
      <c r="EO116" s="1" t="s">
        <v>123</v>
      </c>
      <c r="FO116" s="1" t="s">
        <v>123</v>
      </c>
      <c r="GW116" t="s">
        <v>1563</v>
      </c>
      <c r="GX116" t="s">
        <v>1564</v>
      </c>
      <c r="GY116" t="s">
        <v>1565</v>
      </c>
      <c r="GZ116" t="s">
        <v>186</v>
      </c>
      <c r="HA116">
        <v>1972</v>
      </c>
      <c r="HB116" t="s">
        <v>483</v>
      </c>
      <c r="HD116" t="s">
        <v>1566</v>
      </c>
      <c r="HE116" t="s">
        <v>142</v>
      </c>
    </row>
    <row r="117" spans="1:214" x14ac:dyDescent="0.45">
      <c r="A117">
        <v>185</v>
      </c>
      <c r="B117" t="str">
        <f>_xlfn.IFNA(VLOOKUP(Analiza[[#This Row],[Zakończono wypełnianie]],Zakończone[],2,0),"BRAK")</f>
        <v>BRAK</v>
      </c>
      <c r="C117">
        <f t="shared" si="3"/>
        <v>24</v>
      </c>
      <c r="D117" t="s">
        <v>1142</v>
      </c>
      <c r="E117" t="s">
        <v>118</v>
      </c>
      <c r="J117" t="s">
        <v>286</v>
      </c>
      <c r="K117" t="s">
        <v>1567</v>
      </c>
      <c r="L117" t="s">
        <v>1567</v>
      </c>
      <c r="M117">
        <v>0</v>
      </c>
      <c r="N117">
        <v>0</v>
      </c>
      <c r="O117" t="s">
        <v>122</v>
      </c>
      <c r="P117" s="1" t="s">
        <v>123</v>
      </c>
      <c r="AF117" s="1" t="s">
        <v>124</v>
      </c>
      <c r="AG117" t="s">
        <v>1503</v>
      </c>
      <c r="AH117">
        <v>2010</v>
      </c>
      <c r="AI117" t="s">
        <v>126</v>
      </c>
      <c r="AJ117" t="s">
        <v>1568</v>
      </c>
      <c r="AK117" t="s">
        <v>128</v>
      </c>
      <c r="AL117" t="s">
        <v>151</v>
      </c>
      <c r="AM117" t="s">
        <v>151</v>
      </c>
      <c r="AN117" t="s">
        <v>128</v>
      </c>
      <c r="AO117" t="s">
        <v>151</v>
      </c>
      <c r="AP117" t="s">
        <v>1569</v>
      </c>
      <c r="AQ117" t="s">
        <v>131</v>
      </c>
      <c r="AR117" t="s">
        <v>302</v>
      </c>
      <c r="AT117" t="s">
        <v>1570</v>
      </c>
      <c r="AU117" t="s">
        <v>532</v>
      </c>
      <c r="AW117" t="s">
        <v>1571</v>
      </c>
      <c r="AX117" s="1" t="s">
        <v>123</v>
      </c>
      <c r="CR117" s="1" t="s">
        <v>123</v>
      </c>
      <c r="DB117" s="1" t="s">
        <v>123</v>
      </c>
      <c r="DL117" s="1" t="s">
        <v>123</v>
      </c>
      <c r="EO117" s="1" t="s">
        <v>123</v>
      </c>
      <c r="FO117" s="1" t="s">
        <v>123</v>
      </c>
    </row>
    <row r="118" spans="1:214" x14ac:dyDescent="0.45">
      <c r="A118">
        <v>187</v>
      </c>
      <c r="B118">
        <f>_xlfn.IFNA(VLOOKUP(Analiza[[#This Row],[Zakończono wypełnianie]],Zakończone[],2,0),"BRAK")</f>
        <v>106</v>
      </c>
      <c r="C118">
        <f t="shared" si="3"/>
        <v>33</v>
      </c>
      <c r="D118" t="s">
        <v>1574</v>
      </c>
      <c r="E118" t="s">
        <v>118</v>
      </c>
      <c r="J118" t="s">
        <v>119</v>
      </c>
      <c r="K118" t="s">
        <v>1575</v>
      </c>
      <c r="L118" t="s">
        <v>1576</v>
      </c>
      <c r="M118">
        <v>701</v>
      </c>
      <c r="N118">
        <v>0</v>
      </c>
      <c r="O118" t="s">
        <v>122</v>
      </c>
      <c r="P118" s="1" t="s">
        <v>123</v>
      </c>
      <c r="AF118" s="1" t="s">
        <v>124</v>
      </c>
      <c r="AG118" t="s">
        <v>191</v>
      </c>
      <c r="AH118" t="s">
        <v>1577</v>
      </c>
      <c r="AI118" t="s">
        <v>126</v>
      </c>
      <c r="AJ118" t="s">
        <v>1578</v>
      </c>
      <c r="AK118" t="s">
        <v>162</v>
      </c>
      <c r="AL118" t="s">
        <v>162</v>
      </c>
      <c r="AM118" t="s">
        <v>151</v>
      </c>
      <c r="AN118" t="s">
        <v>162</v>
      </c>
      <c r="AO118" t="s">
        <v>151</v>
      </c>
      <c r="AP118" t="s">
        <v>530</v>
      </c>
      <c r="AQ118" t="s">
        <v>302</v>
      </c>
      <c r="AR118" t="s">
        <v>302</v>
      </c>
      <c r="AT118" t="s">
        <v>1579</v>
      </c>
      <c r="AU118" t="s">
        <v>1580</v>
      </c>
      <c r="AV118" t="s">
        <v>157</v>
      </c>
      <c r="AW118" t="s">
        <v>1581</v>
      </c>
      <c r="AX118" s="1" t="s">
        <v>123</v>
      </c>
      <c r="CR118" s="1" t="s">
        <v>123</v>
      </c>
      <c r="DB118" s="1" t="s">
        <v>123</v>
      </c>
      <c r="DL118" s="1" t="s">
        <v>123</v>
      </c>
      <c r="EO118" s="1" t="s">
        <v>123</v>
      </c>
      <c r="FO118" s="1" t="s">
        <v>123</v>
      </c>
      <c r="GW118" t="s">
        <v>1582</v>
      </c>
      <c r="GX118" t="s">
        <v>1583</v>
      </c>
      <c r="GY118" t="s">
        <v>1584</v>
      </c>
      <c r="GZ118" t="s">
        <v>140</v>
      </c>
      <c r="HA118">
        <v>1985</v>
      </c>
      <c r="HB118" t="s">
        <v>220</v>
      </c>
      <c r="HD118" t="s">
        <v>1585</v>
      </c>
      <c r="HE118" t="s">
        <v>1586</v>
      </c>
    </row>
    <row r="119" spans="1:214" x14ac:dyDescent="0.45">
      <c r="A119">
        <v>188</v>
      </c>
      <c r="B119">
        <f>_xlfn.IFNA(VLOOKUP(Analiza[[#This Row],[Zakończono wypełnianie]],Zakończone[],2,0),"BRAK")</f>
        <v>107</v>
      </c>
      <c r="C119">
        <f t="shared" si="3"/>
        <v>66</v>
      </c>
      <c r="D119" t="s">
        <v>1587</v>
      </c>
      <c r="E119" t="s">
        <v>118</v>
      </c>
      <c r="J119" t="s">
        <v>119</v>
      </c>
      <c r="K119" t="s">
        <v>1588</v>
      </c>
      <c r="L119" t="s">
        <v>1589</v>
      </c>
      <c r="M119">
        <v>1788</v>
      </c>
      <c r="N119">
        <v>0</v>
      </c>
      <c r="O119" t="s">
        <v>122</v>
      </c>
      <c r="P119" s="1" t="s">
        <v>123</v>
      </c>
      <c r="AF119" s="1" t="s">
        <v>124</v>
      </c>
      <c r="AG119" t="s">
        <v>191</v>
      </c>
      <c r="AH119">
        <v>1983</v>
      </c>
      <c r="AI119" t="s">
        <v>126</v>
      </c>
      <c r="AJ119" t="s">
        <v>1590</v>
      </c>
      <c r="AK119" t="s">
        <v>150</v>
      </c>
      <c r="AL119" t="s">
        <v>150</v>
      </c>
      <c r="AM119" t="s">
        <v>236</v>
      </c>
      <c r="AN119" t="s">
        <v>129</v>
      </c>
      <c r="AO119" t="s">
        <v>162</v>
      </c>
      <c r="AP119">
        <v>36</v>
      </c>
      <c r="AQ119" t="s">
        <v>132</v>
      </c>
      <c r="AR119" t="s">
        <v>132</v>
      </c>
      <c r="AS119" t="s">
        <v>1591</v>
      </c>
      <c r="AT119" t="s">
        <v>1592</v>
      </c>
      <c r="AU119" t="s">
        <v>1593</v>
      </c>
      <c r="AV119" t="s">
        <v>172</v>
      </c>
      <c r="AX119" s="1" t="s">
        <v>159</v>
      </c>
      <c r="AY119">
        <v>3</v>
      </c>
      <c r="AZ119" t="s">
        <v>191</v>
      </c>
      <c r="BA119">
        <v>2019</v>
      </c>
      <c r="BB119" t="s">
        <v>126</v>
      </c>
      <c r="BC119" t="s">
        <v>1594</v>
      </c>
      <c r="BD119" t="s">
        <v>236</v>
      </c>
      <c r="BE119" t="s">
        <v>128</v>
      </c>
      <c r="BF119" t="s">
        <v>162</v>
      </c>
      <c r="BG119" t="s">
        <v>151</v>
      </c>
      <c r="BH119" t="s">
        <v>132</v>
      </c>
      <c r="BI119" t="s">
        <v>1595</v>
      </c>
      <c r="BJ119" t="s">
        <v>1596</v>
      </c>
      <c r="BK119" t="s">
        <v>157</v>
      </c>
      <c r="BN119" t="s">
        <v>173</v>
      </c>
      <c r="CR119" s="1" t="s">
        <v>123</v>
      </c>
      <c r="DB119" s="1" t="s">
        <v>123</v>
      </c>
      <c r="DL119" s="1" t="s">
        <v>123</v>
      </c>
      <c r="EO119" s="1" t="s">
        <v>177</v>
      </c>
      <c r="EP119" t="s">
        <v>178</v>
      </c>
      <c r="EQ119">
        <v>2</v>
      </c>
      <c r="ER119" t="s">
        <v>747</v>
      </c>
      <c r="ES119" t="s">
        <v>236</v>
      </c>
      <c r="ET119" t="s">
        <v>236</v>
      </c>
      <c r="EU119" t="s">
        <v>128</v>
      </c>
      <c r="EV119" t="s">
        <v>178</v>
      </c>
      <c r="EW119" t="s">
        <v>1597</v>
      </c>
      <c r="EX119" t="s">
        <v>1598</v>
      </c>
      <c r="EY119" t="s">
        <v>1206</v>
      </c>
      <c r="EZ119" t="s">
        <v>1599</v>
      </c>
      <c r="FA119" t="s">
        <v>129</v>
      </c>
      <c r="FB119" t="s">
        <v>129</v>
      </c>
      <c r="FC119" t="s">
        <v>236</v>
      </c>
      <c r="FD119" t="s">
        <v>178</v>
      </c>
      <c r="FE119" t="s">
        <v>1600</v>
      </c>
      <c r="FF119" t="s">
        <v>1601</v>
      </c>
      <c r="FG119" t="s">
        <v>173</v>
      </c>
      <c r="FO119" s="1" t="s">
        <v>123</v>
      </c>
      <c r="GW119" t="s">
        <v>1602</v>
      </c>
      <c r="GX119" t="s">
        <v>1603</v>
      </c>
      <c r="GY119" t="s">
        <v>1604</v>
      </c>
      <c r="GZ119" t="s">
        <v>186</v>
      </c>
      <c r="HA119">
        <v>1959</v>
      </c>
      <c r="HB119" t="s">
        <v>483</v>
      </c>
      <c r="HD119" t="s">
        <v>1605</v>
      </c>
      <c r="HE119" t="s">
        <v>1606</v>
      </c>
      <c r="HF119" t="s">
        <v>1607</v>
      </c>
    </row>
    <row r="120" spans="1:214" x14ac:dyDescent="0.45">
      <c r="A120">
        <v>189</v>
      </c>
      <c r="B120">
        <f>_xlfn.IFNA(VLOOKUP(Analiza[[#This Row],[Zakończono wypełnianie]],Zakończone[],2,0),"BRAK")</f>
        <v>108</v>
      </c>
      <c r="C120">
        <f t="shared" si="3"/>
        <v>34</v>
      </c>
      <c r="D120" t="s">
        <v>1352</v>
      </c>
      <c r="E120" t="s">
        <v>118</v>
      </c>
      <c r="J120" t="s">
        <v>119</v>
      </c>
      <c r="K120" t="s">
        <v>1608</v>
      </c>
      <c r="L120" t="s">
        <v>1609</v>
      </c>
      <c r="M120">
        <v>4906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>
        <v>2009</v>
      </c>
      <c r="AI120" t="s">
        <v>148</v>
      </c>
      <c r="AJ120" t="s">
        <v>554</v>
      </c>
      <c r="AK120" t="s">
        <v>162</v>
      </c>
      <c r="AL120" t="s">
        <v>162</v>
      </c>
      <c r="AM120" t="s">
        <v>162</v>
      </c>
      <c r="AN120" t="s">
        <v>162</v>
      </c>
      <c r="AO120" t="s">
        <v>162</v>
      </c>
      <c r="AP120" t="s">
        <v>1610</v>
      </c>
      <c r="AQ120" t="s">
        <v>302</v>
      </c>
      <c r="AR120" t="s">
        <v>153</v>
      </c>
      <c r="AT120" t="s">
        <v>1611</v>
      </c>
      <c r="AU120" t="s">
        <v>1612</v>
      </c>
      <c r="AW120" t="s">
        <v>1613</v>
      </c>
      <c r="AX120" s="1" t="s">
        <v>123</v>
      </c>
      <c r="CR120" s="1" t="s">
        <v>123</v>
      </c>
      <c r="DB120" s="1" t="s">
        <v>123</v>
      </c>
      <c r="DL120" s="1" t="s">
        <v>123</v>
      </c>
      <c r="EO120" s="1" t="s">
        <v>123</v>
      </c>
      <c r="EP120" t="s">
        <v>180</v>
      </c>
      <c r="EQ120" t="s">
        <v>132</v>
      </c>
      <c r="FO120" s="1" t="s">
        <v>123</v>
      </c>
      <c r="GW120" t="s">
        <v>1614</v>
      </c>
      <c r="GX120" t="s">
        <v>1247</v>
      </c>
      <c r="GY120" t="s">
        <v>1247</v>
      </c>
      <c r="GZ120" t="s">
        <v>140</v>
      </c>
      <c r="HA120">
        <v>1983</v>
      </c>
      <c r="HB120" t="s">
        <v>220</v>
      </c>
      <c r="HD120" t="s">
        <v>1615</v>
      </c>
      <c r="HE120" t="s">
        <v>1615</v>
      </c>
    </row>
    <row r="121" spans="1:214" x14ac:dyDescent="0.45">
      <c r="A121">
        <v>191</v>
      </c>
      <c r="B121">
        <f>_xlfn.IFNA(VLOOKUP(Analiza[[#This Row],[Zakończono wypełnianie]],Zakończone[],2,0),"BRAK")</f>
        <v>109</v>
      </c>
      <c r="C121">
        <f t="shared" si="3"/>
        <v>32</v>
      </c>
      <c r="D121" t="s">
        <v>1618</v>
      </c>
      <c r="E121" t="s">
        <v>118</v>
      </c>
      <c r="J121" t="s">
        <v>119</v>
      </c>
      <c r="K121" t="s">
        <v>1619</v>
      </c>
      <c r="L121" t="s">
        <v>1620</v>
      </c>
      <c r="M121">
        <v>1891</v>
      </c>
      <c r="N121">
        <v>0</v>
      </c>
      <c r="O121" t="s">
        <v>122</v>
      </c>
      <c r="P121" s="1" t="s">
        <v>123</v>
      </c>
      <c r="AF121" s="1" t="s">
        <v>124</v>
      </c>
      <c r="AG121" t="s">
        <v>1503</v>
      </c>
      <c r="AH121">
        <v>2000</v>
      </c>
      <c r="AI121" t="s">
        <v>148</v>
      </c>
      <c r="AJ121" t="s">
        <v>1622</v>
      </c>
      <c r="AK121" t="s">
        <v>150</v>
      </c>
      <c r="AL121" t="s">
        <v>150</v>
      </c>
      <c r="AM121" t="s">
        <v>150</v>
      </c>
      <c r="AN121" t="s">
        <v>236</v>
      </c>
      <c r="AO121" t="s">
        <v>162</v>
      </c>
      <c r="AP121" t="s">
        <v>1623</v>
      </c>
      <c r="AQ121" t="s">
        <v>132</v>
      </c>
      <c r="AR121" t="s">
        <v>302</v>
      </c>
      <c r="AS121" t="s">
        <v>1624</v>
      </c>
      <c r="AT121" t="s">
        <v>1625</v>
      </c>
      <c r="AU121" t="s">
        <v>1626</v>
      </c>
      <c r="AV121" t="s">
        <v>172</v>
      </c>
      <c r="AX121" s="1" t="s">
        <v>123</v>
      </c>
      <c r="CR121" s="1" t="s">
        <v>123</v>
      </c>
      <c r="DB121" s="1" t="s">
        <v>123</v>
      </c>
      <c r="DL121" s="1" t="s">
        <v>123</v>
      </c>
      <c r="EO121" s="1" t="s">
        <v>123</v>
      </c>
      <c r="FO121" s="1" t="s">
        <v>123</v>
      </c>
      <c r="GW121" t="s">
        <v>1627</v>
      </c>
      <c r="GX121" t="s">
        <v>1628</v>
      </c>
      <c r="GY121" t="s">
        <v>1629</v>
      </c>
      <c r="GZ121" t="s">
        <v>186</v>
      </c>
      <c r="HA121">
        <v>72</v>
      </c>
      <c r="HB121" t="s">
        <v>1630</v>
      </c>
      <c r="HE121" t="s">
        <v>1631</v>
      </c>
    </row>
    <row r="122" spans="1:214" x14ac:dyDescent="0.45">
      <c r="A122">
        <v>193</v>
      </c>
      <c r="B122">
        <f>_xlfn.IFNA(VLOOKUP(Analiza[[#This Row],[Zakończono wypełnianie]],Zakończone[],2,0),"BRAK")</f>
        <v>110</v>
      </c>
      <c r="C122">
        <f t="shared" si="3"/>
        <v>33</v>
      </c>
      <c r="D122" t="s">
        <v>1131</v>
      </c>
      <c r="E122" t="s">
        <v>118</v>
      </c>
      <c r="J122" t="s">
        <v>119</v>
      </c>
      <c r="K122" t="s">
        <v>1634</v>
      </c>
      <c r="L122" t="s">
        <v>1635</v>
      </c>
      <c r="M122">
        <v>545</v>
      </c>
      <c r="N122">
        <v>0</v>
      </c>
      <c r="O122" t="s">
        <v>122</v>
      </c>
      <c r="P122" s="1" t="s">
        <v>123</v>
      </c>
      <c r="AF122" s="1" t="s">
        <v>124</v>
      </c>
      <c r="AG122" t="s">
        <v>1636</v>
      </c>
      <c r="AH122">
        <v>2001</v>
      </c>
      <c r="AI122" t="s">
        <v>148</v>
      </c>
      <c r="AJ122" t="s">
        <v>1637</v>
      </c>
      <c r="AK122" t="s">
        <v>150</v>
      </c>
      <c r="AL122" t="s">
        <v>150</v>
      </c>
      <c r="AM122" t="s">
        <v>169</v>
      </c>
      <c r="AN122" t="s">
        <v>150</v>
      </c>
      <c r="AO122" t="s">
        <v>169</v>
      </c>
      <c r="AP122" t="s">
        <v>1638</v>
      </c>
      <c r="AQ122" t="s">
        <v>152</v>
      </c>
      <c r="AR122" t="s">
        <v>153</v>
      </c>
      <c r="AS122" t="s">
        <v>1639</v>
      </c>
      <c r="AT122" t="s">
        <v>1640</v>
      </c>
      <c r="AU122" t="s">
        <v>386</v>
      </c>
      <c r="AV122" t="s">
        <v>157</v>
      </c>
      <c r="AX122" s="1" t="s">
        <v>123</v>
      </c>
      <c r="CR122" s="1" t="s">
        <v>123</v>
      </c>
      <c r="DB122" s="1" t="s">
        <v>123</v>
      </c>
      <c r="DL122" s="1" t="s">
        <v>123</v>
      </c>
      <c r="EO122" s="1" t="s">
        <v>123</v>
      </c>
      <c r="FO122" s="1" t="s">
        <v>123</v>
      </c>
      <c r="GW122" t="s">
        <v>1641</v>
      </c>
      <c r="GX122" t="s">
        <v>1642</v>
      </c>
      <c r="GY122" t="s">
        <v>1643</v>
      </c>
      <c r="GZ122" t="s">
        <v>140</v>
      </c>
      <c r="HA122">
        <v>1977</v>
      </c>
      <c r="HB122" t="s">
        <v>141</v>
      </c>
      <c r="HC122" t="s">
        <v>1644</v>
      </c>
      <c r="HD122" t="s">
        <v>1645</v>
      </c>
    </row>
    <row r="123" spans="1:214" x14ac:dyDescent="0.45">
      <c r="A123">
        <v>195</v>
      </c>
      <c r="B123">
        <f>_xlfn.IFNA(VLOOKUP(Analiza[[#This Row],[Zakończono wypełnianie]],Zakończone[],2,0),"BRAK")</f>
        <v>111</v>
      </c>
      <c r="C123">
        <f t="shared" si="3"/>
        <v>32</v>
      </c>
      <c r="D123" t="s">
        <v>1649</v>
      </c>
      <c r="E123" t="s">
        <v>118</v>
      </c>
      <c r="F123" t="s">
        <v>359</v>
      </c>
      <c r="J123" t="s">
        <v>119</v>
      </c>
      <c r="K123" t="s">
        <v>1650</v>
      </c>
      <c r="L123" t="s">
        <v>1651</v>
      </c>
      <c r="M123">
        <v>386</v>
      </c>
      <c r="N123">
        <v>0</v>
      </c>
      <c r="O123" t="s">
        <v>122</v>
      </c>
      <c r="P123" s="1" t="s">
        <v>123</v>
      </c>
      <c r="AF123" s="1" t="s">
        <v>124</v>
      </c>
      <c r="AG123" t="s">
        <v>191</v>
      </c>
      <c r="AH123">
        <v>2016</v>
      </c>
      <c r="AI123" t="s">
        <v>126</v>
      </c>
      <c r="AJ123" t="s">
        <v>1652</v>
      </c>
      <c r="AK123" t="s">
        <v>162</v>
      </c>
      <c r="AL123" t="s">
        <v>151</v>
      </c>
      <c r="AM123" t="s">
        <v>162</v>
      </c>
      <c r="AN123" t="s">
        <v>150</v>
      </c>
      <c r="AO123" t="s">
        <v>236</v>
      </c>
      <c r="AP123" t="s">
        <v>530</v>
      </c>
      <c r="AQ123" t="s">
        <v>153</v>
      </c>
      <c r="AR123" t="s">
        <v>153</v>
      </c>
      <c r="AS123" t="s">
        <v>1653</v>
      </c>
      <c r="AT123" t="s">
        <v>1654</v>
      </c>
      <c r="AU123" t="s">
        <v>1655</v>
      </c>
      <c r="AV123" t="s">
        <v>172</v>
      </c>
      <c r="AX123" s="1" t="s">
        <v>123</v>
      </c>
      <c r="CR123" s="1" t="s">
        <v>123</v>
      </c>
      <c r="DB123" s="1" t="s">
        <v>123</v>
      </c>
      <c r="DL123" s="1" t="s">
        <v>123</v>
      </c>
      <c r="EO123" s="1" t="s">
        <v>123</v>
      </c>
      <c r="EP123" t="s">
        <v>178</v>
      </c>
      <c r="FO123" s="1" t="s">
        <v>123</v>
      </c>
      <c r="GW123" t="s">
        <v>1656</v>
      </c>
      <c r="GX123" t="s">
        <v>1657</v>
      </c>
      <c r="GY123" t="s">
        <v>1658</v>
      </c>
      <c r="GZ123" t="s">
        <v>140</v>
      </c>
      <c r="HA123">
        <v>1993</v>
      </c>
      <c r="HB123" t="s">
        <v>220</v>
      </c>
    </row>
    <row r="124" spans="1:214" x14ac:dyDescent="0.45">
      <c r="A124">
        <v>196</v>
      </c>
      <c r="B124">
        <f>_xlfn.IFNA(VLOOKUP(Analiza[[#This Row],[Zakończono wypełnianie]],Zakończone[],2,0),"BRAK")</f>
        <v>112</v>
      </c>
      <c r="C124">
        <f t="shared" si="3"/>
        <v>54</v>
      </c>
      <c r="D124" t="s">
        <v>1659</v>
      </c>
      <c r="E124" t="s">
        <v>118</v>
      </c>
      <c r="J124" t="s">
        <v>119</v>
      </c>
      <c r="K124" t="s">
        <v>1660</v>
      </c>
      <c r="L124" t="s">
        <v>1661</v>
      </c>
      <c r="M124">
        <v>614</v>
      </c>
      <c r="N124">
        <v>0</v>
      </c>
      <c r="O124" t="s">
        <v>122</v>
      </c>
      <c r="P124" s="1" t="s">
        <v>123</v>
      </c>
      <c r="AF124" s="1" t="s">
        <v>124</v>
      </c>
      <c r="AG124" t="s">
        <v>191</v>
      </c>
      <c r="AH124">
        <v>1991</v>
      </c>
      <c r="AI124" t="s">
        <v>126</v>
      </c>
      <c r="AJ124" t="s">
        <v>1662</v>
      </c>
      <c r="AK124" t="s">
        <v>150</v>
      </c>
      <c r="AL124" t="s">
        <v>150</v>
      </c>
      <c r="AM124" t="s">
        <v>150</v>
      </c>
      <c r="AN124" t="s">
        <v>132</v>
      </c>
      <c r="AO124" t="s">
        <v>132</v>
      </c>
      <c r="AP124" t="s">
        <v>718</v>
      </c>
      <c r="AQ124" t="s">
        <v>132</v>
      </c>
      <c r="AR124" t="s">
        <v>132</v>
      </c>
      <c r="AS124" t="s">
        <v>1663</v>
      </c>
      <c r="AT124" t="s">
        <v>1664</v>
      </c>
      <c r="AU124" t="s">
        <v>1665</v>
      </c>
      <c r="AV124" t="s">
        <v>172</v>
      </c>
      <c r="AX124" s="1" t="s">
        <v>159</v>
      </c>
      <c r="AY124">
        <v>1</v>
      </c>
      <c r="AZ124" t="s">
        <v>191</v>
      </c>
      <c r="BA124">
        <v>2018</v>
      </c>
      <c r="BB124" t="s">
        <v>126</v>
      </c>
      <c r="BC124" t="s">
        <v>1666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>
        <v>1</v>
      </c>
      <c r="BK124" t="s">
        <v>172</v>
      </c>
      <c r="BN124" t="s">
        <v>173</v>
      </c>
      <c r="CR124" s="1" t="s">
        <v>123</v>
      </c>
      <c r="DB124" s="1" t="s">
        <v>123</v>
      </c>
      <c r="DL124" s="1" t="s">
        <v>123</v>
      </c>
      <c r="EO124" s="1" t="s">
        <v>177</v>
      </c>
      <c r="EP124" t="s">
        <v>178</v>
      </c>
      <c r="EQ124">
        <v>1</v>
      </c>
      <c r="ER124" t="s">
        <v>191</v>
      </c>
      <c r="ES124" t="s">
        <v>169</v>
      </c>
      <c r="ET124" t="s">
        <v>169</v>
      </c>
      <c r="EU124" t="s">
        <v>151</v>
      </c>
      <c r="EV124" t="s">
        <v>178</v>
      </c>
      <c r="EW124" t="s">
        <v>1667</v>
      </c>
      <c r="EX124" t="s">
        <v>1668</v>
      </c>
      <c r="EY124" t="s">
        <v>173</v>
      </c>
      <c r="FO124" s="1" t="s">
        <v>123</v>
      </c>
      <c r="GW124" t="s">
        <v>1669</v>
      </c>
      <c r="GX124" t="s">
        <v>1670</v>
      </c>
      <c r="GY124" t="s">
        <v>1671</v>
      </c>
      <c r="GZ124" t="s">
        <v>186</v>
      </c>
      <c r="HA124">
        <v>1966</v>
      </c>
      <c r="HB124" t="s">
        <v>141</v>
      </c>
    </row>
    <row r="125" spans="1:214" x14ac:dyDescent="0.45">
      <c r="A125">
        <v>198</v>
      </c>
      <c r="B125">
        <f>_xlfn.IFNA(VLOOKUP(Analiza[[#This Row],[Zakończono wypełnianie]],Zakończone[],2,0),"BRAK")</f>
        <v>113</v>
      </c>
      <c r="C125">
        <f t="shared" si="3"/>
        <v>31</v>
      </c>
      <c r="D125" t="s">
        <v>1674</v>
      </c>
      <c r="E125" t="s">
        <v>118</v>
      </c>
      <c r="J125" t="s">
        <v>119</v>
      </c>
      <c r="K125" t="s">
        <v>1675</v>
      </c>
      <c r="L125" t="s">
        <v>1676</v>
      </c>
      <c r="M125">
        <v>445</v>
      </c>
      <c r="N125">
        <v>0</v>
      </c>
      <c r="O125" t="s">
        <v>122</v>
      </c>
      <c r="P125" s="1" t="s">
        <v>123</v>
      </c>
      <c r="AF125" s="1" t="s">
        <v>124</v>
      </c>
      <c r="AG125" t="s">
        <v>191</v>
      </c>
      <c r="AH125">
        <v>2014</v>
      </c>
      <c r="AI125" t="s">
        <v>126</v>
      </c>
      <c r="AJ125" t="s">
        <v>192</v>
      </c>
      <c r="AK125" t="s">
        <v>169</v>
      </c>
      <c r="AL125" t="s">
        <v>169</v>
      </c>
      <c r="AM125" t="s">
        <v>162</v>
      </c>
      <c r="AN125" t="s">
        <v>151</v>
      </c>
      <c r="AO125" t="s">
        <v>151</v>
      </c>
      <c r="AP125" t="s">
        <v>237</v>
      </c>
      <c r="AQ125" t="s">
        <v>226</v>
      </c>
      <c r="AR125" t="s">
        <v>1428</v>
      </c>
      <c r="AS125" t="s">
        <v>1677</v>
      </c>
      <c r="AT125" t="s">
        <v>1678</v>
      </c>
      <c r="AU125" t="s">
        <v>1679</v>
      </c>
      <c r="AV125" t="s">
        <v>157</v>
      </c>
      <c r="AX125" s="1" t="s">
        <v>123</v>
      </c>
      <c r="CR125" s="1" t="s">
        <v>123</v>
      </c>
      <c r="DB125" s="1" t="s">
        <v>123</v>
      </c>
      <c r="DL125" s="1" t="s">
        <v>123</v>
      </c>
      <c r="EO125" s="1" t="s">
        <v>123</v>
      </c>
      <c r="FO125" s="1" t="s">
        <v>123</v>
      </c>
      <c r="GW125" t="s">
        <v>532</v>
      </c>
      <c r="GX125" t="s">
        <v>1680</v>
      </c>
      <c r="GY125" t="s">
        <v>1681</v>
      </c>
      <c r="GZ125" t="s">
        <v>186</v>
      </c>
      <c r="HA125">
        <v>1984</v>
      </c>
      <c r="HB125" t="s">
        <v>398</v>
      </c>
    </row>
    <row r="126" spans="1:214" x14ac:dyDescent="0.45">
      <c r="A126">
        <v>200</v>
      </c>
      <c r="B126" t="str">
        <f>_xlfn.IFNA(VLOOKUP(Analiza[[#This Row],[Zakończono wypełnianie]],Zakończone[],2,0),"BRAK")</f>
        <v>BRAK</v>
      </c>
      <c r="C126">
        <f t="shared" si="3"/>
        <v>21</v>
      </c>
      <c r="D126" t="s">
        <v>1684</v>
      </c>
      <c r="E126" t="s">
        <v>118</v>
      </c>
      <c r="F126" t="s">
        <v>1647</v>
      </c>
      <c r="J126" t="s">
        <v>286</v>
      </c>
      <c r="K126" t="s">
        <v>1685</v>
      </c>
      <c r="L126" t="s">
        <v>1685</v>
      </c>
      <c r="M126">
        <v>0</v>
      </c>
      <c r="N126">
        <v>0</v>
      </c>
      <c r="O126" t="s">
        <v>122</v>
      </c>
      <c r="P126" s="1" t="s">
        <v>123</v>
      </c>
      <c r="AF126" s="1" t="s">
        <v>124</v>
      </c>
      <c r="AG126" t="s">
        <v>223</v>
      </c>
      <c r="AH126">
        <v>2000</v>
      </c>
      <c r="AI126" t="s">
        <v>148</v>
      </c>
      <c r="AJ126" t="s">
        <v>1687</v>
      </c>
      <c r="AK126" t="s">
        <v>151</v>
      </c>
      <c r="AL126" t="s">
        <v>151</v>
      </c>
      <c r="AM126" t="s">
        <v>162</v>
      </c>
      <c r="AN126" t="s">
        <v>129</v>
      </c>
      <c r="AO126" t="s">
        <v>129</v>
      </c>
      <c r="AP126" t="s">
        <v>1688</v>
      </c>
      <c r="AQ126" t="s">
        <v>302</v>
      </c>
      <c r="AR126" t="s">
        <v>153</v>
      </c>
      <c r="AS126" t="s">
        <v>1689</v>
      </c>
      <c r="AT126" t="s">
        <v>1690</v>
      </c>
      <c r="AU126" t="s">
        <v>1691</v>
      </c>
      <c r="AV126" t="s">
        <v>157</v>
      </c>
      <c r="AX126" s="1" t="s">
        <v>123</v>
      </c>
      <c r="CR126" s="1" t="s">
        <v>123</v>
      </c>
      <c r="DB126" s="1"/>
      <c r="DL126" s="1"/>
      <c r="EO126" s="1"/>
      <c r="FO126" s="1"/>
    </row>
    <row r="127" spans="1:214" x14ac:dyDescent="0.45">
      <c r="A127">
        <v>202</v>
      </c>
      <c r="B127" t="str">
        <f>_xlfn.IFNA(VLOOKUP(Analiza[[#This Row],[Zakończono wypełnianie]],Zakończone[],2,0),"BRAK")</f>
        <v>BRAK</v>
      </c>
      <c r="C127">
        <f t="shared" si="3"/>
        <v>21</v>
      </c>
      <c r="D127" t="s">
        <v>1694</v>
      </c>
      <c r="E127" t="s">
        <v>118</v>
      </c>
      <c r="J127" t="s">
        <v>286</v>
      </c>
      <c r="K127" t="s">
        <v>1695</v>
      </c>
      <c r="L127" t="s">
        <v>1695</v>
      </c>
      <c r="M127">
        <v>0</v>
      </c>
      <c r="N127">
        <v>0</v>
      </c>
      <c r="O127" t="s">
        <v>122</v>
      </c>
      <c r="P127" s="1" t="s">
        <v>123</v>
      </c>
      <c r="AF127" s="1" t="s">
        <v>124</v>
      </c>
      <c r="AG127" t="s">
        <v>1090</v>
      </c>
      <c r="AH127">
        <v>1990</v>
      </c>
      <c r="AI127" t="s">
        <v>126</v>
      </c>
      <c r="AJ127" t="s">
        <v>1696</v>
      </c>
      <c r="AK127" t="s">
        <v>150</v>
      </c>
      <c r="AL127" t="s">
        <v>162</v>
      </c>
      <c r="AM127" t="s">
        <v>169</v>
      </c>
      <c r="AN127" t="s">
        <v>169</v>
      </c>
      <c r="AO127" t="s">
        <v>169</v>
      </c>
      <c r="AP127" t="s">
        <v>237</v>
      </c>
      <c r="AQ127" t="s">
        <v>194</v>
      </c>
      <c r="AR127" t="s">
        <v>194</v>
      </c>
      <c r="AS127" t="s">
        <v>1697</v>
      </c>
      <c r="AT127" t="s">
        <v>1698</v>
      </c>
      <c r="AU127" t="s">
        <v>1699</v>
      </c>
      <c r="AV127" t="s">
        <v>172</v>
      </c>
      <c r="AW127" t="s">
        <v>1700</v>
      </c>
      <c r="AX127" s="1" t="s">
        <v>123</v>
      </c>
      <c r="CR127" s="1"/>
      <c r="DB127" s="1"/>
      <c r="DL127" s="1"/>
      <c r="EO127" s="1"/>
      <c r="FO127" s="1"/>
    </row>
    <row r="128" spans="1:214" x14ac:dyDescent="0.45">
      <c r="A128">
        <v>203</v>
      </c>
      <c r="B128" t="str">
        <f>_xlfn.IFNA(VLOOKUP(Analiza[[#This Row],[Zakończono wypełnianie]],Zakończone[],2,0),"BRAK")</f>
        <v>BRAK</v>
      </c>
      <c r="C128">
        <f t="shared" si="3"/>
        <v>21</v>
      </c>
      <c r="D128" t="s">
        <v>1701</v>
      </c>
      <c r="E128" t="s">
        <v>118</v>
      </c>
      <c r="J128" t="s">
        <v>286</v>
      </c>
      <c r="K128" t="s">
        <v>1702</v>
      </c>
      <c r="L128" t="s">
        <v>1702</v>
      </c>
      <c r="M128">
        <v>0</v>
      </c>
      <c r="N128">
        <v>0</v>
      </c>
      <c r="O128" t="s">
        <v>122</v>
      </c>
      <c r="P128" s="1" t="s">
        <v>123</v>
      </c>
      <c r="AF128" s="1" t="s">
        <v>124</v>
      </c>
      <c r="AG128" t="s">
        <v>1703</v>
      </c>
      <c r="AH128">
        <v>2011</v>
      </c>
      <c r="AI128" t="s">
        <v>148</v>
      </c>
      <c r="AJ128" t="s">
        <v>554</v>
      </c>
      <c r="AK128" t="s">
        <v>169</v>
      </c>
      <c r="AL128" t="s">
        <v>150</v>
      </c>
      <c r="AM128" t="s">
        <v>169</v>
      </c>
      <c r="AN128" t="s">
        <v>169</v>
      </c>
      <c r="AO128" t="s">
        <v>169</v>
      </c>
      <c r="AP128">
        <v>2</v>
      </c>
      <c r="AQ128" t="s">
        <v>131</v>
      </c>
      <c r="AR128" t="s">
        <v>153</v>
      </c>
      <c r="AS128" t="s">
        <v>1704</v>
      </c>
      <c r="AT128" t="s">
        <v>1705</v>
      </c>
      <c r="AU128" t="s">
        <v>1706</v>
      </c>
      <c r="AV128" t="s">
        <v>157</v>
      </c>
      <c r="AX128" s="1" t="s">
        <v>123</v>
      </c>
      <c r="CR128" s="1" t="s">
        <v>123</v>
      </c>
      <c r="DB128" s="1"/>
      <c r="DL128" s="1"/>
      <c r="EO128" s="1"/>
      <c r="FO128" s="1"/>
    </row>
    <row r="129" spans="1:214" x14ac:dyDescent="0.45">
      <c r="A129">
        <v>205</v>
      </c>
      <c r="B129">
        <f>_xlfn.IFNA(VLOOKUP(Analiza[[#This Row],[Zakończono wypełnianie]],Zakończone[],2,0),"BRAK")</f>
        <v>114</v>
      </c>
      <c r="C129">
        <f t="shared" si="3"/>
        <v>33</v>
      </c>
      <c r="D129" t="s">
        <v>1709</v>
      </c>
      <c r="E129" t="s">
        <v>118</v>
      </c>
      <c r="J129" t="s">
        <v>119</v>
      </c>
      <c r="K129" t="s">
        <v>1710</v>
      </c>
      <c r="L129" t="s">
        <v>1711</v>
      </c>
      <c r="M129">
        <v>588</v>
      </c>
      <c r="N129">
        <v>0</v>
      </c>
      <c r="O129" t="s">
        <v>122</v>
      </c>
      <c r="P129" s="1" t="s">
        <v>123</v>
      </c>
      <c r="AF129" s="1" t="s">
        <v>124</v>
      </c>
      <c r="AG129" t="s">
        <v>1712</v>
      </c>
      <c r="AH129">
        <v>2012</v>
      </c>
      <c r="AI129" t="s">
        <v>148</v>
      </c>
      <c r="AJ129" t="s">
        <v>1713</v>
      </c>
      <c r="AK129" t="s">
        <v>162</v>
      </c>
      <c r="AL129" t="s">
        <v>162</v>
      </c>
      <c r="AM129" t="s">
        <v>169</v>
      </c>
      <c r="AN129" t="s">
        <v>129</v>
      </c>
      <c r="AO129" t="s">
        <v>129</v>
      </c>
      <c r="AP129" t="s">
        <v>1714</v>
      </c>
      <c r="AQ129" t="s">
        <v>131</v>
      </c>
      <c r="AR129" t="s">
        <v>131</v>
      </c>
      <c r="AS129" t="s">
        <v>1715</v>
      </c>
      <c r="AT129" t="s">
        <v>1716</v>
      </c>
      <c r="AU129" t="s">
        <v>1717</v>
      </c>
      <c r="AV129" t="s">
        <v>157</v>
      </c>
      <c r="AX129" s="1" t="s">
        <v>123</v>
      </c>
      <c r="CR129" s="1" t="s">
        <v>123</v>
      </c>
      <c r="DB129" s="1" t="s">
        <v>123</v>
      </c>
      <c r="DL129" s="1" t="s">
        <v>123</v>
      </c>
      <c r="EO129" s="1" t="s">
        <v>123</v>
      </c>
      <c r="FO129" s="1" t="s">
        <v>123</v>
      </c>
      <c r="GW129" t="s">
        <v>1718</v>
      </c>
      <c r="GX129" t="s">
        <v>1719</v>
      </c>
      <c r="GY129" t="s">
        <v>1720</v>
      </c>
      <c r="GZ129" t="s">
        <v>140</v>
      </c>
      <c r="HA129">
        <v>1985</v>
      </c>
      <c r="HB129" t="s">
        <v>246</v>
      </c>
      <c r="HD129" t="s">
        <v>1721</v>
      </c>
      <c r="HE129" t="s">
        <v>532</v>
      </c>
    </row>
    <row r="130" spans="1:214" x14ac:dyDescent="0.45">
      <c r="A130">
        <v>206</v>
      </c>
      <c r="B130" t="str">
        <f>_xlfn.IFNA(VLOOKUP(Analiza[[#This Row],[Zakończono wypełnianie]],Zakończone[],2,0),"BRAK")</f>
        <v>BRAK</v>
      </c>
      <c r="C130">
        <f t="shared" si="3"/>
        <v>30</v>
      </c>
      <c r="D130" t="s">
        <v>1722</v>
      </c>
      <c r="E130" t="s">
        <v>118</v>
      </c>
      <c r="F130" t="s">
        <v>1647</v>
      </c>
      <c r="J130" t="s">
        <v>286</v>
      </c>
      <c r="K130" t="s">
        <v>1723</v>
      </c>
      <c r="L130" t="s">
        <v>1723</v>
      </c>
      <c r="M130">
        <v>0</v>
      </c>
      <c r="N130">
        <v>0</v>
      </c>
      <c r="O130" t="s">
        <v>122</v>
      </c>
      <c r="P130" s="1" t="s">
        <v>123</v>
      </c>
      <c r="AF130" s="1" t="s">
        <v>124</v>
      </c>
      <c r="AG130" t="s">
        <v>1724</v>
      </c>
      <c r="AH130">
        <v>2005</v>
      </c>
      <c r="AI130" t="s">
        <v>148</v>
      </c>
      <c r="AJ130" t="s">
        <v>1725</v>
      </c>
      <c r="AK130" t="s">
        <v>150</v>
      </c>
      <c r="AL130" t="s">
        <v>162</v>
      </c>
      <c r="AM130" t="s">
        <v>162</v>
      </c>
      <c r="AN130" t="s">
        <v>162</v>
      </c>
      <c r="AO130" t="s">
        <v>162</v>
      </c>
      <c r="AP130">
        <v>2</v>
      </c>
      <c r="AQ130" t="s">
        <v>131</v>
      </c>
      <c r="AR130" t="s">
        <v>302</v>
      </c>
      <c r="AS130" t="s">
        <v>1726</v>
      </c>
      <c r="AT130" t="s">
        <v>1727</v>
      </c>
      <c r="AU130" t="s">
        <v>1728</v>
      </c>
      <c r="AV130" t="s">
        <v>157</v>
      </c>
      <c r="AX130" s="1" t="s">
        <v>123</v>
      </c>
      <c r="CR130" s="1" t="s">
        <v>123</v>
      </c>
      <c r="DB130" s="1" t="s">
        <v>123</v>
      </c>
      <c r="DL130" s="1" t="s">
        <v>123</v>
      </c>
      <c r="EO130" s="1" t="s">
        <v>123</v>
      </c>
      <c r="FO130" s="1" t="s">
        <v>123</v>
      </c>
      <c r="GZ130" t="s">
        <v>140</v>
      </c>
      <c r="HA130">
        <v>1981</v>
      </c>
      <c r="HB130" t="s">
        <v>483</v>
      </c>
      <c r="HD130" t="s">
        <v>142</v>
      </c>
      <c r="HE130" t="s">
        <v>180</v>
      </c>
    </row>
    <row r="131" spans="1:214" x14ac:dyDescent="0.45">
      <c r="A131">
        <v>211</v>
      </c>
      <c r="B131">
        <f>_xlfn.IFNA(VLOOKUP(Analiza[[#This Row],[Zakończono wypełnianie]],Zakończone[],2,0),"BRAK")</f>
        <v>115</v>
      </c>
      <c r="C131">
        <f t="shared" ref="C131:C159" si="4">COUNTA(O131:HF131)</f>
        <v>35</v>
      </c>
      <c r="D131" t="s">
        <v>1572</v>
      </c>
      <c r="E131" t="s">
        <v>118</v>
      </c>
      <c r="J131" t="s">
        <v>119</v>
      </c>
      <c r="K131" t="s">
        <v>1738</v>
      </c>
      <c r="L131" t="s">
        <v>1739</v>
      </c>
      <c r="M131">
        <v>1112</v>
      </c>
      <c r="N131">
        <v>0</v>
      </c>
      <c r="O131" t="s">
        <v>122</v>
      </c>
      <c r="P131" s="1" t="s">
        <v>123</v>
      </c>
      <c r="AF131" s="1" t="s">
        <v>124</v>
      </c>
      <c r="AG131" t="s">
        <v>125</v>
      </c>
      <c r="AH131">
        <v>2001</v>
      </c>
      <c r="AI131" t="s">
        <v>126</v>
      </c>
      <c r="AJ131" t="s">
        <v>1339</v>
      </c>
      <c r="AK131" t="s">
        <v>150</v>
      </c>
      <c r="AL131" t="s">
        <v>150</v>
      </c>
      <c r="AM131" t="s">
        <v>150</v>
      </c>
      <c r="AN131" t="s">
        <v>162</v>
      </c>
      <c r="AO131" t="s">
        <v>162</v>
      </c>
      <c r="AP131" t="s">
        <v>1740</v>
      </c>
      <c r="AQ131" t="s">
        <v>131</v>
      </c>
      <c r="AR131" t="s">
        <v>302</v>
      </c>
      <c r="AS131" t="s">
        <v>1741</v>
      </c>
      <c r="AT131" t="s">
        <v>1742</v>
      </c>
      <c r="AU131" t="s">
        <v>1743</v>
      </c>
      <c r="AV131" t="s">
        <v>157</v>
      </c>
      <c r="AW131" t="s">
        <v>1744</v>
      </c>
      <c r="AX131" s="1" t="s">
        <v>123</v>
      </c>
      <c r="CR131" s="1" t="s">
        <v>123</v>
      </c>
      <c r="DB131" s="1" t="s">
        <v>123</v>
      </c>
      <c r="DL131" s="1" t="s">
        <v>123</v>
      </c>
      <c r="EO131" s="1" t="s">
        <v>123</v>
      </c>
      <c r="FO131" s="1" t="s">
        <v>123</v>
      </c>
      <c r="GW131" t="s">
        <v>1745</v>
      </c>
      <c r="GX131" t="s">
        <v>1746</v>
      </c>
      <c r="GY131" t="s">
        <v>1747</v>
      </c>
      <c r="GZ131" t="s">
        <v>186</v>
      </c>
      <c r="HA131">
        <v>1976</v>
      </c>
      <c r="HB131" t="s">
        <v>141</v>
      </c>
      <c r="HD131" t="s">
        <v>1748</v>
      </c>
      <c r="HE131" t="s">
        <v>1749</v>
      </c>
      <c r="HF131" t="s">
        <v>1750</v>
      </c>
    </row>
    <row r="132" spans="1:214" x14ac:dyDescent="0.45">
      <c r="A132">
        <v>212</v>
      </c>
      <c r="B132">
        <f>_xlfn.IFNA(VLOOKUP(Analiza[[#This Row],[Zakończono wypełnianie]],Zakończone[],2,0),"BRAK")</f>
        <v>116</v>
      </c>
      <c r="C132">
        <f t="shared" si="4"/>
        <v>30</v>
      </c>
      <c r="D132" t="s">
        <v>1751</v>
      </c>
      <c r="E132" t="s">
        <v>118</v>
      </c>
      <c r="J132" t="s">
        <v>119</v>
      </c>
      <c r="K132" t="s">
        <v>1752</v>
      </c>
      <c r="L132" t="s">
        <v>1753</v>
      </c>
      <c r="M132">
        <v>625</v>
      </c>
      <c r="N132">
        <v>0</v>
      </c>
      <c r="O132" t="s">
        <v>122</v>
      </c>
      <c r="P132" s="1" t="s">
        <v>123</v>
      </c>
      <c r="AF132" s="1" t="s">
        <v>124</v>
      </c>
      <c r="AG132" t="s">
        <v>191</v>
      </c>
      <c r="AH132">
        <v>2009</v>
      </c>
      <c r="AI132" t="s">
        <v>126</v>
      </c>
      <c r="AJ132" t="s">
        <v>192</v>
      </c>
      <c r="AK132" t="s">
        <v>162</v>
      </c>
      <c r="AL132" t="s">
        <v>150</v>
      </c>
      <c r="AM132" t="s">
        <v>169</v>
      </c>
      <c r="AN132" t="s">
        <v>169</v>
      </c>
      <c r="AO132" t="s">
        <v>169</v>
      </c>
      <c r="AP132" t="s">
        <v>530</v>
      </c>
      <c r="AQ132" t="s">
        <v>226</v>
      </c>
      <c r="AR132" t="s">
        <v>759</v>
      </c>
      <c r="AT132" t="s">
        <v>1754</v>
      </c>
      <c r="AU132" t="s">
        <v>1755</v>
      </c>
      <c r="AW132" t="s">
        <v>1756</v>
      </c>
      <c r="AX132" s="1" t="s">
        <v>123</v>
      </c>
      <c r="CR132" s="1" t="s">
        <v>123</v>
      </c>
      <c r="DB132" s="1" t="s">
        <v>123</v>
      </c>
      <c r="DL132" s="1" t="s">
        <v>123</v>
      </c>
      <c r="EO132" s="1" t="s">
        <v>123</v>
      </c>
      <c r="FO132" s="1" t="s">
        <v>123</v>
      </c>
      <c r="GW132" t="s">
        <v>1757</v>
      </c>
      <c r="GX132" t="s">
        <v>1758</v>
      </c>
      <c r="GY132" t="s">
        <v>1759</v>
      </c>
      <c r="GZ132" t="s">
        <v>186</v>
      </c>
      <c r="HA132">
        <v>1984</v>
      </c>
      <c r="HB132" t="s">
        <v>141</v>
      </c>
    </row>
    <row r="133" spans="1:214" x14ac:dyDescent="0.45">
      <c r="A133">
        <v>214</v>
      </c>
      <c r="B133">
        <f>_xlfn.IFNA(VLOOKUP(Analiza[[#This Row],[Zakończono wypełnianie]],Zakończone[],2,0),"BRAK")</f>
        <v>117</v>
      </c>
      <c r="C133">
        <f t="shared" si="4"/>
        <v>33</v>
      </c>
      <c r="D133" t="s">
        <v>1762</v>
      </c>
      <c r="E133" t="s">
        <v>118</v>
      </c>
      <c r="J133" t="s">
        <v>119</v>
      </c>
      <c r="K133" t="s">
        <v>1763</v>
      </c>
      <c r="L133" t="s">
        <v>1764</v>
      </c>
      <c r="M133">
        <v>336</v>
      </c>
      <c r="N133">
        <v>0</v>
      </c>
      <c r="O133" t="s">
        <v>122</v>
      </c>
      <c r="P133" s="1" t="s">
        <v>123</v>
      </c>
      <c r="AF133" s="1" t="s">
        <v>124</v>
      </c>
      <c r="AG133" t="s">
        <v>191</v>
      </c>
      <c r="AH133">
        <v>2002</v>
      </c>
      <c r="AI133" t="s">
        <v>126</v>
      </c>
      <c r="AJ133" t="s">
        <v>1176</v>
      </c>
      <c r="AK133" t="s">
        <v>129</v>
      </c>
      <c r="AL133" t="s">
        <v>129</v>
      </c>
      <c r="AM133" t="s">
        <v>129</v>
      </c>
      <c r="AN133" t="s">
        <v>129</v>
      </c>
      <c r="AO133" t="s">
        <v>129</v>
      </c>
      <c r="AP133" t="s">
        <v>1765</v>
      </c>
      <c r="AQ133" t="s">
        <v>302</v>
      </c>
      <c r="AR133" t="s">
        <v>226</v>
      </c>
      <c r="AT133" t="s">
        <v>1766</v>
      </c>
      <c r="AU133" t="s">
        <v>386</v>
      </c>
      <c r="AV133" t="s">
        <v>157</v>
      </c>
      <c r="AW133" t="s">
        <v>1767</v>
      </c>
      <c r="AX133" s="1" t="s">
        <v>123</v>
      </c>
      <c r="CR133" s="1" t="s">
        <v>123</v>
      </c>
      <c r="DB133" s="1" t="s">
        <v>123</v>
      </c>
      <c r="DL133" s="1" t="s">
        <v>123</v>
      </c>
      <c r="EO133" s="1" t="s">
        <v>123</v>
      </c>
      <c r="FO133" s="1" t="s">
        <v>123</v>
      </c>
      <c r="GW133" t="s">
        <v>1768</v>
      </c>
      <c r="GX133" t="s">
        <v>1769</v>
      </c>
      <c r="GY133" t="s">
        <v>1769</v>
      </c>
      <c r="GZ133" t="s">
        <v>186</v>
      </c>
      <c r="HA133">
        <v>1977</v>
      </c>
      <c r="HB133" t="s">
        <v>141</v>
      </c>
      <c r="HD133" t="s">
        <v>386</v>
      </c>
      <c r="HE133" t="s">
        <v>386</v>
      </c>
    </row>
    <row r="134" spans="1:214" x14ac:dyDescent="0.45">
      <c r="A134">
        <v>215</v>
      </c>
      <c r="B134">
        <f>_xlfn.IFNA(VLOOKUP(Analiza[[#This Row],[Zakończono wypełnianie]],Zakończone[],2,0),"BRAK")</f>
        <v>118</v>
      </c>
      <c r="C134">
        <f t="shared" si="4"/>
        <v>32</v>
      </c>
      <c r="D134" t="s">
        <v>1131</v>
      </c>
      <c r="E134" t="s">
        <v>118</v>
      </c>
      <c r="J134" t="s">
        <v>119</v>
      </c>
      <c r="K134" t="s">
        <v>1770</v>
      </c>
      <c r="L134" t="s">
        <v>1771</v>
      </c>
      <c r="M134">
        <v>1129</v>
      </c>
      <c r="N134">
        <v>0</v>
      </c>
      <c r="O134" t="s">
        <v>122</v>
      </c>
      <c r="P134" s="1" t="s">
        <v>123</v>
      </c>
      <c r="AF134" s="1" t="s">
        <v>124</v>
      </c>
      <c r="AG134" t="s">
        <v>191</v>
      </c>
      <c r="AH134">
        <v>2014</v>
      </c>
      <c r="AI134" t="s">
        <v>126</v>
      </c>
      <c r="AJ134" t="s">
        <v>1186</v>
      </c>
      <c r="AK134" t="s">
        <v>162</v>
      </c>
      <c r="AL134" t="s">
        <v>150</v>
      </c>
      <c r="AM134" t="s">
        <v>162</v>
      </c>
      <c r="AN134" t="s">
        <v>162</v>
      </c>
      <c r="AO134" t="s">
        <v>150</v>
      </c>
      <c r="AP134">
        <v>1</v>
      </c>
      <c r="AQ134" t="s">
        <v>131</v>
      </c>
      <c r="AR134" t="s">
        <v>153</v>
      </c>
      <c r="AT134" t="s">
        <v>766</v>
      </c>
      <c r="AU134" t="s">
        <v>1772</v>
      </c>
      <c r="AV134" t="s">
        <v>172</v>
      </c>
      <c r="AX134" s="1" t="s">
        <v>123</v>
      </c>
      <c r="CR134" s="1" t="s">
        <v>123</v>
      </c>
      <c r="DB134" s="1" t="s">
        <v>123</v>
      </c>
      <c r="DL134" s="1" t="s">
        <v>123</v>
      </c>
      <c r="EO134" s="1" t="s">
        <v>123</v>
      </c>
      <c r="FO134" s="1" t="s">
        <v>123</v>
      </c>
      <c r="GW134" t="s">
        <v>1773</v>
      </c>
      <c r="GX134" t="s">
        <v>1774</v>
      </c>
      <c r="GY134" t="s">
        <v>1775</v>
      </c>
      <c r="GZ134" t="s">
        <v>140</v>
      </c>
      <c r="HA134">
        <v>1990</v>
      </c>
      <c r="HB134" t="s">
        <v>141</v>
      </c>
      <c r="HD134" t="s">
        <v>1776</v>
      </c>
      <c r="HE134" t="s">
        <v>1777</v>
      </c>
    </row>
    <row r="135" spans="1:214" x14ac:dyDescent="0.45">
      <c r="A135">
        <v>217</v>
      </c>
      <c r="B135">
        <f>_xlfn.IFNA(VLOOKUP(Analiza[[#This Row],[Zakończono wypełnianie]],Zakończone[],2,0),"BRAK")</f>
        <v>119</v>
      </c>
      <c r="C135">
        <f t="shared" si="4"/>
        <v>32</v>
      </c>
      <c r="D135" t="s">
        <v>1780</v>
      </c>
      <c r="E135" t="s">
        <v>118</v>
      </c>
      <c r="F135" t="s">
        <v>1781</v>
      </c>
      <c r="J135" t="s">
        <v>119</v>
      </c>
      <c r="K135" t="s">
        <v>1782</v>
      </c>
      <c r="L135" t="s">
        <v>1783</v>
      </c>
      <c r="M135">
        <v>968</v>
      </c>
      <c r="N135">
        <v>0</v>
      </c>
      <c r="O135" t="s">
        <v>122</v>
      </c>
      <c r="P135" s="1" t="s">
        <v>123</v>
      </c>
      <c r="AF135" s="1" t="s">
        <v>124</v>
      </c>
      <c r="AG135" t="s">
        <v>223</v>
      </c>
      <c r="AH135">
        <v>2011</v>
      </c>
      <c r="AI135" t="s">
        <v>148</v>
      </c>
      <c r="AJ135" t="s">
        <v>1784</v>
      </c>
      <c r="AK135" t="s">
        <v>150</v>
      </c>
      <c r="AL135" t="s">
        <v>162</v>
      </c>
      <c r="AM135" t="s">
        <v>169</v>
      </c>
      <c r="AN135" t="s">
        <v>150</v>
      </c>
      <c r="AO135" t="s">
        <v>150</v>
      </c>
      <c r="AP135">
        <v>2</v>
      </c>
      <c r="AQ135" t="s">
        <v>302</v>
      </c>
      <c r="AR135" t="s">
        <v>153</v>
      </c>
      <c r="AS135" t="s">
        <v>1785</v>
      </c>
      <c r="AT135" t="s">
        <v>1786</v>
      </c>
      <c r="AU135" t="s">
        <v>1787</v>
      </c>
      <c r="AV135" t="s">
        <v>157</v>
      </c>
      <c r="AX135" s="1" t="s">
        <v>123</v>
      </c>
      <c r="CR135" s="1" t="s">
        <v>123</v>
      </c>
      <c r="DB135" s="1" t="s">
        <v>123</v>
      </c>
      <c r="DL135" s="1" t="s">
        <v>123</v>
      </c>
      <c r="EO135" s="1" t="s">
        <v>123</v>
      </c>
      <c r="FO135" s="1" t="s">
        <v>123</v>
      </c>
      <c r="GW135" t="s">
        <v>1788</v>
      </c>
      <c r="GX135" t="s">
        <v>1789</v>
      </c>
      <c r="GY135" t="s">
        <v>1790</v>
      </c>
      <c r="GZ135" t="s">
        <v>140</v>
      </c>
      <c r="HA135">
        <v>1986</v>
      </c>
      <c r="HB135" t="s">
        <v>398</v>
      </c>
      <c r="HD135" t="s">
        <v>1791</v>
      </c>
    </row>
    <row r="136" spans="1:214" x14ac:dyDescent="0.45">
      <c r="A136">
        <v>218</v>
      </c>
      <c r="B136">
        <f>_xlfn.IFNA(VLOOKUP(Analiza[[#This Row],[Zakończono wypełnianie]],Zakończone[],2,0),"BRAK")</f>
        <v>120</v>
      </c>
      <c r="C136">
        <f t="shared" si="4"/>
        <v>31</v>
      </c>
      <c r="D136" t="s">
        <v>1792</v>
      </c>
      <c r="E136" t="s">
        <v>118</v>
      </c>
      <c r="F136" t="s">
        <v>359</v>
      </c>
      <c r="J136" t="s">
        <v>119</v>
      </c>
      <c r="K136" t="s">
        <v>1793</v>
      </c>
      <c r="L136" t="s">
        <v>1794</v>
      </c>
      <c r="M136">
        <v>465</v>
      </c>
      <c r="N136">
        <v>0</v>
      </c>
      <c r="O136" t="s">
        <v>122</v>
      </c>
      <c r="P136" s="1" t="s">
        <v>123</v>
      </c>
      <c r="AF136" s="1" t="s">
        <v>124</v>
      </c>
      <c r="AG136" t="s">
        <v>191</v>
      </c>
      <c r="AH136">
        <v>2016</v>
      </c>
      <c r="AI136" t="s">
        <v>126</v>
      </c>
      <c r="AJ136" t="s">
        <v>1795</v>
      </c>
      <c r="AK136" t="s">
        <v>236</v>
      </c>
      <c r="AL136" t="s">
        <v>236</v>
      </c>
      <c r="AM136" t="s">
        <v>129</v>
      </c>
      <c r="AN136" t="s">
        <v>129</v>
      </c>
      <c r="AO136" t="s">
        <v>129</v>
      </c>
      <c r="AP136">
        <v>34</v>
      </c>
      <c r="AQ136" t="s">
        <v>152</v>
      </c>
      <c r="AR136" t="s">
        <v>152</v>
      </c>
      <c r="AS136" t="s">
        <v>1796</v>
      </c>
      <c r="AT136" t="s">
        <v>1797</v>
      </c>
      <c r="AU136" t="s">
        <v>1798</v>
      </c>
      <c r="AV136" t="s">
        <v>157</v>
      </c>
      <c r="AX136" s="1" t="s">
        <v>123</v>
      </c>
      <c r="CR136" s="1" t="s">
        <v>123</v>
      </c>
      <c r="DB136" s="1" t="s">
        <v>123</v>
      </c>
      <c r="DL136" s="1" t="s">
        <v>123</v>
      </c>
      <c r="EO136" s="1" t="s">
        <v>123</v>
      </c>
      <c r="FO136" s="1" t="s">
        <v>123</v>
      </c>
      <c r="GW136" t="s">
        <v>1799</v>
      </c>
      <c r="GX136" t="s">
        <v>1800</v>
      </c>
      <c r="GY136" t="s">
        <v>1801</v>
      </c>
      <c r="GZ136" t="s">
        <v>140</v>
      </c>
      <c r="HA136">
        <v>2006</v>
      </c>
      <c r="HB136" t="s">
        <v>483</v>
      </c>
    </row>
    <row r="137" spans="1:214" x14ac:dyDescent="0.45">
      <c r="A137">
        <v>219</v>
      </c>
      <c r="B137" t="str">
        <f>_xlfn.IFNA(VLOOKUP(Analiza[[#This Row],[Zakończono wypełnianie]],Zakończone[],2,0),"BRAK")</f>
        <v>BRAK</v>
      </c>
      <c r="C137">
        <f t="shared" si="4"/>
        <v>20</v>
      </c>
      <c r="D137" t="s">
        <v>1802</v>
      </c>
      <c r="E137" t="s">
        <v>118</v>
      </c>
      <c r="F137" t="s">
        <v>359</v>
      </c>
      <c r="J137" t="s">
        <v>286</v>
      </c>
      <c r="K137" t="s">
        <v>1803</v>
      </c>
      <c r="L137" t="s">
        <v>1803</v>
      </c>
      <c r="M137">
        <v>0</v>
      </c>
      <c r="N137">
        <v>0</v>
      </c>
      <c r="O137" t="s">
        <v>122</v>
      </c>
      <c r="P137" s="1" t="s">
        <v>123</v>
      </c>
      <c r="AF137" s="1" t="s">
        <v>124</v>
      </c>
      <c r="AG137" t="s">
        <v>191</v>
      </c>
      <c r="AH137">
        <v>2016</v>
      </c>
      <c r="AI137" t="s">
        <v>126</v>
      </c>
      <c r="AJ137" t="s">
        <v>1795</v>
      </c>
      <c r="AK137" t="s">
        <v>236</v>
      </c>
      <c r="AL137" t="s">
        <v>236</v>
      </c>
      <c r="AM137" t="s">
        <v>151</v>
      </c>
      <c r="AN137" t="s">
        <v>129</v>
      </c>
      <c r="AO137" t="s">
        <v>132</v>
      </c>
      <c r="AP137" t="s">
        <v>1804</v>
      </c>
      <c r="AQ137" t="s">
        <v>131</v>
      </c>
      <c r="AR137" t="s">
        <v>132</v>
      </c>
      <c r="AS137" t="s">
        <v>1805</v>
      </c>
      <c r="AT137" t="s">
        <v>1806</v>
      </c>
      <c r="AU137" t="s">
        <v>1807</v>
      </c>
      <c r="AV137" t="s">
        <v>157</v>
      </c>
      <c r="AX137" s="1" t="s">
        <v>123</v>
      </c>
      <c r="CR137" s="1"/>
      <c r="DB137" s="1"/>
      <c r="DL137" s="1"/>
      <c r="EO137" s="1"/>
      <c r="FO137" s="1"/>
    </row>
    <row r="138" spans="1:214" x14ac:dyDescent="0.45">
      <c r="A138">
        <v>220</v>
      </c>
      <c r="B138">
        <f>_xlfn.IFNA(VLOOKUP(Analiza[[#This Row],[Zakończono wypełnianie]],Zakończone[],2,0),"BRAK")</f>
        <v>121</v>
      </c>
      <c r="C138">
        <f t="shared" si="4"/>
        <v>34</v>
      </c>
      <c r="D138" t="s">
        <v>1336</v>
      </c>
      <c r="E138" t="s">
        <v>118</v>
      </c>
      <c r="J138" t="s">
        <v>119</v>
      </c>
      <c r="K138" t="s">
        <v>1808</v>
      </c>
      <c r="L138" t="s">
        <v>1809</v>
      </c>
      <c r="M138">
        <v>2379</v>
      </c>
      <c r="N138">
        <v>0</v>
      </c>
      <c r="O138" t="s">
        <v>122</v>
      </c>
      <c r="P138" s="1" t="s">
        <v>123</v>
      </c>
      <c r="AF138" s="1" t="s">
        <v>124</v>
      </c>
      <c r="AG138" t="s">
        <v>223</v>
      </c>
      <c r="AH138">
        <v>2012</v>
      </c>
      <c r="AI138" t="s">
        <v>148</v>
      </c>
      <c r="AJ138" t="s">
        <v>1810</v>
      </c>
      <c r="AK138" t="s">
        <v>150</v>
      </c>
      <c r="AL138" t="s">
        <v>162</v>
      </c>
      <c r="AM138" t="s">
        <v>150</v>
      </c>
      <c r="AN138" t="s">
        <v>162</v>
      </c>
      <c r="AO138" t="s">
        <v>150</v>
      </c>
      <c r="AP138" t="s">
        <v>237</v>
      </c>
      <c r="AQ138" t="s">
        <v>132</v>
      </c>
      <c r="AR138" t="s">
        <v>132</v>
      </c>
      <c r="AS138" t="s">
        <v>1811</v>
      </c>
      <c r="AT138" t="s">
        <v>1812</v>
      </c>
      <c r="AU138" t="s">
        <v>1813</v>
      </c>
      <c r="AV138" t="s">
        <v>230</v>
      </c>
      <c r="AW138" t="s">
        <v>1814</v>
      </c>
      <c r="AX138" s="1" t="s">
        <v>123</v>
      </c>
      <c r="CR138" s="1" t="s">
        <v>123</v>
      </c>
      <c r="DB138" s="1" t="s">
        <v>123</v>
      </c>
      <c r="DL138" s="1" t="s">
        <v>123</v>
      </c>
      <c r="EO138" s="1" t="s">
        <v>123</v>
      </c>
      <c r="FO138" s="1" t="s">
        <v>123</v>
      </c>
      <c r="GW138" t="s">
        <v>1815</v>
      </c>
      <c r="GX138" t="s">
        <v>1816</v>
      </c>
      <c r="GY138" t="s">
        <v>1817</v>
      </c>
      <c r="GZ138" t="s">
        <v>140</v>
      </c>
      <c r="HA138">
        <v>1986</v>
      </c>
      <c r="HB138" t="s">
        <v>246</v>
      </c>
      <c r="HD138" t="s">
        <v>1818</v>
      </c>
      <c r="HE138" t="s">
        <v>1819</v>
      </c>
    </row>
    <row r="139" spans="1:214" x14ac:dyDescent="0.45">
      <c r="A139">
        <v>221</v>
      </c>
      <c r="B139" t="str">
        <f>_xlfn.IFNA(VLOOKUP(Analiza[[#This Row],[Zakończono wypełnianie]],Zakończone[],2,0),"BRAK")</f>
        <v>BRAK</v>
      </c>
      <c r="C139">
        <f t="shared" si="4"/>
        <v>23</v>
      </c>
      <c r="D139" t="s">
        <v>1352</v>
      </c>
      <c r="E139" t="s">
        <v>118</v>
      </c>
      <c r="J139" t="s">
        <v>286</v>
      </c>
      <c r="K139" t="s">
        <v>1820</v>
      </c>
      <c r="L139" t="s">
        <v>1820</v>
      </c>
      <c r="M139">
        <v>0</v>
      </c>
      <c r="N139">
        <v>0</v>
      </c>
      <c r="O139" t="s">
        <v>122</v>
      </c>
      <c r="P139" s="1" t="s">
        <v>416</v>
      </c>
      <c r="Q139" t="s">
        <v>223</v>
      </c>
      <c r="R139" t="s">
        <v>148</v>
      </c>
      <c r="S139" t="s">
        <v>1495</v>
      </c>
      <c r="T139" t="s">
        <v>128</v>
      </c>
      <c r="U139" t="s">
        <v>236</v>
      </c>
      <c r="V139" t="s">
        <v>129</v>
      </c>
      <c r="W139" t="s">
        <v>1821</v>
      </c>
      <c r="X139" t="s">
        <v>943</v>
      </c>
      <c r="Y139" t="s">
        <v>194</v>
      </c>
      <c r="Z139" t="s">
        <v>1822</v>
      </c>
      <c r="AA139" t="s">
        <v>1823</v>
      </c>
      <c r="AB139" t="s">
        <v>1824</v>
      </c>
      <c r="AC139" t="s">
        <v>892</v>
      </c>
      <c r="AE139">
        <v>5</v>
      </c>
      <c r="AF139" s="1" t="s">
        <v>123</v>
      </c>
      <c r="AX139" s="1" t="s">
        <v>123</v>
      </c>
      <c r="CR139" s="1" t="s">
        <v>123</v>
      </c>
      <c r="DB139" s="1" t="s">
        <v>123</v>
      </c>
      <c r="DL139" s="1" t="s">
        <v>123</v>
      </c>
      <c r="EO139" s="1" t="s">
        <v>123</v>
      </c>
      <c r="FO139" s="1" t="s">
        <v>123</v>
      </c>
    </row>
    <row r="140" spans="1:214" x14ac:dyDescent="0.45">
      <c r="A140">
        <v>223</v>
      </c>
      <c r="B140">
        <f>_xlfn.IFNA(VLOOKUP(Analiza[[#This Row],[Zakończono wypełnianie]],Zakończone[],2,0),"BRAK")</f>
        <v>122</v>
      </c>
      <c r="C140">
        <f t="shared" si="4"/>
        <v>41</v>
      </c>
      <c r="D140" t="s">
        <v>1827</v>
      </c>
      <c r="E140" t="s">
        <v>118</v>
      </c>
      <c r="J140" t="s">
        <v>119</v>
      </c>
      <c r="K140" t="s">
        <v>1828</v>
      </c>
      <c r="L140" t="s">
        <v>1829</v>
      </c>
      <c r="M140">
        <v>673</v>
      </c>
      <c r="N140">
        <v>0</v>
      </c>
      <c r="O140" t="s">
        <v>122</v>
      </c>
      <c r="P140" s="1" t="s">
        <v>123</v>
      </c>
      <c r="AF140" s="1" t="s">
        <v>124</v>
      </c>
      <c r="AG140" t="s">
        <v>223</v>
      </c>
      <c r="AH140">
        <v>2005</v>
      </c>
      <c r="AI140" t="s">
        <v>148</v>
      </c>
      <c r="AJ140" t="s">
        <v>1831</v>
      </c>
      <c r="AK140" t="s">
        <v>162</v>
      </c>
      <c r="AL140" t="s">
        <v>169</v>
      </c>
      <c r="AM140" t="s">
        <v>169</v>
      </c>
      <c r="AN140" t="s">
        <v>128</v>
      </c>
      <c r="AO140" t="s">
        <v>162</v>
      </c>
      <c r="AP140" t="s">
        <v>237</v>
      </c>
      <c r="AQ140" t="s">
        <v>302</v>
      </c>
      <c r="AR140" t="s">
        <v>153</v>
      </c>
      <c r="AS140" t="s">
        <v>1832</v>
      </c>
      <c r="AT140" t="s">
        <v>1833</v>
      </c>
      <c r="AU140" t="s">
        <v>1834</v>
      </c>
      <c r="AW140" t="s">
        <v>158</v>
      </c>
      <c r="AX140" s="1" t="s">
        <v>123</v>
      </c>
      <c r="CR140" s="1" t="s">
        <v>123</v>
      </c>
      <c r="DB140" s="1" t="s">
        <v>214</v>
      </c>
      <c r="DC140" t="s">
        <v>191</v>
      </c>
      <c r="DD140" t="s">
        <v>2277</v>
      </c>
      <c r="DE140" t="s">
        <v>150</v>
      </c>
      <c r="DF140" t="s">
        <v>150</v>
      </c>
      <c r="DG140" t="s">
        <v>151</v>
      </c>
      <c r="DH140" t="s">
        <v>150</v>
      </c>
      <c r="DI140" t="s">
        <v>169</v>
      </c>
      <c r="DJ140" t="s">
        <v>169</v>
      </c>
      <c r="DK140" t="s">
        <v>1836</v>
      </c>
      <c r="DL140" s="1" t="s">
        <v>123</v>
      </c>
      <c r="EO140" s="1" t="s">
        <v>123</v>
      </c>
      <c r="FO140" s="1" t="s">
        <v>123</v>
      </c>
      <c r="GW140" t="s">
        <v>1837</v>
      </c>
      <c r="GX140" t="s">
        <v>1838</v>
      </c>
      <c r="GY140" t="s">
        <v>1839</v>
      </c>
      <c r="GZ140" t="s">
        <v>140</v>
      </c>
      <c r="HA140">
        <v>1981</v>
      </c>
      <c r="HB140" t="s">
        <v>141</v>
      </c>
      <c r="HD140" t="s">
        <v>1840</v>
      </c>
    </row>
    <row r="141" spans="1:214" x14ac:dyDescent="0.45">
      <c r="A141">
        <v>227</v>
      </c>
      <c r="B141">
        <f>_xlfn.IFNA(VLOOKUP(Analiza[[#This Row],[Zakończono wypełnianie]],Zakończone[],2,0),"BRAK")</f>
        <v>123</v>
      </c>
      <c r="C141">
        <f t="shared" si="4"/>
        <v>33</v>
      </c>
      <c r="D141" t="s">
        <v>1845</v>
      </c>
      <c r="E141" t="s">
        <v>118</v>
      </c>
      <c r="J141" t="s">
        <v>119</v>
      </c>
      <c r="K141" t="s">
        <v>1846</v>
      </c>
      <c r="L141" t="s">
        <v>1847</v>
      </c>
      <c r="M141">
        <v>790</v>
      </c>
      <c r="N141">
        <v>0</v>
      </c>
      <c r="O141" t="s">
        <v>122</v>
      </c>
      <c r="P141" s="1" t="s">
        <v>123</v>
      </c>
      <c r="AF141" s="1" t="s">
        <v>124</v>
      </c>
      <c r="AG141" t="s">
        <v>223</v>
      </c>
      <c r="AH141">
        <v>2018</v>
      </c>
      <c r="AI141" t="s">
        <v>148</v>
      </c>
      <c r="AJ141" t="s">
        <v>461</v>
      </c>
      <c r="AK141" t="s">
        <v>162</v>
      </c>
      <c r="AL141" t="s">
        <v>162</v>
      </c>
      <c r="AM141" t="s">
        <v>150</v>
      </c>
      <c r="AN141" t="s">
        <v>169</v>
      </c>
      <c r="AO141" t="s">
        <v>132</v>
      </c>
      <c r="AP141" t="s">
        <v>1848</v>
      </c>
      <c r="AQ141" t="s">
        <v>302</v>
      </c>
      <c r="AR141" t="s">
        <v>132</v>
      </c>
      <c r="AS141" t="s">
        <v>1849</v>
      </c>
      <c r="AT141" t="s">
        <v>1850</v>
      </c>
      <c r="AU141" t="s">
        <v>1851</v>
      </c>
      <c r="AV141" t="s">
        <v>157</v>
      </c>
      <c r="AX141" s="1" t="s">
        <v>123</v>
      </c>
      <c r="CR141" s="1" t="s">
        <v>123</v>
      </c>
      <c r="DB141" s="1" t="s">
        <v>123</v>
      </c>
      <c r="DL141" s="1" t="s">
        <v>123</v>
      </c>
      <c r="EO141" s="1" t="s">
        <v>123</v>
      </c>
      <c r="FO141" s="1" t="s">
        <v>123</v>
      </c>
      <c r="GW141" t="s">
        <v>1852</v>
      </c>
      <c r="GX141" t="s">
        <v>1853</v>
      </c>
      <c r="GY141" t="s">
        <v>1854</v>
      </c>
      <c r="GZ141" t="s">
        <v>140</v>
      </c>
      <c r="HA141">
        <v>1994</v>
      </c>
      <c r="HB141" t="s">
        <v>141</v>
      </c>
      <c r="HC141" t="s">
        <v>1855</v>
      </c>
      <c r="HD141" t="s">
        <v>1856</v>
      </c>
    </row>
    <row r="142" spans="1:214" x14ac:dyDescent="0.45">
      <c r="A142">
        <v>231</v>
      </c>
      <c r="B142">
        <f>_xlfn.IFNA(VLOOKUP(Analiza[[#This Row],[Zakończono wypełnianie]],Zakończone[],2,0),"BRAK")</f>
        <v>124</v>
      </c>
      <c r="C142">
        <f t="shared" si="4"/>
        <v>31</v>
      </c>
      <c r="D142" t="s">
        <v>1864</v>
      </c>
      <c r="E142" t="s">
        <v>118</v>
      </c>
      <c r="F142" t="s">
        <v>359</v>
      </c>
      <c r="J142" t="s">
        <v>119</v>
      </c>
      <c r="K142" t="s">
        <v>1865</v>
      </c>
      <c r="L142" t="s">
        <v>1866</v>
      </c>
      <c r="M142">
        <v>607</v>
      </c>
      <c r="N142">
        <v>0</v>
      </c>
      <c r="O142" t="s">
        <v>122</v>
      </c>
      <c r="P142" s="1" t="s">
        <v>123</v>
      </c>
      <c r="AF142" s="1" t="s">
        <v>124</v>
      </c>
      <c r="AG142" t="s">
        <v>191</v>
      </c>
      <c r="AH142">
        <v>2015</v>
      </c>
      <c r="AI142" t="s">
        <v>148</v>
      </c>
      <c r="AJ142" t="s">
        <v>1867</v>
      </c>
      <c r="AK142" t="s">
        <v>162</v>
      </c>
      <c r="AL142" t="s">
        <v>150</v>
      </c>
      <c r="AM142" t="s">
        <v>169</v>
      </c>
      <c r="AN142" t="s">
        <v>151</v>
      </c>
      <c r="AO142" t="s">
        <v>162</v>
      </c>
      <c r="AP142" t="s">
        <v>1868</v>
      </c>
      <c r="AQ142" t="s">
        <v>153</v>
      </c>
      <c r="AR142" t="s">
        <v>226</v>
      </c>
      <c r="AS142" t="s">
        <v>1869</v>
      </c>
      <c r="AT142" t="s">
        <v>1870</v>
      </c>
      <c r="AU142" t="s">
        <v>1871</v>
      </c>
      <c r="AV142" t="s">
        <v>172</v>
      </c>
      <c r="AX142" s="1" t="s">
        <v>123</v>
      </c>
      <c r="CR142" s="1" t="s">
        <v>123</v>
      </c>
      <c r="DB142" s="1" t="s">
        <v>123</v>
      </c>
      <c r="DL142" s="1" t="s">
        <v>123</v>
      </c>
      <c r="EO142" s="1" t="s">
        <v>123</v>
      </c>
      <c r="FO142" s="1" t="s">
        <v>123</v>
      </c>
      <c r="GW142" t="s">
        <v>276</v>
      </c>
      <c r="GX142" t="s">
        <v>1872</v>
      </c>
      <c r="GY142" t="s">
        <v>1873</v>
      </c>
      <c r="GZ142" t="s">
        <v>186</v>
      </c>
      <c r="HA142">
        <v>1991</v>
      </c>
      <c r="HB142" t="s">
        <v>398</v>
      </c>
    </row>
    <row r="143" spans="1:214" x14ac:dyDescent="0.45">
      <c r="A143">
        <v>232</v>
      </c>
      <c r="B143" t="str">
        <f>_xlfn.IFNA(VLOOKUP(Analiza[[#This Row],[Zakończono wypełnianie]],Zakończone[],2,0),"BRAK")</f>
        <v>BRAK</v>
      </c>
      <c r="C143">
        <f t="shared" si="4"/>
        <v>22</v>
      </c>
      <c r="D143" t="s">
        <v>1874</v>
      </c>
      <c r="E143" t="s">
        <v>118</v>
      </c>
      <c r="J143" t="s">
        <v>286</v>
      </c>
      <c r="K143" t="s">
        <v>1875</v>
      </c>
      <c r="L143" t="s">
        <v>1875</v>
      </c>
      <c r="M143">
        <v>0</v>
      </c>
      <c r="N143">
        <v>0</v>
      </c>
      <c r="O143" t="s">
        <v>122</v>
      </c>
      <c r="P143" s="1" t="s">
        <v>416</v>
      </c>
      <c r="Q143" t="s">
        <v>223</v>
      </c>
      <c r="R143" t="s">
        <v>148</v>
      </c>
      <c r="S143" t="s">
        <v>1876</v>
      </c>
      <c r="T143" t="s">
        <v>129</v>
      </c>
      <c r="U143" t="s">
        <v>236</v>
      </c>
      <c r="V143" t="s">
        <v>151</v>
      </c>
      <c r="W143" t="s">
        <v>1877</v>
      </c>
      <c r="X143" t="s">
        <v>302</v>
      </c>
      <c r="Y143" t="s">
        <v>153</v>
      </c>
      <c r="AA143" t="s">
        <v>1878</v>
      </c>
      <c r="AB143" t="s">
        <v>1879</v>
      </c>
      <c r="AC143" t="s">
        <v>157</v>
      </c>
      <c r="AE143">
        <v>3</v>
      </c>
      <c r="AF143" s="1" t="s">
        <v>123</v>
      </c>
      <c r="AX143" s="1" t="s">
        <v>123</v>
      </c>
      <c r="CR143" s="1" t="s">
        <v>123</v>
      </c>
      <c r="DB143" s="1" t="s">
        <v>123</v>
      </c>
      <c r="DL143" s="1" t="s">
        <v>123</v>
      </c>
      <c r="EO143" s="1" t="s">
        <v>123</v>
      </c>
      <c r="FO143" s="1" t="s">
        <v>123</v>
      </c>
    </row>
    <row r="144" spans="1:214" x14ac:dyDescent="0.45">
      <c r="A144">
        <v>233</v>
      </c>
      <c r="B144">
        <f>_xlfn.IFNA(VLOOKUP(Analiza[[#This Row],[Zakończono wypełnianie]],Zakończone[],2,0),"BRAK")</f>
        <v>125</v>
      </c>
      <c r="C144">
        <f t="shared" si="4"/>
        <v>44</v>
      </c>
      <c r="D144" t="s">
        <v>1880</v>
      </c>
      <c r="E144" t="s">
        <v>118</v>
      </c>
      <c r="F144" t="s">
        <v>359</v>
      </c>
      <c r="J144" t="s">
        <v>119</v>
      </c>
      <c r="K144" t="s">
        <v>1881</v>
      </c>
      <c r="L144" t="s">
        <v>1882</v>
      </c>
      <c r="M144">
        <v>627</v>
      </c>
      <c r="N144">
        <v>0</v>
      </c>
      <c r="O144" t="s">
        <v>122</v>
      </c>
      <c r="P144" s="1" t="s">
        <v>123</v>
      </c>
      <c r="AF144" s="1" t="s">
        <v>124</v>
      </c>
      <c r="AG144" t="s">
        <v>125</v>
      </c>
      <c r="AH144">
        <v>2011</v>
      </c>
      <c r="AI144" t="s">
        <v>126</v>
      </c>
      <c r="AJ144" t="s">
        <v>1883</v>
      </c>
      <c r="AK144" t="s">
        <v>169</v>
      </c>
      <c r="AL144" t="s">
        <v>169</v>
      </c>
      <c r="AM144" t="s">
        <v>169</v>
      </c>
      <c r="AN144" t="s">
        <v>151</v>
      </c>
      <c r="AO144" t="s">
        <v>150</v>
      </c>
      <c r="AP144" t="s">
        <v>1884</v>
      </c>
      <c r="AQ144" t="s">
        <v>131</v>
      </c>
      <c r="AR144" t="s">
        <v>153</v>
      </c>
      <c r="AS144" t="s">
        <v>1885</v>
      </c>
      <c r="AT144" t="s">
        <v>1886</v>
      </c>
      <c r="AU144" t="s">
        <v>1887</v>
      </c>
      <c r="AV144" t="s">
        <v>157</v>
      </c>
      <c r="AW144" t="s">
        <v>1888</v>
      </c>
      <c r="AX144" s="1" t="s">
        <v>123</v>
      </c>
      <c r="CR144" s="1" t="s">
        <v>123</v>
      </c>
      <c r="DB144" s="1" t="s">
        <v>123</v>
      </c>
      <c r="DL144" s="1" t="s">
        <v>123</v>
      </c>
      <c r="EO144" s="1" t="s">
        <v>177</v>
      </c>
      <c r="EP144" t="s">
        <v>180</v>
      </c>
      <c r="EQ144" t="s">
        <v>132</v>
      </c>
      <c r="ER144" t="s">
        <v>1889</v>
      </c>
      <c r="ES144" t="s">
        <v>132</v>
      </c>
      <c r="ET144" t="s">
        <v>132</v>
      </c>
      <c r="EU144" t="s">
        <v>132</v>
      </c>
      <c r="EV144" t="s">
        <v>180</v>
      </c>
      <c r="EW144" t="s">
        <v>1889</v>
      </c>
      <c r="EX144" t="s">
        <v>1889</v>
      </c>
      <c r="EY144" t="s">
        <v>173</v>
      </c>
      <c r="FO144" s="1" t="s">
        <v>123</v>
      </c>
      <c r="GW144" t="s">
        <v>1889</v>
      </c>
      <c r="GX144" t="s">
        <v>1889</v>
      </c>
      <c r="GY144" t="s">
        <v>1889</v>
      </c>
      <c r="GZ144" t="s">
        <v>140</v>
      </c>
      <c r="HA144">
        <v>1987</v>
      </c>
      <c r="HB144" t="s">
        <v>220</v>
      </c>
      <c r="HD144" t="s">
        <v>1889</v>
      </c>
      <c r="HE144" t="s">
        <v>1889</v>
      </c>
    </row>
    <row r="145" spans="1:214" x14ac:dyDescent="0.45">
      <c r="A145">
        <v>234</v>
      </c>
      <c r="B145">
        <f>_xlfn.IFNA(VLOOKUP(Analiza[[#This Row],[Zakończono wypełnianie]],Zakończone[],2,0),"BRAK")</f>
        <v>126</v>
      </c>
      <c r="C145">
        <f t="shared" si="4"/>
        <v>30</v>
      </c>
      <c r="D145" t="s">
        <v>1890</v>
      </c>
      <c r="E145" t="s">
        <v>118</v>
      </c>
      <c r="J145" t="s">
        <v>119</v>
      </c>
      <c r="K145" t="s">
        <v>1891</v>
      </c>
      <c r="L145" t="s">
        <v>1892</v>
      </c>
      <c r="M145">
        <v>680</v>
      </c>
      <c r="N145">
        <v>0</v>
      </c>
      <c r="O145" t="s">
        <v>122</v>
      </c>
      <c r="P145" s="1" t="s">
        <v>123</v>
      </c>
      <c r="AF145" s="1" t="s">
        <v>124</v>
      </c>
      <c r="AG145" t="s">
        <v>191</v>
      </c>
      <c r="AH145">
        <v>2016</v>
      </c>
      <c r="AI145" t="s">
        <v>126</v>
      </c>
      <c r="AJ145" t="s">
        <v>1893</v>
      </c>
      <c r="AK145" t="s">
        <v>150</v>
      </c>
      <c r="AL145" t="s">
        <v>150</v>
      </c>
      <c r="AM145" t="s">
        <v>150</v>
      </c>
      <c r="AN145" t="s">
        <v>128</v>
      </c>
      <c r="AO145" t="s">
        <v>150</v>
      </c>
      <c r="AP145" t="s">
        <v>530</v>
      </c>
      <c r="AQ145" t="s">
        <v>302</v>
      </c>
      <c r="AR145" t="s">
        <v>226</v>
      </c>
      <c r="AT145" t="s">
        <v>1894</v>
      </c>
      <c r="AU145" t="s">
        <v>1895</v>
      </c>
      <c r="AV145" t="s">
        <v>157</v>
      </c>
      <c r="AX145" s="1" t="s">
        <v>123</v>
      </c>
      <c r="CR145" s="1" t="s">
        <v>123</v>
      </c>
      <c r="DB145" s="1" t="s">
        <v>123</v>
      </c>
      <c r="DL145" s="1" t="s">
        <v>123</v>
      </c>
      <c r="EO145" s="1" t="s">
        <v>123</v>
      </c>
      <c r="FO145" s="1" t="s">
        <v>123</v>
      </c>
      <c r="GW145" t="s">
        <v>1896</v>
      </c>
      <c r="GX145" t="s">
        <v>1897</v>
      </c>
      <c r="GY145" t="s">
        <v>1898</v>
      </c>
      <c r="GZ145" t="s">
        <v>140</v>
      </c>
      <c r="HA145">
        <v>1991</v>
      </c>
      <c r="HB145" t="s">
        <v>398</v>
      </c>
    </row>
    <row r="146" spans="1:214" x14ac:dyDescent="0.45">
      <c r="A146">
        <v>235</v>
      </c>
      <c r="B146">
        <f>_xlfn.IFNA(VLOOKUP(Analiza[[#This Row],[Zakończono wypełnianie]],Zakończone[],2,0),"BRAK")</f>
        <v>127</v>
      </c>
      <c r="C146">
        <f t="shared" si="4"/>
        <v>33</v>
      </c>
      <c r="D146" t="s">
        <v>1899</v>
      </c>
      <c r="E146" t="s">
        <v>118</v>
      </c>
      <c r="F146" t="s">
        <v>359</v>
      </c>
      <c r="J146" t="s">
        <v>119</v>
      </c>
      <c r="K146" t="s">
        <v>1900</v>
      </c>
      <c r="L146" t="s">
        <v>1901</v>
      </c>
      <c r="M146">
        <v>650</v>
      </c>
      <c r="N146">
        <v>0</v>
      </c>
      <c r="O146" t="s">
        <v>122</v>
      </c>
      <c r="P146" s="1" t="s">
        <v>123</v>
      </c>
      <c r="AF146" s="1" t="s">
        <v>124</v>
      </c>
      <c r="AG146" t="s">
        <v>223</v>
      </c>
      <c r="AH146">
        <v>2009</v>
      </c>
      <c r="AI146" t="s">
        <v>148</v>
      </c>
      <c r="AJ146" t="s">
        <v>1666</v>
      </c>
      <c r="AK146" t="s">
        <v>162</v>
      </c>
      <c r="AL146" t="s">
        <v>151</v>
      </c>
      <c r="AM146" t="s">
        <v>236</v>
      </c>
      <c r="AN146" t="s">
        <v>236</v>
      </c>
      <c r="AO146" t="s">
        <v>128</v>
      </c>
      <c r="AP146">
        <v>9</v>
      </c>
      <c r="AQ146" t="s">
        <v>131</v>
      </c>
      <c r="AR146" t="s">
        <v>153</v>
      </c>
      <c r="AS146" t="s">
        <v>1902</v>
      </c>
      <c r="AT146" t="s">
        <v>1903</v>
      </c>
      <c r="AU146" t="s">
        <v>1904</v>
      </c>
      <c r="AW146" t="s">
        <v>1905</v>
      </c>
      <c r="AX146" s="1" t="s">
        <v>123</v>
      </c>
      <c r="CR146" s="1" t="s">
        <v>123</v>
      </c>
      <c r="DB146" s="1" t="s">
        <v>123</v>
      </c>
      <c r="DL146" s="1" t="s">
        <v>123</v>
      </c>
      <c r="EO146" s="1" t="s">
        <v>123</v>
      </c>
      <c r="FO146" s="1" t="s">
        <v>123</v>
      </c>
      <c r="GW146" t="s">
        <v>1906</v>
      </c>
      <c r="GX146" t="s">
        <v>1907</v>
      </c>
      <c r="GY146" t="s">
        <v>1908</v>
      </c>
      <c r="GZ146" t="s">
        <v>140</v>
      </c>
      <c r="HA146">
        <v>1985</v>
      </c>
      <c r="HB146" t="s">
        <v>141</v>
      </c>
      <c r="HD146" t="s">
        <v>142</v>
      </c>
      <c r="HE146" t="s">
        <v>1909</v>
      </c>
    </row>
    <row r="147" spans="1:214" x14ac:dyDescent="0.45">
      <c r="A147">
        <v>236</v>
      </c>
      <c r="B147">
        <f>_xlfn.IFNA(VLOOKUP(Analiza[[#This Row],[Zakończono wypełnianie]],Zakończone[],2,0),"BRAK")</f>
        <v>128</v>
      </c>
      <c r="C147">
        <f t="shared" si="4"/>
        <v>34</v>
      </c>
      <c r="D147" t="s">
        <v>1910</v>
      </c>
      <c r="E147" t="s">
        <v>118</v>
      </c>
      <c r="F147" t="s">
        <v>1911</v>
      </c>
      <c r="J147" t="s">
        <v>119</v>
      </c>
      <c r="K147" t="s">
        <v>1912</v>
      </c>
      <c r="L147" t="s">
        <v>1913</v>
      </c>
      <c r="M147">
        <v>1026</v>
      </c>
      <c r="N147">
        <v>0</v>
      </c>
      <c r="O147" t="s">
        <v>122</v>
      </c>
      <c r="P147" s="1" t="s">
        <v>123</v>
      </c>
      <c r="AF147" s="1" t="s">
        <v>124</v>
      </c>
      <c r="AG147" t="s">
        <v>191</v>
      </c>
      <c r="AH147">
        <v>2011</v>
      </c>
      <c r="AI147" t="s">
        <v>126</v>
      </c>
      <c r="AJ147" t="s">
        <v>1914</v>
      </c>
      <c r="AK147" t="s">
        <v>150</v>
      </c>
      <c r="AL147" t="s">
        <v>162</v>
      </c>
      <c r="AM147" t="s">
        <v>150</v>
      </c>
      <c r="AN147" t="s">
        <v>151</v>
      </c>
      <c r="AO147" t="s">
        <v>169</v>
      </c>
      <c r="AP147" t="s">
        <v>1362</v>
      </c>
      <c r="AQ147" t="s">
        <v>131</v>
      </c>
      <c r="AR147" t="s">
        <v>759</v>
      </c>
      <c r="AS147" t="s">
        <v>1915</v>
      </c>
      <c r="AT147" t="s">
        <v>1916</v>
      </c>
      <c r="AU147" t="s">
        <v>1917</v>
      </c>
      <c r="AW147" t="s">
        <v>1918</v>
      </c>
      <c r="AX147" s="1" t="s">
        <v>123</v>
      </c>
      <c r="CR147" s="1" t="s">
        <v>123</v>
      </c>
      <c r="DB147" s="1" t="s">
        <v>123</v>
      </c>
      <c r="DL147" s="1" t="s">
        <v>123</v>
      </c>
      <c r="EO147" s="1" t="s">
        <v>123</v>
      </c>
      <c r="FO147" s="1" t="s">
        <v>123</v>
      </c>
      <c r="GW147" t="s">
        <v>1919</v>
      </c>
      <c r="GX147" t="s">
        <v>1920</v>
      </c>
      <c r="GY147" t="s">
        <v>1921</v>
      </c>
      <c r="GZ147" t="s">
        <v>140</v>
      </c>
      <c r="HA147">
        <v>1987</v>
      </c>
      <c r="HB147" t="s">
        <v>220</v>
      </c>
      <c r="HD147" t="s">
        <v>1922</v>
      </c>
      <c r="HE147" t="s">
        <v>1923</v>
      </c>
      <c r="HF147" t="s">
        <v>1924</v>
      </c>
    </row>
    <row r="148" spans="1:214" x14ac:dyDescent="0.45">
      <c r="A148">
        <v>238</v>
      </c>
      <c r="B148">
        <f>_xlfn.IFNA(VLOOKUP(Analiza[[#This Row],[Zakończono wypełnianie]],Zakończone[],2,0),"BRAK")</f>
        <v>129</v>
      </c>
      <c r="C148">
        <f t="shared" si="4"/>
        <v>32</v>
      </c>
      <c r="D148" t="s">
        <v>1142</v>
      </c>
      <c r="E148" t="s">
        <v>118</v>
      </c>
      <c r="F148" t="s">
        <v>1927</v>
      </c>
      <c r="J148" t="s">
        <v>119</v>
      </c>
      <c r="K148" t="s">
        <v>1928</v>
      </c>
      <c r="L148" t="s">
        <v>1929</v>
      </c>
      <c r="M148">
        <v>1449</v>
      </c>
      <c r="N148">
        <v>0</v>
      </c>
      <c r="O148" t="s">
        <v>122</v>
      </c>
      <c r="P148" s="1" t="s">
        <v>123</v>
      </c>
      <c r="AF148" s="1" t="s">
        <v>124</v>
      </c>
      <c r="AG148" t="s">
        <v>2270</v>
      </c>
      <c r="AH148">
        <v>2007</v>
      </c>
      <c r="AI148" t="s">
        <v>126</v>
      </c>
      <c r="AJ148" t="s">
        <v>1931</v>
      </c>
      <c r="AK148" t="s">
        <v>162</v>
      </c>
      <c r="AL148" t="s">
        <v>162</v>
      </c>
      <c r="AM148" t="s">
        <v>169</v>
      </c>
      <c r="AN148" t="s">
        <v>169</v>
      </c>
      <c r="AO148" t="s">
        <v>169</v>
      </c>
      <c r="AP148" t="s">
        <v>1932</v>
      </c>
      <c r="AQ148" t="s">
        <v>302</v>
      </c>
      <c r="AR148" t="s">
        <v>153</v>
      </c>
      <c r="AS148" t="s">
        <v>1933</v>
      </c>
      <c r="AT148" t="s">
        <v>1934</v>
      </c>
      <c r="AU148" t="s">
        <v>1935</v>
      </c>
      <c r="AW148" t="s">
        <v>1936</v>
      </c>
      <c r="AX148" s="1" t="s">
        <v>123</v>
      </c>
      <c r="CR148" s="1" t="s">
        <v>123</v>
      </c>
      <c r="DB148" s="1" t="s">
        <v>123</v>
      </c>
      <c r="DL148" s="1" t="s">
        <v>123</v>
      </c>
      <c r="EO148" s="1" t="s">
        <v>123</v>
      </c>
      <c r="FO148" s="1" t="s">
        <v>123</v>
      </c>
      <c r="GW148" t="s">
        <v>1937</v>
      </c>
      <c r="GX148" t="s">
        <v>1938</v>
      </c>
      <c r="GY148" t="s">
        <v>1939</v>
      </c>
      <c r="GZ148" t="s">
        <v>186</v>
      </c>
      <c r="HA148">
        <v>2007</v>
      </c>
      <c r="HB148" t="s">
        <v>398</v>
      </c>
      <c r="HD148" t="s">
        <v>1940</v>
      </c>
    </row>
    <row r="149" spans="1:214" x14ac:dyDescent="0.45">
      <c r="A149">
        <v>240</v>
      </c>
      <c r="B149" t="str">
        <f>_xlfn.IFNA(VLOOKUP(Analiza[[#This Row],[Zakończono wypełnianie]],Zakończone[],2,0),"BRAK")</f>
        <v>BRAK</v>
      </c>
      <c r="C149">
        <f t="shared" si="4"/>
        <v>20</v>
      </c>
      <c r="D149" t="s">
        <v>1943</v>
      </c>
      <c r="E149" t="s">
        <v>118</v>
      </c>
      <c r="J149" t="s">
        <v>286</v>
      </c>
      <c r="K149" t="s">
        <v>1944</v>
      </c>
      <c r="L149" t="s">
        <v>1944</v>
      </c>
      <c r="M149">
        <v>0</v>
      </c>
      <c r="N149">
        <v>0</v>
      </c>
      <c r="O149" t="s">
        <v>122</v>
      </c>
      <c r="P149" s="1" t="s">
        <v>123</v>
      </c>
      <c r="AF149" s="1" t="s">
        <v>124</v>
      </c>
      <c r="AG149" t="s">
        <v>191</v>
      </c>
      <c r="AH149">
        <v>1967</v>
      </c>
      <c r="AI149" t="s">
        <v>126</v>
      </c>
      <c r="AJ149" t="s">
        <v>1945</v>
      </c>
      <c r="AK149" t="s">
        <v>150</v>
      </c>
      <c r="AL149" t="s">
        <v>150</v>
      </c>
      <c r="AM149" t="s">
        <v>132</v>
      </c>
      <c r="AN149" t="s">
        <v>150</v>
      </c>
      <c r="AO149" t="s">
        <v>150</v>
      </c>
      <c r="AP149">
        <v>1</v>
      </c>
      <c r="AQ149" t="s">
        <v>302</v>
      </c>
      <c r="AR149" t="s">
        <v>153</v>
      </c>
      <c r="AS149" t="s">
        <v>1946</v>
      </c>
      <c r="AT149" t="s">
        <v>1947</v>
      </c>
      <c r="AU149" t="s">
        <v>1948</v>
      </c>
      <c r="AV149" t="s">
        <v>157</v>
      </c>
      <c r="AX149" s="1" t="s">
        <v>123</v>
      </c>
      <c r="CR149" s="1"/>
      <c r="DB149" s="1"/>
      <c r="DL149" s="1"/>
      <c r="EO149" s="1"/>
      <c r="FO149" s="1"/>
    </row>
    <row r="150" spans="1:214" x14ac:dyDescent="0.45">
      <c r="A150">
        <v>243</v>
      </c>
      <c r="B150">
        <f>_xlfn.IFNA(VLOOKUP(Analiza[[#This Row],[Zakończono wypełnianie]],Zakończone[],2,0),"BRAK")</f>
        <v>130</v>
      </c>
      <c r="C150">
        <f t="shared" si="4"/>
        <v>33</v>
      </c>
      <c r="D150" t="s">
        <v>1951</v>
      </c>
      <c r="E150" t="s">
        <v>118</v>
      </c>
      <c r="J150" t="s">
        <v>119</v>
      </c>
      <c r="K150" t="s">
        <v>1952</v>
      </c>
      <c r="L150" t="s">
        <v>1953</v>
      </c>
      <c r="M150">
        <v>942</v>
      </c>
      <c r="N150">
        <v>0</v>
      </c>
      <c r="O150" t="s">
        <v>122</v>
      </c>
      <c r="P150" s="1" t="s">
        <v>123</v>
      </c>
      <c r="AF150" s="1" t="s">
        <v>124</v>
      </c>
      <c r="AG150" t="s">
        <v>223</v>
      </c>
      <c r="AH150">
        <v>2012</v>
      </c>
      <c r="AI150" t="s">
        <v>148</v>
      </c>
      <c r="AJ150" t="s">
        <v>161</v>
      </c>
      <c r="AK150" t="s">
        <v>128</v>
      </c>
      <c r="AL150" t="s">
        <v>162</v>
      </c>
      <c r="AM150" t="s">
        <v>128</v>
      </c>
      <c r="AN150" t="s">
        <v>128</v>
      </c>
      <c r="AO150" t="s">
        <v>236</v>
      </c>
      <c r="AP150" t="s">
        <v>530</v>
      </c>
      <c r="AQ150" t="s">
        <v>302</v>
      </c>
      <c r="AR150" t="s">
        <v>131</v>
      </c>
      <c r="AS150" t="s">
        <v>1955</v>
      </c>
      <c r="AT150" t="s">
        <v>1956</v>
      </c>
      <c r="AU150" t="s">
        <v>1957</v>
      </c>
      <c r="AV150" t="s">
        <v>157</v>
      </c>
      <c r="AX150" s="1" t="s">
        <v>123</v>
      </c>
      <c r="CR150" s="1" t="s">
        <v>123</v>
      </c>
      <c r="DB150" s="1" t="s">
        <v>123</v>
      </c>
      <c r="DL150" s="1" t="s">
        <v>123</v>
      </c>
      <c r="EO150" s="1" t="s">
        <v>123</v>
      </c>
      <c r="FO150" s="1" t="s">
        <v>123</v>
      </c>
      <c r="GW150" t="s">
        <v>1958</v>
      </c>
      <c r="GX150" t="s">
        <v>1959</v>
      </c>
      <c r="GY150" t="s">
        <v>1960</v>
      </c>
      <c r="GZ150" t="s">
        <v>140</v>
      </c>
      <c r="HA150">
        <v>1986</v>
      </c>
      <c r="HB150" t="s">
        <v>1630</v>
      </c>
      <c r="HD150" t="s">
        <v>1961</v>
      </c>
      <c r="HE150" t="s">
        <v>142</v>
      </c>
    </row>
    <row r="151" spans="1:214" x14ac:dyDescent="0.45">
      <c r="A151">
        <v>244</v>
      </c>
      <c r="B151" t="str">
        <f>_xlfn.IFNA(VLOOKUP(Analiza[[#This Row],[Zakończono wypełnianie]],Zakończone[],2,0),"BRAK")</f>
        <v>BRAK</v>
      </c>
      <c r="C151">
        <f t="shared" si="4"/>
        <v>24</v>
      </c>
      <c r="D151" t="s">
        <v>1336</v>
      </c>
      <c r="E151" t="s">
        <v>118</v>
      </c>
      <c r="J151" t="s">
        <v>286</v>
      </c>
      <c r="K151" t="s">
        <v>1962</v>
      </c>
      <c r="L151" t="s">
        <v>1962</v>
      </c>
      <c r="M151">
        <v>0</v>
      </c>
      <c r="N151">
        <v>0</v>
      </c>
      <c r="O151" t="s">
        <v>122</v>
      </c>
      <c r="P151" s="1" t="s">
        <v>123</v>
      </c>
      <c r="AF151" s="1" t="s">
        <v>124</v>
      </c>
      <c r="AG151" t="s">
        <v>1963</v>
      </c>
      <c r="AH151">
        <v>2006</v>
      </c>
      <c r="AI151" t="s">
        <v>126</v>
      </c>
      <c r="AJ151" t="s">
        <v>192</v>
      </c>
      <c r="AK151" t="s">
        <v>150</v>
      </c>
      <c r="AL151" t="s">
        <v>150</v>
      </c>
      <c r="AM151" t="s">
        <v>162</v>
      </c>
      <c r="AN151" t="s">
        <v>150</v>
      </c>
      <c r="AO151" t="s">
        <v>150</v>
      </c>
      <c r="AP151" t="s">
        <v>237</v>
      </c>
      <c r="AQ151" t="s">
        <v>226</v>
      </c>
      <c r="AR151" t="s">
        <v>759</v>
      </c>
      <c r="AT151" t="s">
        <v>1964</v>
      </c>
      <c r="AU151" t="s">
        <v>1539</v>
      </c>
      <c r="AV151" t="s">
        <v>230</v>
      </c>
      <c r="AX151" s="1" t="s">
        <v>123</v>
      </c>
      <c r="CR151" s="1" t="s">
        <v>123</v>
      </c>
      <c r="DB151" s="1" t="s">
        <v>123</v>
      </c>
      <c r="DL151" s="1" t="s">
        <v>123</v>
      </c>
      <c r="EO151" s="1" t="s">
        <v>123</v>
      </c>
      <c r="FO151" s="1" t="s">
        <v>123</v>
      </c>
    </row>
    <row r="152" spans="1:214" x14ac:dyDescent="0.45">
      <c r="A152">
        <v>245</v>
      </c>
      <c r="B152">
        <f>_xlfn.IFNA(VLOOKUP(Analiza[[#This Row],[Zakończono wypełnianie]],Zakończone[],2,0),"BRAK")</f>
        <v>131</v>
      </c>
      <c r="C152">
        <f t="shared" si="4"/>
        <v>32</v>
      </c>
      <c r="D152" t="s">
        <v>1965</v>
      </c>
      <c r="E152" t="s">
        <v>118</v>
      </c>
      <c r="F152" t="s">
        <v>1966</v>
      </c>
      <c r="J152" t="s">
        <v>119</v>
      </c>
      <c r="K152" t="s">
        <v>1967</v>
      </c>
      <c r="L152" t="s">
        <v>1968</v>
      </c>
      <c r="M152">
        <v>504</v>
      </c>
      <c r="N152">
        <v>0</v>
      </c>
      <c r="O152" t="s">
        <v>122</v>
      </c>
      <c r="P152" s="1" t="s">
        <v>123</v>
      </c>
      <c r="AF152" s="1" t="s">
        <v>124</v>
      </c>
      <c r="AG152" t="s">
        <v>191</v>
      </c>
      <c r="AH152">
        <v>2003</v>
      </c>
      <c r="AI152" t="s">
        <v>126</v>
      </c>
      <c r="AJ152" t="s">
        <v>127</v>
      </c>
      <c r="AK152" t="s">
        <v>150</v>
      </c>
      <c r="AL152" t="s">
        <v>150</v>
      </c>
      <c r="AM152" t="s">
        <v>162</v>
      </c>
      <c r="AN152" t="s">
        <v>151</v>
      </c>
      <c r="AO152" t="s">
        <v>151</v>
      </c>
      <c r="AP152" t="s">
        <v>237</v>
      </c>
      <c r="AQ152" t="s">
        <v>152</v>
      </c>
      <c r="AR152" t="s">
        <v>131</v>
      </c>
      <c r="AS152" t="s">
        <v>1969</v>
      </c>
      <c r="AT152" t="s">
        <v>1970</v>
      </c>
      <c r="AU152" t="s">
        <v>1971</v>
      </c>
      <c r="AV152" t="s">
        <v>157</v>
      </c>
      <c r="AW152" t="s">
        <v>1972</v>
      </c>
      <c r="AX152" s="1" t="s">
        <v>123</v>
      </c>
      <c r="CR152" s="1" t="s">
        <v>123</v>
      </c>
      <c r="DB152" s="1" t="s">
        <v>123</v>
      </c>
      <c r="DL152" s="1" t="s">
        <v>123</v>
      </c>
      <c r="EO152" s="1" t="s">
        <v>123</v>
      </c>
      <c r="FO152" s="1" t="s">
        <v>123</v>
      </c>
      <c r="GW152" t="s">
        <v>1973</v>
      </c>
      <c r="GX152" t="s">
        <v>1363</v>
      </c>
      <c r="GY152" t="s">
        <v>1974</v>
      </c>
      <c r="GZ152" t="s">
        <v>140</v>
      </c>
      <c r="HA152">
        <v>1979</v>
      </c>
      <c r="HB152" t="s">
        <v>141</v>
      </c>
    </row>
    <row r="153" spans="1:214" x14ac:dyDescent="0.45">
      <c r="A153">
        <v>248</v>
      </c>
      <c r="B153">
        <f>_xlfn.IFNA(VLOOKUP(Analiza[[#This Row],[Zakończono wypełnianie]],Zakończone[],2,0),"BRAK")</f>
        <v>133</v>
      </c>
      <c r="C153">
        <f t="shared" si="4"/>
        <v>30</v>
      </c>
      <c r="D153" t="s">
        <v>1142</v>
      </c>
      <c r="E153" t="s">
        <v>118</v>
      </c>
      <c r="J153" t="s">
        <v>119</v>
      </c>
      <c r="K153" t="s">
        <v>1979</v>
      </c>
      <c r="L153" t="s">
        <v>1980</v>
      </c>
      <c r="M153">
        <v>1026</v>
      </c>
      <c r="N153">
        <v>0</v>
      </c>
      <c r="O153" t="s">
        <v>122</v>
      </c>
      <c r="P153" s="1" t="s">
        <v>416</v>
      </c>
      <c r="Q153" t="s">
        <v>813</v>
      </c>
      <c r="R153" t="s">
        <v>148</v>
      </c>
      <c r="S153" t="s">
        <v>1982</v>
      </c>
      <c r="T153" t="s">
        <v>162</v>
      </c>
      <c r="U153" t="s">
        <v>162</v>
      </c>
      <c r="V153" t="s">
        <v>150</v>
      </c>
      <c r="W153" t="s">
        <v>1983</v>
      </c>
      <c r="X153" t="s">
        <v>1984</v>
      </c>
      <c r="Y153" t="s">
        <v>194</v>
      </c>
      <c r="Z153" t="s">
        <v>1985</v>
      </c>
      <c r="AA153" t="s">
        <v>1986</v>
      </c>
      <c r="AB153" t="s">
        <v>1987</v>
      </c>
      <c r="AC153" t="s">
        <v>157</v>
      </c>
      <c r="AE153">
        <v>4</v>
      </c>
      <c r="AF153" s="1" t="s">
        <v>123</v>
      </c>
      <c r="AX153" s="1" t="s">
        <v>123</v>
      </c>
      <c r="CR153" s="1" t="s">
        <v>123</v>
      </c>
      <c r="DB153" s="1" t="s">
        <v>123</v>
      </c>
      <c r="DL153" s="1" t="s">
        <v>123</v>
      </c>
      <c r="EO153" s="1" t="s">
        <v>123</v>
      </c>
      <c r="FO153" s="1" t="s">
        <v>123</v>
      </c>
      <c r="GW153" t="s">
        <v>1988</v>
      </c>
      <c r="GX153" t="s">
        <v>1989</v>
      </c>
      <c r="GY153" t="s">
        <v>1990</v>
      </c>
      <c r="GZ153" t="s">
        <v>186</v>
      </c>
      <c r="HA153">
        <v>1992</v>
      </c>
      <c r="HB153" t="s">
        <v>246</v>
      </c>
      <c r="HD153" t="s">
        <v>1991</v>
      </c>
    </row>
    <row r="154" spans="1:214" x14ac:dyDescent="0.45">
      <c r="A154">
        <v>253</v>
      </c>
      <c r="B154" t="str">
        <f>_xlfn.IFNA(VLOOKUP(Analiza[[#This Row],[Zakończono wypełnianie]],Zakończone[],2,0),"BRAK")</f>
        <v>BRAK</v>
      </c>
      <c r="C154">
        <f t="shared" si="4"/>
        <v>17</v>
      </c>
      <c r="D154" t="s">
        <v>2000</v>
      </c>
      <c r="E154" t="s">
        <v>118</v>
      </c>
      <c r="F154" t="s">
        <v>359</v>
      </c>
      <c r="J154" t="s">
        <v>286</v>
      </c>
      <c r="K154" t="s">
        <v>2001</v>
      </c>
      <c r="L154" t="s">
        <v>2001</v>
      </c>
      <c r="M154">
        <v>0</v>
      </c>
      <c r="N154">
        <v>0</v>
      </c>
      <c r="O154" t="s">
        <v>122</v>
      </c>
      <c r="P154" s="1" t="s">
        <v>416</v>
      </c>
      <c r="Q154" t="s">
        <v>2002</v>
      </c>
      <c r="R154" t="s">
        <v>148</v>
      </c>
      <c r="S154" t="s">
        <v>2003</v>
      </c>
      <c r="T154" t="s">
        <v>236</v>
      </c>
      <c r="U154" t="s">
        <v>236</v>
      </c>
      <c r="V154" t="s">
        <v>236</v>
      </c>
      <c r="W154" t="s">
        <v>2004</v>
      </c>
      <c r="X154" t="s">
        <v>302</v>
      </c>
      <c r="Y154" t="s">
        <v>153</v>
      </c>
      <c r="Z154" t="s">
        <v>2005</v>
      </c>
      <c r="AA154" t="s">
        <v>2006</v>
      </c>
      <c r="AB154" t="s">
        <v>2007</v>
      </c>
      <c r="AC154" t="s">
        <v>172</v>
      </c>
      <c r="AE154">
        <v>6</v>
      </c>
      <c r="AF154" s="1" t="s">
        <v>124</v>
      </c>
      <c r="AX154" s="1"/>
      <c r="CR154" s="1"/>
      <c r="DB154" s="1"/>
      <c r="DL154" s="1"/>
      <c r="EO154" s="1"/>
      <c r="FO154" s="1"/>
    </row>
    <row r="155" spans="1:214" x14ac:dyDescent="0.45">
      <c r="A155">
        <v>257</v>
      </c>
      <c r="B155">
        <f>_xlfn.IFNA(VLOOKUP(Analiza[[#This Row],[Zakończono wypełnianie]],Zakończone[],2,0),"BRAK")</f>
        <v>134</v>
      </c>
      <c r="C155">
        <f t="shared" si="4"/>
        <v>61</v>
      </c>
      <c r="D155" t="s">
        <v>2014</v>
      </c>
      <c r="E155" t="s">
        <v>118</v>
      </c>
      <c r="J155" t="s">
        <v>119</v>
      </c>
      <c r="K155" t="s">
        <v>2015</v>
      </c>
      <c r="L155" t="s">
        <v>2016</v>
      </c>
      <c r="M155">
        <v>1430</v>
      </c>
      <c r="N155">
        <v>0</v>
      </c>
      <c r="O155" t="s">
        <v>122</v>
      </c>
      <c r="P155" s="1" t="s">
        <v>123</v>
      </c>
      <c r="AF155" s="1" t="s">
        <v>124</v>
      </c>
      <c r="AG155" t="s">
        <v>191</v>
      </c>
      <c r="AH155">
        <v>1989</v>
      </c>
      <c r="AI155" t="s">
        <v>126</v>
      </c>
      <c r="AJ155" t="s">
        <v>2017</v>
      </c>
      <c r="AK155" t="s">
        <v>150</v>
      </c>
      <c r="AL155" t="s">
        <v>150</v>
      </c>
      <c r="AM155" t="s">
        <v>162</v>
      </c>
      <c r="AN155" t="s">
        <v>162</v>
      </c>
      <c r="AO155" t="s">
        <v>162</v>
      </c>
      <c r="AP155">
        <v>0</v>
      </c>
      <c r="AQ155" t="s">
        <v>226</v>
      </c>
      <c r="AR155" t="s">
        <v>226</v>
      </c>
      <c r="AS155" t="s">
        <v>2018</v>
      </c>
      <c r="AT155" t="s">
        <v>1229</v>
      </c>
      <c r="AU155" t="s">
        <v>1229</v>
      </c>
      <c r="AV155" t="s">
        <v>157</v>
      </c>
      <c r="AW155" t="s">
        <v>1271</v>
      </c>
      <c r="AX155" s="1" t="s">
        <v>159</v>
      </c>
      <c r="AY155">
        <v>1</v>
      </c>
      <c r="AZ155" t="s">
        <v>191</v>
      </c>
      <c r="BA155">
        <v>2016</v>
      </c>
      <c r="BB155" t="s">
        <v>126</v>
      </c>
      <c r="BC155" t="s">
        <v>2019</v>
      </c>
      <c r="BD155" t="s">
        <v>150</v>
      </c>
      <c r="BE155" t="s">
        <v>150</v>
      </c>
      <c r="BF155" t="s">
        <v>151</v>
      </c>
      <c r="BG155" t="s">
        <v>128</v>
      </c>
      <c r="BH155" t="s">
        <v>162</v>
      </c>
      <c r="BI155" t="s">
        <v>2020</v>
      </c>
      <c r="BJ155" t="s">
        <v>2021</v>
      </c>
      <c r="BK155" t="s">
        <v>157</v>
      </c>
      <c r="BN155" t="s">
        <v>173</v>
      </c>
      <c r="CR155" s="1" t="s">
        <v>123</v>
      </c>
      <c r="DB155" s="1" t="s">
        <v>123</v>
      </c>
      <c r="DL155" s="1" t="s">
        <v>123</v>
      </c>
      <c r="EO155" s="1" t="s">
        <v>123</v>
      </c>
      <c r="FO155" s="1" t="s">
        <v>2022</v>
      </c>
      <c r="FP155" t="s">
        <v>2023</v>
      </c>
      <c r="FQ155" t="s">
        <v>2024</v>
      </c>
      <c r="FR155">
        <v>1</v>
      </c>
      <c r="FS155" t="s">
        <v>191</v>
      </c>
      <c r="FT155" t="s">
        <v>150</v>
      </c>
      <c r="FU155" t="s">
        <v>150</v>
      </c>
      <c r="FV155" t="s">
        <v>150</v>
      </c>
      <c r="FW155" t="s">
        <v>150</v>
      </c>
      <c r="FX155" t="s">
        <v>150</v>
      </c>
      <c r="FY155" t="s">
        <v>150</v>
      </c>
      <c r="FZ155" t="s">
        <v>150</v>
      </c>
      <c r="GB155" t="s">
        <v>2025</v>
      </c>
      <c r="GC155" t="s">
        <v>173</v>
      </c>
      <c r="GW155" t="s">
        <v>1229</v>
      </c>
      <c r="GX155" t="s">
        <v>1229</v>
      </c>
      <c r="GY155" t="s">
        <v>1229</v>
      </c>
      <c r="GZ155" t="s">
        <v>186</v>
      </c>
      <c r="HA155">
        <v>1965</v>
      </c>
      <c r="HB155" t="s">
        <v>220</v>
      </c>
      <c r="HD155" t="s">
        <v>2026</v>
      </c>
      <c r="HF155" t="s">
        <v>2027</v>
      </c>
    </row>
    <row r="156" spans="1:214" x14ac:dyDescent="0.45">
      <c r="A156">
        <v>258</v>
      </c>
      <c r="B156">
        <f>_xlfn.IFNA(VLOOKUP(Analiza[[#This Row],[Zakończono wypełnianie]],Zakończone[],2,0),"BRAK")</f>
        <v>135</v>
      </c>
      <c r="C156">
        <f t="shared" si="4"/>
        <v>55</v>
      </c>
      <c r="D156" t="s">
        <v>2014</v>
      </c>
      <c r="E156" t="s">
        <v>118</v>
      </c>
      <c r="J156" t="s">
        <v>119</v>
      </c>
      <c r="K156" t="s">
        <v>2028</v>
      </c>
      <c r="L156" t="s">
        <v>2029</v>
      </c>
      <c r="M156">
        <v>721</v>
      </c>
      <c r="N156">
        <v>0</v>
      </c>
      <c r="O156" t="s">
        <v>122</v>
      </c>
      <c r="P156" s="1" t="s">
        <v>123</v>
      </c>
      <c r="AF156" s="1" t="s">
        <v>124</v>
      </c>
      <c r="AG156" t="s">
        <v>234</v>
      </c>
      <c r="AH156">
        <v>1985</v>
      </c>
      <c r="AI156" t="s">
        <v>148</v>
      </c>
      <c r="AJ156" t="s">
        <v>2030</v>
      </c>
      <c r="AK156" t="s">
        <v>169</v>
      </c>
      <c r="AL156" t="s">
        <v>169</v>
      </c>
      <c r="AM156" t="s">
        <v>150</v>
      </c>
      <c r="AN156" t="s">
        <v>128</v>
      </c>
      <c r="AO156" t="s">
        <v>128</v>
      </c>
      <c r="AP156">
        <v>4</v>
      </c>
      <c r="AQ156" t="s">
        <v>131</v>
      </c>
      <c r="AR156" t="s">
        <v>131</v>
      </c>
      <c r="AS156" t="s">
        <v>2031</v>
      </c>
      <c r="AT156" t="s">
        <v>1229</v>
      </c>
      <c r="AU156" t="s">
        <v>1229</v>
      </c>
      <c r="AV156" t="s">
        <v>157</v>
      </c>
      <c r="AW156" t="s">
        <v>2032</v>
      </c>
      <c r="AX156" s="1" t="s">
        <v>123</v>
      </c>
      <c r="CR156" s="1" t="s">
        <v>123</v>
      </c>
      <c r="DB156" s="1" t="s">
        <v>123</v>
      </c>
      <c r="DL156" s="1" t="s">
        <v>174</v>
      </c>
      <c r="DM156" t="s">
        <v>394</v>
      </c>
      <c r="DQ156" t="s">
        <v>234</v>
      </c>
      <c r="DR156" t="s">
        <v>162</v>
      </c>
      <c r="DS156" t="s">
        <v>162</v>
      </c>
      <c r="DT156" t="s">
        <v>162</v>
      </c>
      <c r="DU156" t="s">
        <v>132</v>
      </c>
      <c r="DV156" t="s">
        <v>132</v>
      </c>
      <c r="DW156" t="s">
        <v>132</v>
      </c>
      <c r="DX156" t="s">
        <v>162</v>
      </c>
      <c r="DY156">
        <v>20</v>
      </c>
      <c r="DZ156">
        <v>60</v>
      </c>
      <c r="EA156">
        <v>0</v>
      </c>
      <c r="EB156">
        <v>0</v>
      </c>
      <c r="EC156">
        <v>0</v>
      </c>
      <c r="ED156">
        <v>20</v>
      </c>
      <c r="EE156">
        <v>0</v>
      </c>
      <c r="EG156">
        <v>20</v>
      </c>
      <c r="EH156">
        <v>60</v>
      </c>
      <c r="EI156">
        <v>0</v>
      </c>
      <c r="EJ156">
        <v>0</v>
      </c>
      <c r="EK156">
        <v>0</v>
      </c>
      <c r="EL156">
        <v>20</v>
      </c>
      <c r="EM156">
        <v>0</v>
      </c>
      <c r="EO156" s="1" t="s">
        <v>123</v>
      </c>
      <c r="FO156" s="1" t="s">
        <v>123</v>
      </c>
      <c r="GW156" t="s">
        <v>2033</v>
      </c>
      <c r="GX156" t="s">
        <v>1229</v>
      </c>
      <c r="GY156" t="s">
        <v>1229</v>
      </c>
      <c r="GZ156" t="s">
        <v>186</v>
      </c>
      <c r="HA156">
        <v>1961</v>
      </c>
      <c r="HB156" t="s">
        <v>141</v>
      </c>
    </row>
    <row r="157" spans="1:214" x14ac:dyDescent="0.45">
      <c r="A157">
        <v>259</v>
      </c>
      <c r="B157">
        <f>_xlfn.IFNA(VLOOKUP(Analiza[[#This Row],[Zakończono wypełnianie]],Zakończone[],2,0),"BRAK")</f>
        <v>136</v>
      </c>
      <c r="C157">
        <f t="shared" si="4"/>
        <v>72</v>
      </c>
      <c r="D157" t="s">
        <v>2014</v>
      </c>
      <c r="E157" t="s">
        <v>118</v>
      </c>
      <c r="J157" t="s">
        <v>119</v>
      </c>
      <c r="K157" t="s">
        <v>2034</v>
      </c>
      <c r="L157" t="s">
        <v>2035</v>
      </c>
      <c r="M157">
        <v>1151</v>
      </c>
      <c r="N157">
        <v>0</v>
      </c>
      <c r="O157" t="s">
        <v>122</v>
      </c>
      <c r="P157" s="1" t="s">
        <v>123</v>
      </c>
      <c r="AF157" s="1" t="s">
        <v>124</v>
      </c>
      <c r="AG157" t="s">
        <v>223</v>
      </c>
      <c r="AH157">
        <v>1987</v>
      </c>
      <c r="AI157" t="s">
        <v>148</v>
      </c>
      <c r="AJ157" t="s">
        <v>554</v>
      </c>
      <c r="AK157" t="s">
        <v>132</v>
      </c>
      <c r="AL157" t="s">
        <v>132</v>
      </c>
      <c r="AM157" t="s">
        <v>132</v>
      </c>
      <c r="AN157" t="s">
        <v>132</v>
      </c>
      <c r="AO157" t="s">
        <v>132</v>
      </c>
      <c r="AP157" t="s">
        <v>2036</v>
      </c>
      <c r="AQ157" t="s">
        <v>132</v>
      </c>
      <c r="AR157" t="s">
        <v>132</v>
      </c>
      <c r="AT157" t="s">
        <v>1229</v>
      </c>
      <c r="AU157" t="s">
        <v>1229</v>
      </c>
      <c r="AV157" t="s">
        <v>157</v>
      </c>
      <c r="AW157" t="s">
        <v>2037</v>
      </c>
      <c r="AX157" s="1" t="s">
        <v>159</v>
      </c>
      <c r="AY157">
        <v>3</v>
      </c>
      <c r="AZ157" t="s">
        <v>191</v>
      </c>
      <c r="BA157">
        <v>2020</v>
      </c>
      <c r="BB157" t="s">
        <v>126</v>
      </c>
      <c r="BC157" t="s">
        <v>2038</v>
      </c>
      <c r="BD157" t="s">
        <v>150</v>
      </c>
      <c r="BE157" t="s">
        <v>162</v>
      </c>
      <c r="BF157" t="s">
        <v>169</v>
      </c>
      <c r="BG157" t="s">
        <v>150</v>
      </c>
      <c r="BH157" t="s">
        <v>132</v>
      </c>
      <c r="BI157" t="s">
        <v>2039</v>
      </c>
      <c r="BJ157" t="s">
        <v>2040</v>
      </c>
      <c r="BK157" t="s">
        <v>157</v>
      </c>
      <c r="BN157" t="s">
        <v>166</v>
      </c>
      <c r="BO157" t="s">
        <v>191</v>
      </c>
      <c r="BP157">
        <v>2013</v>
      </c>
      <c r="BQ157" t="s">
        <v>126</v>
      </c>
      <c r="BR157" t="s">
        <v>1867</v>
      </c>
      <c r="BS157" t="s">
        <v>162</v>
      </c>
      <c r="BT157" t="s">
        <v>150</v>
      </c>
      <c r="BU157" t="s">
        <v>162</v>
      </c>
      <c r="BV157" t="s">
        <v>162</v>
      </c>
      <c r="BW157" t="s">
        <v>162</v>
      </c>
      <c r="BX157" t="s">
        <v>237</v>
      </c>
      <c r="BZ157" t="s">
        <v>157</v>
      </c>
      <c r="CB157" t="s">
        <v>2041</v>
      </c>
      <c r="CC157" t="s">
        <v>238</v>
      </c>
      <c r="CD157" t="s">
        <v>191</v>
      </c>
      <c r="CE157">
        <v>2016</v>
      </c>
      <c r="CF157" t="s">
        <v>126</v>
      </c>
      <c r="CG157" t="s">
        <v>2042</v>
      </c>
      <c r="CH157" t="s">
        <v>151</v>
      </c>
      <c r="CI157" t="s">
        <v>162</v>
      </c>
      <c r="CJ157" t="s">
        <v>150</v>
      </c>
      <c r="CK157" t="s">
        <v>169</v>
      </c>
      <c r="CL157" t="s">
        <v>150</v>
      </c>
      <c r="CM157" t="s">
        <v>237</v>
      </c>
      <c r="CN157" t="s">
        <v>2043</v>
      </c>
      <c r="CO157" t="s">
        <v>157</v>
      </c>
      <c r="CR157" s="1" t="s">
        <v>123</v>
      </c>
      <c r="DB157" s="1" t="s">
        <v>123</v>
      </c>
      <c r="DL157" s="1" t="s">
        <v>123</v>
      </c>
      <c r="EO157" s="1" t="s">
        <v>123</v>
      </c>
      <c r="FO157" s="1" t="s">
        <v>123</v>
      </c>
      <c r="GW157" t="s">
        <v>1229</v>
      </c>
      <c r="GX157" t="s">
        <v>1229</v>
      </c>
      <c r="GY157" t="s">
        <v>1229</v>
      </c>
      <c r="GZ157" t="s">
        <v>186</v>
      </c>
      <c r="HA157">
        <v>1962</v>
      </c>
      <c r="HB157" t="s">
        <v>141</v>
      </c>
      <c r="HE157" t="s">
        <v>2044</v>
      </c>
      <c r="HF157" t="s">
        <v>2045</v>
      </c>
    </row>
    <row r="158" spans="1:214" x14ac:dyDescent="0.45">
      <c r="A158">
        <v>260</v>
      </c>
      <c r="B158">
        <f>_xlfn.IFNA(VLOOKUP(Analiza[[#This Row],[Zakończono wypełnianie]],Zakończone[],2,0),"BRAK")</f>
        <v>137</v>
      </c>
      <c r="C158">
        <f t="shared" si="4"/>
        <v>66</v>
      </c>
      <c r="D158" t="s">
        <v>2014</v>
      </c>
      <c r="E158" t="s">
        <v>118</v>
      </c>
      <c r="J158" t="s">
        <v>119</v>
      </c>
      <c r="K158" t="s">
        <v>2046</v>
      </c>
      <c r="L158" t="s">
        <v>2047</v>
      </c>
      <c r="M158">
        <v>707</v>
      </c>
      <c r="N158">
        <v>0</v>
      </c>
      <c r="O158" t="s">
        <v>122</v>
      </c>
      <c r="P158" s="1" t="s">
        <v>123</v>
      </c>
      <c r="AF158" s="1" t="s">
        <v>124</v>
      </c>
      <c r="AG158" t="s">
        <v>191</v>
      </c>
      <c r="AH158">
        <v>1985</v>
      </c>
      <c r="AI158" t="s">
        <v>126</v>
      </c>
      <c r="AJ158" t="s">
        <v>2017</v>
      </c>
      <c r="AK158" t="s">
        <v>150</v>
      </c>
      <c r="AL158" t="s">
        <v>150</v>
      </c>
      <c r="AM158" t="s">
        <v>151</v>
      </c>
      <c r="AN158" t="s">
        <v>236</v>
      </c>
      <c r="AO158" t="s">
        <v>150</v>
      </c>
      <c r="AP158" t="s">
        <v>237</v>
      </c>
      <c r="AQ158" t="s">
        <v>152</v>
      </c>
      <c r="AR158" t="s">
        <v>759</v>
      </c>
      <c r="AS158" t="s">
        <v>2048</v>
      </c>
      <c r="AT158" t="s">
        <v>1229</v>
      </c>
      <c r="AU158" t="s">
        <v>1229</v>
      </c>
      <c r="AV158" t="s">
        <v>157</v>
      </c>
      <c r="AW158" t="s">
        <v>2032</v>
      </c>
      <c r="AX158" s="1" t="s">
        <v>159</v>
      </c>
      <c r="AY158">
        <v>1</v>
      </c>
      <c r="AZ158" t="s">
        <v>191</v>
      </c>
      <c r="BA158">
        <v>2018</v>
      </c>
      <c r="BB158" t="s">
        <v>126</v>
      </c>
      <c r="BC158" t="s">
        <v>2049</v>
      </c>
      <c r="BD158" t="s">
        <v>151</v>
      </c>
      <c r="BE158" t="s">
        <v>151</v>
      </c>
      <c r="BF158" t="s">
        <v>128</v>
      </c>
      <c r="BG158" t="s">
        <v>162</v>
      </c>
      <c r="BH158" t="s">
        <v>132</v>
      </c>
      <c r="BI158">
        <v>12</v>
      </c>
      <c r="BJ158" t="s">
        <v>2050</v>
      </c>
      <c r="BK158" t="s">
        <v>157</v>
      </c>
      <c r="BN158" t="s">
        <v>173</v>
      </c>
      <c r="CR158" s="1" t="s">
        <v>123</v>
      </c>
      <c r="DB158" s="1" t="s">
        <v>123</v>
      </c>
      <c r="DL158" s="1" t="s">
        <v>123</v>
      </c>
      <c r="EO158" s="1" t="s">
        <v>177</v>
      </c>
      <c r="EP158" t="s">
        <v>178</v>
      </c>
      <c r="EQ158">
        <v>2</v>
      </c>
      <c r="ER158" t="s">
        <v>191</v>
      </c>
      <c r="ES158" t="s">
        <v>151</v>
      </c>
      <c r="ET158" t="s">
        <v>162</v>
      </c>
      <c r="EU158" t="s">
        <v>151</v>
      </c>
      <c r="EV158" t="s">
        <v>178</v>
      </c>
      <c r="EW158" t="s">
        <v>2051</v>
      </c>
      <c r="EX158" t="s">
        <v>2052</v>
      </c>
      <c r="EY158" t="s">
        <v>1206</v>
      </c>
      <c r="EZ158" t="s">
        <v>223</v>
      </c>
      <c r="FA158" t="s">
        <v>162</v>
      </c>
      <c r="FB158" t="s">
        <v>162</v>
      </c>
      <c r="FC158" t="s">
        <v>151</v>
      </c>
      <c r="FD158" t="s">
        <v>178</v>
      </c>
      <c r="FE158" t="s">
        <v>2053</v>
      </c>
      <c r="FF158" t="s">
        <v>2054</v>
      </c>
      <c r="FG158" t="s">
        <v>173</v>
      </c>
      <c r="FO158" s="1" t="s">
        <v>123</v>
      </c>
      <c r="GW158" t="s">
        <v>1229</v>
      </c>
      <c r="GX158" t="s">
        <v>1229</v>
      </c>
      <c r="GY158" t="s">
        <v>1229</v>
      </c>
      <c r="GZ158" t="s">
        <v>186</v>
      </c>
      <c r="HA158">
        <v>1959</v>
      </c>
      <c r="HB158" t="s">
        <v>141</v>
      </c>
      <c r="HD158" t="s">
        <v>2055</v>
      </c>
      <c r="HF158" t="s">
        <v>2056</v>
      </c>
    </row>
    <row r="159" spans="1:214" x14ac:dyDescent="0.45">
      <c r="A159">
        <v>261</v>
      </c>
      <c r="B159">
        <f>_xlfn.IFNA(VLOOKUP(Analiza[[#This Row],[Zakończono wypełnianie]],Zakończone[],2,0),"BRAK")</f>
        <v>138</v>
      </c>
      <c r="C159">
        <f t="shared" si="4"/>
        <v>61</v>
      </c>
      <c r="D159" t="s">
        <v>2014</v>
      </c>
      <c r="E159" t="s">
        <v>118</v>
      </c>
      <c r="J159" t="s">
        <v>119</v>
      </c>
      <c r="K159" t="s">
        <v>2057</v>
      </c>
      <c r="L159" t="s">
        <v>2058</v>
      </c>
      <c r="M159">
        <v>616</v>
      </c>
      <c r="N159">
        <v>0</v>
      </c>
      <c r="O159" t="s">
        <v>122</v>
      </c>
      <c r="P159" s="1" t="s">
        <v>123</v>
      </c>
      <c r="AF159" s="1" t="s">
        <v>124</v>
      </c>
      <c r="AG159" t="s">
        <v>223</v>
      </c>
      <c r="AH159">
        <v>1992</v>
      </c>
      <c r="AI159" t="s">
        <v>148</v>
      </c>
      <c r="AJ159" t="s">
        <v>2059</v>
      </c>
      <c r="AK159" t="s">
        <v>150</v>
      </c>
      <c r="AL159" t="s">
        <v>169</v>
      </c>
      <c r="AM159" t="s">
        <v>150</v>
      </c>
      <c r="AN159" t="s">
        <v>151</v>
      </c>
      <c r="AO159" t="s">
        <v>162</v>
      </c>
      <c r="AP159">
        <v>0</v>
      </c>
      <c r="AQ159" t="s">
        <v>131</v>
      </c>
      <c r="AR159" t="s">
        <v>302</v>
      </c>
      <c r="AS159" t="s">
        <v>2060</v>
      </c>
      <c r="AT159" t="s">
        <v>1229</v>
      </c>
      <c r="AU159" t="s">
        <v>1229</v>
      </c>
      <c r="AV159" t="s">
        <v>157</v>
      </c>
      <c r="AW159" t="s">
        <v>2032</v>
      </c>
      <c r="AX159" s="1" t="s">
        <v>159</v>
      </c>
      <c r="AY159">
        <v>1</v>
      </c>
      <c r="AZ159" t="s">
        <v>445</v>
      </c>
      <c r="BA159">
        <v>2019</v>
      </c>
      <c r="BB159" t="s">
        <v>148</v>
      </c>
      <c r="BC159" t="s">
        <v>461</v>
      </c>
      <c r="BD159" t="s">
        <v>169</v>
      </c>
      <c r="BE159" t="s">
        <v>169</v>
      </c>
      <c r="BF159" t="s">
        <v>169</v>
      </c>
      <c r="BG159" t="s">
        <v>169</v>
      </c>
      <c r="BH159" t="s">
        <v>132</v>
      </c>
      <c r="BI159" t="s">
        <v>2020</v>
      </c>
      <c r="BJ159" t="s">
        <v>2061</v>
      </c>
      <c r="BK159" t="s">
        <v>157</v>
      </c>
      <c r="BM159" t="s">
        <v>2062</v>
      </c>
      <c r="BN159" t="s">
        <v>173</v>
      </c>
      <c r="CR159" s="1" t="s">
        <v>123</v>
      </c>
      <c r="DB159" s="1" t="s">
        <v>123</v>
      </c>
      <c r="DL159" s="1" t="s">
        <v>123</v>
      </c>
      <c r="EO159" s="1" t="s">
        <v>123</v>
      </c>
      <c r="FO159" s="1" t="s">
        <v>2022</v>
      </c>
      <c r="FP159" t="s">
        <v>2023</v>
      </c>
      <c r="FQ159" t="s">
        <v>2063</v>
      </c>
      <c r="FR159">
        <v>1</v>
      </c>
      <c r="FS159" t="s">
        <v>191</v>
      </c>
      <c r="FT159" t="s">
        <v>150</v>
      </c>
      <c r="FU159" t="s">
        <v>150</v>
      </c>
      <c r="FV159" t="s">
        <v>169</v>
      </c>
      <c r="FW159" t="s">
        <v>169</v>
      </c>
      <c r="FX159" t="s">
        <v>132</v>
      </c>
      <c r="FY159" t="s">
        <v>132</v>
      </c>
      <c r="FZ159" t="s">
        <v>169</v>
      </c>
      <c r="GC159" t="s">
        <v>173</v>
      </c>
      <c r="GW159" t="s">
        <v>1229</v>
      </c>
      <c r="GX159" t="s">
        <v>1229</v>
      </c>
      <c r="GY159" t="s">
        <v>1229</v>
      </c>
      <c r="GZ159" t="s">
        <v>186</v>
      </c>
      <c r="HA159">
        <v>1968</v>
      </c>
      <c r="HB159" t="s">
        <v>220</v>
      </c>
      <c r="HD159" t="s">
        <v>2055</v>
      </c>
      <c r="HF159" t="s">
        <v>2064</v>
      </c>
    </row>
    <row r="160" spans="1:214" ht="14.65" thickBot="1" x14ac:dyDescent="0.5">
      <c r="O160" s="6">
        <f t="shared" ref="O160:AX160" si="5">COUNTA((O3:O159))</f>
        <v>157</v>
      </c>
      <c r="P160" s="6">
        <f t="shared" si="5"/>
        <v>157</v>
      </c>
      <c r="Q160" s="1">
        <f t="shared" si="5"/>
        <v>21</v>
      </c>
      <c r="R160" s="1">
        <f t="shared" si="5"/>
        <v>21</v>
      </c>
      <c r="S160" s="1">
        <f t="shared" si="5"/>
        <v>21</v>
      </c>
      <c r="T160" s="1">
        <f t="shared" si="5"/>
        <v>21</v>
      </c>
      <c r="U160" s="1">
        <f t="shared" si="5"/>
        <v>21</v>
      </c>
      <c r="V160" s="1">
        <f t="shared" si="5"/>
        <v>21</v>
      </c>
      <c r="W160" s="1">
        <f t="shared" si="5"/>
        <v>21</v>
      </c>
      <c r="X160" s="1">
        <f t="shared" si="5"/>
        <v>21</v>
      </c>
      <c r="Y160" s="1">
        <f t="shared" si="5"/>
        <v>21</v>
      </c>
      <c r="Z160" s="1">
        <f t="shared" si="5"/>
        <v>15</v>
      </c>
      <c r="AA160" s="1">
        <f t="shared" si="5"/>
        <v>21</v>
      </c>
      <c r="AB160" s="1">
        <f t="shared" si="5"/>
        <v>21</v>
      </c>
      <c r="AC160" s="1">
        <f t="shared" si="5"/>
        <v>20</v>
      </c>
      <c r="AD160" s="1">
        <f t="shared" si="5"/>
        <v>2</v>
      </c>
      <c r="AE160" s="1">
        <f t="shared" si="5"/>
        <v>21</v>
      </c>
      <c r="AF160" s="6">
        <f t="shared" si="5"/>
        <v>157</v>
      </c>
      <c r="AG160" s="1">
        <f t="shared" si="5"/>
        <v>134</v>
      </c>
      <c r="AH160" s="1">
        <f t="shared" si="5"/>
        <v>132</v>
      </c>
      <c r="AI160" s="1">
        <f t="shared" si="5"/>
        <v>134</v>
      </c>
      <c r="AJ160" s="1">
        <f t="shared" si="5"/>
        <v>134</v>
      </c>
      <c r="AK160" s="1">
        <f t="shared" si="5"/>
        <v>134</v>
      </c>
      <c r="AL160" s="1">
        <f t="shared" si="5"/>
        <v>134</v>
      </c>
      <c r="AM160" s="1">
        <f t="shared" si="5"/>
        <v>134</v>
      </c>
      <c r="AN160" s="1">
        <f t="shared" si="5"/>
        <v>134</v>
      </c>
      <c r="AO160" s="1">
        <f t="shared" si="5"/>
        <v>134</v>
      </c>
      <c r="AP160" s="1">
        <f t="shared" si="5"/>
        <v>134</v>
      </c>
      <c r="AQ160" s="1">
        <f t="shared" si="5"/>
        <v>133</v>
      </c>
      <c r="AR160" s="1">
        <f t="shared" si="5"/>
        <v>133</v>
      </c>
      <c r="AS160" s="1">
        <f t="shared" si="5"/>
        <v>106</v>
      </c>
      <c r="AT160" s="1">
        <f t="shared" si="5"/>
        <v>133</v>
      </c>
      <c r="AU160" s="1">
        <f t="shared" si="5"/>
        <v>132</v>
      </c>
      <c r="AV160" s="1">
        <f t="shared" si="5"/>
        <v>119</v>
      </c>
      <c r="AW160" s="1">
        <f t="shared" si="5"/>
        <v>42</v>
      </c>
      <c r="AX160" s="6">
        <f t="shared" si="5"/>
        <v>154</v>
      </c>
      <c r="AY160" s="1">
        <f t="shared" ref="AY160:CQ160" si="6">COUNTA((AY3:AY159))</f>
        <v>18</v>
      </c>
      <c r="AZ160" s="1">
        <f t="shared" si="6"/>
        <v>18</v>
      </c>
      <c r="BA160" s="1">
        <f t="shared" si="6"/>
        <v>18</v>
      </c>
      <c r="BB160" s="1">
        <f t="shared" si="6"/>
        <v>18</v>
      </c>
      <c r="BC160" s="1">
        <f t="shared" si="6"/>
        <v>18</v>
      </c>
      <c r="BD160" s="1">
        <f t="shared" si="6"/>
        <v>18</v>
      </c>
      <c r="BE160" s="1">
        <f t="shared" si="6"/>
        <v>18</v>
      </c>
      <c r="BF160" s="1">
        <f t="shared" si="6"/>
        <v>18</v>
      </c>
      <c r="BG160" s="1">
        <f t="shared" si="6"/>
        <v>18</v>
      </c>
      <c r="BH160" s="1">
        <f t="shared" si="6"/>
        <v>18</v>
      </c>
      <c r="BI160" s="1">
        <f t="shared" si="6"/>
        <v>18</v>
      </c>
      <c r="BJ160" s="1">
        <f t="shared" si="6"/>
        <v>16</v>
      </c>
      <c r="BK160" s="1">
        <f t="shared" si="6"/>
        <v>18</v>
      </c>
      <c r="BL160" s="1">
        <f t="shared" si="6"/>
        <v>1</v>
      </c>
      <c r="BM160" s="1">
        <f t="shared" si="6"/>
        <v>8</v>
      </c>
      <c r="BN160" s="1">
        <f t="shared" si="6"/>
        <v>18</v>
      </c>
      <c r="BO160" s="1">
        <f t="shared" si="6"/>
        <v>6</v>
      </c>
      <c r="BP160" s="1">
        <f t="shared" si="6"/>
        <v>6</v>
      </c>
      <c r="BQ160" s="1">
        <f t="shared" si="6"/>
        <v>6</v>
      </c>
      <c r="BR160" s="1">
        <f t="shared" si="6"/>
        <v>6</v>
      </c>
      <c r="BS160" s="1">
        <f t="shared" si="6"/>
        <v>6</v>
      </c>
      <c r="BT160" s="1">
        <f t="shared" si="6"/>
        <v>6</v>
      </c>
      <c r="BU160" s="1">
        <f t="shared" si="6"/>
        <v>6</v>
      </c>
      <c r="BV160" s="1">
        <f t="shared" si="6"/>
        <v>6</v>
      </c>
      <c r="BW160" s="1">
        <f t="shared" si="6"/>
        <v>6</v>
      </c>
      <c r="BX160" s="1">
        <f t="shared" si="6"/>
        <v>6</v>
      </c>
      <c r="BY160" s="1">
        <f t="shared" si="6"/>
        <v>4</v>
      </c>
      <c r="BZ160" s="1">
        <f t="shared" si="6"/>
        <v>6</v>
      </c>
      <c r="CA160" s="1">
        <f t="shared" si="6"/>
        <v>0</v>
      </c>
      <c r="CB160" s="1">
        <f t="shared" si="6"/>
        <v>3</v>
      </c>
      <c r="CC160" s="1">
        <f t="shared" si="6"/>
        <v>6</v>
      </c>
      <c r="CD160" s="1">
        <f t="shared" si="6"/>
        <v>2</v>
      </c>
      <c r="CE160" s="1">
        <f t="shared" si="6"/>
        <v>2</v>
      </c>
      <c r="CF160" s="1">
        <f t="shared" si="6"/>
        <v>2</v>
      </c>
      <c r="CG160" s="1">
        <f t="shared" si="6"/>
        <v>2</v>
      </c>
      <c r="CH160" s="1">
        <f t="shared" si="6"/>
        <v>2</v>
      </c>
      <c r="CI160" s="1">
        <f t="shared" si="6"/>
        <v>2</v>
      </c>
      <c r="CJ160" s="1">
        <f t="shared" si="6"/>
        <v>2</v>
      </c>
      <c r="CK160" s="1">
        <f t="shared" si="6"/>
        <v>2</v>
      </c>
      <c r="CL160" s="1">
        <f t="shared" si="6"/>
        <v>2</v>
      </c>
      <c r="CM160" s="1">
        <f t="shared" si="6"/>
        <v>2</v>
      </c>
      <c r="CN160" s="1">
        <f t="shared" si="6"/>
        <v>2</v>
      </c>
      <c r="CO160" s="1">
        <f t="shared" si="6"/>
        <v>2</v>
      </c>
      <c r="CP160" s="1">
        <f t="shared" si="6"/>
        <v>0</v>
      </c>
      <c r="CQ160" s="1">
        <f t="shared" si="6"/>
        <v>1</v>
      </c>
      <c r="CR160" s="6">
        <f>COUNTA((CR3:CR159))</f>
        <v>150</v>
      </c>
      <c r="DB160" s="6">
        <f>COUNTA((DB3:DB159))</f>
        <v>148</v>
      </c>
      <c r="DL160" s="6">
        <f>COUNTA((DL3:DL159))</f>
        <v>148</v>
      </c>
      <c r="EO160" s="6">
        <f>COUNTA((EO3:EO159))</f>
        <v>147</v>
      </c>
      <c r="FO160" s="6">
        <f>COUNTA((FO3:FO159))</f>
        <v>144</v>
      </c>
      <c r="GZ160" s="6">
        <f t="shared" ref="GZ160:HF160" si="7">COUNTA((GZ3:GZ159))</f>
        <v>135</v>
      </c>
      <c r="HA160" s="6">
        <f t="shared" si="7"/>
        <v>135</v>
      </c>
      <c r="HB160" s="6">
        <f t="shared" si="7"/>
        <v>135</v>
      </c>
      <c r="HC160" s="6">
        <f t="shared" si="7"/>
        <v>7</v>
      </c>
      <c r="HD160" s="6">
        <f t="shared" si="7"/>
        <v>86</v>
      </c>
      <c r="HE160" s="6">
        <f t="shared" si="7"/>
        <v>54</v>
      </c>
      <c r="HF160" s="6">
        <f t="shared" si="7"/>
        <v>12</v>
      </c>
    </row>
    <row r="161" spans="2:210" ht="15" thickTop="1" thickBot="1" x14ac:dyDescent="0.5">
      <c r="B161" s="20" t="s">
        <v>2292</v>
      </c>
      <c r="O161" s="7">
        <f>COUNTIF(Analiza[Czy jesteś osobą pełnoletnią?],"*"&amp;"Tak"&amp;"*")</f>
        <v>157</v>
      </c>
      <c r="P161" s="7">
        <f>COUNTIF(Analiza[Czy jesteś studentem uczelni wyższej?],"*"&amp;"Tak"&amp;"*")</f>
        <v>21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7">
        <f>COUNTIF(Analiza[Czy jesteś absolwentem uczelni wyższej?],"*"&amp;"Tak"&amp;"*")</f>
        <v>135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7">
        <f>COUNTIF(Analiza[Czy jesteś rodzicem / opiekunem absolwenta uczelni wyższej?],"*"&amp;"Tak"&amp;"*")</f>
        <v>18</v>
      </c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7">
        <f>COUNTIF(Analiza[Czy jesteś aktualnie pracownikiem administracyjnym uczelni wyższej?],"*"&amp;"Tak"&amp;"*")</f>
        <v>4</v>
      </c>
      <c r="CS161" s="8"/>
      <c r="CT161" s="8"/>
      <c r="CU161" s="8"/>
      <c r="CV161" s="8"/>
      <c r="CW161" s="8"/>
      <c r="CX161" s="8"/>
      <c r="CY161" s="8"/>
      <c r="CZ161" s="8"/>
      <c r="DA161" s="8"/>
      <c r="DB161" s="7">
        <f>COUNTIF(Analiza[Czy jesteś aktualnie pracownikiem naukowym lub dydaktycznym uczelni wyższej?],"*"&amp;"Tak"&amp;"*")</f>
        <v>17</v>
      </c>
      <c r="DC161" s="8"/>
      <c r="DD161" s="8"/>
      <c r="DE161" s="8"/>
      <c r="DF161" s="8"/>
      <c r="DG161" s="8"/>
      <c r="DH161" s="8"/>
      <c r="DI161" s="8"/>
      <c r="DJ161" s="8"/>
      <c r="DK161" s="8"/>
      <c r="DL161" s="7">
        <f>COUNTIF(Analiza[Czy jesteś przedstawicielem władz uczelni z grupy rektorów, prorektorów, dziekanów, prodziekanów, członków senatu lub członków rady uczelni?],"*"&amp;"Tak"&amp;"*")</f>
        <v>6</v>
      </c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7">
        <f>COUNTIF(Analiza[Czy jesteś przedstawicielem firmy, w której są zatrudniani absolwenci uczelni wyższych (tytuł licencjata, magistra lub wyższy)?],"*"&amp;"Tak"&amp;"*")</f>
        <v>21</v>
      </c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7">
        <f>COUNTIF(Analiza[Czy jesteś przedstawicielem władz samorządowych lub centralnych Rzeczypospolitej Polskiej?],"*"&amp;"Tak"&amp;"*")</f>
        <v>2</v>
      </c>
      <c r="FP161" s="7">
        <f>COUNTIF(Analiza[Proszę wskaż jaki poziom władzy samorządowej lub centralnej reprezentujesz.],"*"&amp;"Tak"&amp;"*")</f>
        <v>0</v>
      </c>
      <c r="FQ161" s="7">
        <f>COUNTIF(Analiza[Proszę o podanie nazwy organu władzy jaki reprezentujesz.],"*"&amp;"Tak"&amp;"*")</f>
        <v>0</v>
      </c>
      <c r="FR161" s="7">
        <f>COUNTIF(Analiza[Ile uczelni będziesz oceniać?26],"*"&amp;"Tak"&amp;"*")</f>
        <v>0</v>
      </c>
      <c r="FS161" s="7">
        <f>COUNTIF(Analiza[Jak się nazywa uczelnia, którą ocenisz?],"*"&amp;"Tak"&amp;"*")</f>
        <v>0</v>
      </c>
      <c r="FT161" s="7">
        <f>COUNTIF(Analiza[Efekty działań ocenianej uczelni na rzesz jakości edukacji są zgodne ze strategią rozwoju w regionie.],"*"&amp;"Tak"&amp;"*")</f>
        <v>0</v>
      </c>
      <c r="FU161" s="7">
        <f>COUNTIF(Analiza[Wartość wykształcenia zdobywanego przez studentów na ocenianej uczelni jest wysoka.27],"*"&amp;"Tak"&amp;"*")</f>
        <v>0</v>
      </c>
      <c r="FV161" s="7">
        <f>COUNTIF(Analiza[Zdobyte przez studentów ocenianej uczelni wykształcenie miało/ma pozytywny wpływ na ich zarobki.28],"*"&amp;"Tak"&amp;"*")</f>
        <v>0</v>
      </c>
      <c r="FW161" s="7">
        <f>COUNTIF(Analiza[Efekty działań ocenianej uczelni na rzecz jakości edukacji mają dobry wpływ na rozwój regionu.29],"*"&amp;"Tak"&amp;"*")</f>
        <v>0</v>
      </c>
      <c r="FX161" s="7">
        <f>COUNTIF(Analiza[Efekty działań ocenianej uczelni na rzecz jakości edukacji mają dobry wpływ na rozwój Polski.30],"*"&amp;"Tak"&amp;"*")</f>
        <v>0</v>
      </c>
      <c r="FY161" s="7">
        <f>COUNTIF(Analiza[Współpraca ocenianej uczelni z biznesem ma pozytywne efekty dla rozwoju regionu / kraju.31],"*"&amp;"Tak"&amp;"*")</f>
        <v>0</v>
      </c>
      <c r="FZ161" s="7">
        <f>COUNTIF(Analiza[Ogólny poziom mojej satysfakcji z jakości usług edukacyjnych ocenianej uczelni jest wysoki.32],"*"&amp;"Tak"&amp;"*")</f>
        <v>0</v>
      </c>
      <c r="GA161" s="7">
        <f>COUNTIF(Analiza[Pole dodatkowe33],"*"&amp;"Tak"&amp;"*")</f>
        <v>0</v>
      </c>
      <c r="GB161" s="7">
        <f>COUNTIF(Analiza[Jakie inne efekty pracy ocenianej uczelni technicznej dostrzegasz obecnie?],"*"&amp;"Tak"&amp;"*")</f>
        <v>0</v>
      </c>
      <c r="GC161" s="7">
        <f>COUNTIF(Analiza[Czy będziesz oceniać drugą uczelnię?],"*"&amp;"Tak"&amp;"*")</f>
        <v>0</v>
      </c>
      <c r="GD161" s="7">
        <f>COUNTIF(Analiza[Jak się nazywa uczelnia, którą ocenisz?34],"*"&amp;"Tak"&amp;"*")</f>
        <v>0</v>
      </c>
      <c r="GE161" s="7">
        <f>COUNTIF(Analiza[Efekty działań ocenianej uczelni na rzesz jakości edukacji są zgodne ze strategią rozwoju w regionie.35],"*"&amp;"Tak"&amp;"*")</f>
        <v>0</v>
      </c>
      <c r="GF161" s="7">
        <f>COUNTIF(Analiza[Wartość wykształcenia zdobywanego przez studentów na ocenianej uczelni jest wysoka.36],"*"&amp;"Tak"&amp;"*")</f>
        <v>0</v>
      </c>
      <c r="GG161" s="7">
        <f>COUNTIF(Analiza[Zdobyte przez studentów ocenianej uczelni wykształcenie miało/ma pozytywny wpływ na ich zarobki.37],"*"&amp;"Tak"&amp;"*")</f>
        <v>0</v>
      </c>
      <c r="GH161" s="7">
        <f>COUNTIF(Analiza[Efekty działań ocenianej uczelni na rzecz jakości edukacji mają dobry wpływ na rozwój regionu.38],"*"&amp;"Tak"&amp;"*")</f>
        <v>0</v>
      </c>
      <c r="GI161" s="7">
        <f>COUNTIF(Analiza[Efekty działań ocenianej uczelni na rzecz jakości edukacji mają dobry wpływ na rozwój Polski.39],"*"&amp;"Tak"&amp;"*")</f>
        <v>0</v>
      </c>
      <c r="GJ161" s="7">
        <f>COUNTIF(Analiza[Współpraca ocenianej uczelni z biznesem ma pozytywne efekty dla rozwoju regionu / kraju.40],"*"&amp;"Tak"&amp;"*")</f>
        <v>0</v>
      </c>
      <c r="GK161" s="7">
        <f>COUNTIF(Analiza[Ogólny poziom mojej satysfakcji z jakości usług edukacyjnych ocenianej uczelni jest wysoki.41],"*"&amp;"Tak"&amp;"*")</f>
        <v>0</v>
      </c>
      <c r="GL161" s="7">
        <f>COUNTIF(Analiza[Jakie inne efekty pracy ocenianej uczelni dostrzegasz obecnie?],"*"&amp;"Tak"&amp;"*")</f>
        <v>0</v>
      </c>
      <c r="GM161" s="7">
        <f>COUNTIF(Analiza[Czy będziesz oceniać trzecią uczelnię?],"*"&amp;"Tak"&amp;"*")</f>
        <v>0</v>
      </c>
      <c r="GN161" s="7">
        <f>COUNTIF(Analiza[Jak się nazywa uczelnia, którą ocenisz?42],"*"&amp;"Tak"&amp;"*")</f>
        <v>0</v>
      </c>
      <c r="GO161" s="7">
        <f>COUNTIF(Analiza[Efekty działań ocenianej uczelni na rzesz jakości edukacji są zgodne ze strategią rozwoju w regionie.43],"*"&amp;"Tak"&amp;"*")</f>
        <v>0</v>
      </c>
      <c r="GP161" s="7">
        <f>COUNTIF(Analiza[Wartość wykształcenia zdobywanego przez studentów na ocenianej uczelni jest wysoka.44],"*"&amp;"Tak"&amp;"*")</f>
        <v>0</v>
      </c>
      <c r="GQ161" s="7">
        <f>COUNTIF(Analiza[Zdobyte przez studentów ocenianej uczelni wykształcenie miało/ma pozytywny wpływ na ich zarobki.45],"*"&amp;"Tak"&amp;"*")</f>
        <v>0</v>
      </c>
      <c r="GR161" s="7">
        <f>COUNTIF(Analiza[Efekty działań ocenianej uczelni na rzecz jakości edukacji mają dobry wpływ na rozwój regionu.46],"*"&amp;"Tak"&amp;"*")</f>
        <v>0</v>
      </c>
      <c r="GS161" s="7">
        <f>COUNTIF(Analiza[Efekty działań ocenianej uczelni na rzecz jakości edukacji mają dobry wpływ na rozwój Polski.47],"*"&amp;"Tak"&amp;"*")</f>
        <v>0</v>
      </c>
      <c r="GT161" s="7">
        <f>COUNTIF(Analiza[Współpraca ocenianej uczelni z biznesem ma pozytywne efekty dla rozwoju regionu / kraju.48],"*"&amp;"Tak"&amp;"*")</f>
        <v>0</v>
      </c>
      <c r="GU161" s="7">
        <f>COUNTIF(Analiza[Ogólny poziom mojej satysfakcji z jakości usług edukacyjnych ocenianej uczelni jest wysoki.49],"*"&amp;"Tak"&amp;"*")</f>
        <v>0</v>
      </c>
      <c r="GV161" s="7">
        <f>COUNTIF(Analiza[Jakie inne efekty pracy ocenianej uczelni dostrzegasz obecnie?50],"*"&amp;"Tak"&amp;"*")</f>
        <v>0</v>
      </c>
      <c r="GW161" s="7">
        <f>COUNTIF(Analiza[Jakie, Twoim zdaniem, elementy decydują o tym, że uczelnie są lepsze lub gorsze.],"*"&amp;"Tak"&amp;"*")</f>
        <v>5</v>
      </c>
      <c r="GX161" s="7">
        <f>COUNTIF(Analiza[Kolumna51],"*"&amp;"Tak"&amp;"*")</f>
        <v>10</v>
      </c>
      <c r="GY161" s="7">
        <f>COUNTIF(Analiza[Kolumna52],"*"&amp;"Tak"&amp;"*")</f>
        <v>3</v>
      </c>
      <c r="GZ161" s="7">
        <f>COUNTIF(Analiza[Płeć],"*"&amp;"Mężczyzna"&amp;"*")</f>
        <v>68</v>
      </c>
      <c r="HA161" s="7">
        <f>COUNTIF(Analiza[Rok urodzenia],"*"&amp;"Tak"&amp;"*")</f>
        <v>0</v>
      </c>
      <c r="HB161" s="7">
        <f>COUNTIF(Analiza[Z jakiej wielkości miejscowości pochodzisz? (dotyczy miejscowości, w której się wychowałaś/eś],"*"&amp;"Tak"&amp;"*")</f>
        <v>0</v>
      </c>
    </row>
    <row r="162" spans="2:210" ht="15" thickTop="1" thickBot="1" x14ac:dyDescent="0.5">
      <c r="B162" s="20" t="s">
        <v>2293</v>
      </c>
      <c r="O162" s="7">
        <f>COUNTIF(Analiza[Czy jesteś osobą pełnoletnią?],"*"&amp;"Nie"&amp;"*")</f>
        <v>0</v>
      </c>
      <c r="P162" s="7">
        <f>COUNTIF(Analiza[Czy jesteś studentem uczelni wyższej?],"*"&amp;"Nie (przejście"&amp;"*")</f>
        <v>136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7">
        <f>COUNTIF(Analiza[Czy jesteś absolwentem uczelni wyższej?],"*"&amp;"Nie (przejście"&amp;"*")</f>
        <v>22</v>
      </c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7">
        <f>COUNTIF(Analiza[Czy jesteś rodzicem / opiekunem absolwenta uczelni wyższej?],"*"&amp;"Nie (przejście"&amp;"*")</f>
        <v>136</v>
      </c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7">
        <f>COUNTIF(Analiza[Czy jesteś aktualnie pracownikiem administracyjnym uczelni wyższej?],"*"&amp;"Nie (przejście"&amp;"*")</f>
        <v>146</v>
      </c>
      <c r="CS162" s="8"/>
      <c r="CT162" s="8"/>
      <c r="CU162" s="8"/>
      <c r="CV162" s="8"/>
      <c r="CW162" s="8"/>
      <c r="CX162" s="8"/>
      <c r="CY162" s="8"/>
      <c r="CZ162" s="8"/>
      <c r="DA162" s="8"/>
      <c r="DB162" s="7">
        <f>COUNTIF(Analiza[Czy jesteś aktualnie pracownikiem naukowym lub dydaktycznym uczelni wyższej?],"*"&amp;"Nie (przejście"&amp;"*")</f>
        <v>131</v>
      </c>
      <c r="DC162" s="8"/>
      <c r="DD162" s="8"/>
      <c r="DE162" s="8"/>
      <c r="DF162" s="8"/>
      <c r="DG162" s="8"/>
      <c r="DH162" s="8"/>
      <c r="DI162" s="8"/>
      <c r="DJ162" s="8"/>
      <c r="DK162" s="8"/>
      <c r="DL162" s="7">
        <f>COUNTIF(Analiza[Czy jesteś przedstawicielem władz uczelni z grupy rektorów, prorektorów, dziekanów, prodziekanów, członków senatu lub członków rady uczelni?],"*"&amp;"Nie (przejście"&amp;"*")</f>
        <v>142</v>
      </c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7">
        <f>COUNTIF(Analiza[Czy jesteś przedstawicielem firmy, w której są zatrudniani absolwenci uczelni wyższych (tytuł licencjata, magistra lub wyższy)?],"*"&amp;"Nie (przejście"&amp;"*")</f>
        <v>126</v>
      </c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7">
        <f>COUNTIF(Analiza[Czy jesteś przedstawicielem władz samorządowych lub centralnych Rzeczypospolitej Polskiej?],"*"&amp;"Nie (przejście"&amp;"*")</f>
        <v>142</v>
      </c>
      <c r="FP162" s="7">
        <f>COUNTIF(Analiza[Proszę wskaż jaki poziom władzy samorządowej lub centralnej reprezentujesz.],"*"&amp;"Nie (przejście"&amp;"*")</f>
        <v>0</v>
      </c>
      <c r="FQ162" s="7">
        <f>COUNTIF(Analiza[Proszę o podanie nazwy organu władzy jaki reprezentujesz.],"*"&amp;"Nie (przejście"&amp;"*")</f>
        <v>0</v>
      </c>
      <c r="FR162" s="7">
        <f>COUNTIF(Analiza[Ile uczelni będziesz oceniać?26],"*"&amp;"Nie (przejście"&amp;"*")</f>
        <v>0</v>
      </c>
      <c r="FS162" s="7">
        <f>COUNTIF(Analiza[Jak się nazywa uczelnia, którą ocenisz?],"*"&amp;"Nie (przejście"&amp;"*")</f>
        <v>0</v>
      </c>
      <c r="FT162" s="7">
        <f>COUNTIF(Analiza[Efekty działań ocenianej uczelni na rzesz jakości edukacji są zgodne ze strategią rozwoju w regionie.],"*"&amp;"Nie (przejście"&amp;"*")</f>
        <v>0</v>
      </c>
      <c r="FU162" s="7">
        <f>COUNTIF(Analiza[Wartość wykształcenia zdobywanego przez studentów na ocenianej uczelni jest wysoka.27],"*"&amp;"Nie (przejście"&amp;"*")</f>
        <v>0</v>
      </c>
      <c r="FV162" s="7">
        <f>COUNTIF(Analiza[Zdobyte przez studentów ocenianej uczelni wykształcenie miało/ma pozytywny wpływ na ich zarobki.28],"*"&amp;"Nie (przejście"&amp;"*")</f>
        <v>0</v>
      </c>
      <c r="FW162" s="7">
        <f>COUNTIF(Analiza[Efekty działań ocenianej uczelni na rzecz jakości edukacji mają dobry wpływ na rozwój regionu.29],"*"&amp;"Nie (przejście"&amp;"*")</f>
        <v>0</v>
      </c>
      <c r="FX162" s="7">
        <f>COUNTIF(Analiza[Efekty działań ocenianej uczelni na rzecz jakości edukacji mają dobry wpływ na rozwój Polski.30],"*"&amp;"Nie (przejście"&amp;"*")</f>
        <v>0</v>
      </c>
      <c r="FY162" s="7">
        <f>COUNTIF(Analiza[Współpraca ocenianej uczelni z biznesem ma pozytywne efekty dla rozwoju regionu / kraju.31],"*"&amp;"Nie (przejście"&amp;"*")</f>
        <v>0</v>
      </c>
      <c r="FZ162" s="7">
        <f>COUNTIF(Analiza[Ogólny poziom mojej satysfakcji z jakości usług edukacyjnych ocenianej uczelni jest wysoki.32],"*"&amp;"Nie (przejście"&amp;"*")</f>
        <v>0</v>
      </c>
      <c r="GA162" s="7">
        <f>COUNTIF(Analiza[Pole dodatkowe33],"*"&amp;"Nie (przejście"&amp;"*")</f>
        <v>0</v>
      </c>
      <c r="GB162" s="7">
        <f>COUNTIF(Analiza[Jakie inne efekty pracy ocenianej uczelni technicznej dostrzegasz obecnie?],"*"&amp;"Nie (przejście"&amp;"*")</f>
        <v>0</v>
      </c>
      <c r="GC162" s="7">
        <f>COUNTIF(Analiza[Czy będziesz oceniać drugą uczelnię?],"*"&amp;"Nie (przejście"&amp;"*")</f>
        <v>2</v>
      </c>
      <c r="GD162" s="7">
        <f>COUNTIF(Analiza[Jak się nazywa uczelnia, którą ocenisz?34],"*"&amp;"Nie (przejście"&amp;"*")</f>
        <v>0</v>
      </c>
      <c r="GE162" s="7">
        <f>COUNTIF(Analiza[Efekty działań ocenianej uczelni na rzesz jakości edukacji są zgodne ze strategią rozwoju w regionie.35],"*"&amp;"Nie (przejście"&amp;"*")</f>
        <v>0</v>
      </c>
      <c r="GF162" s="7">
        <f>COUNTIF(Analiza[Wartość wykształcenia zdobywanego przez studentów na ocenianej uczelni jest wysoka.36],"*"&amp;"Nie (przejście"&amp;"*")</f>
        <v>0</v>
      </c>
      <c r="GG162" s="7">
        <f>COUNTIF(Analiza[Zdobyte przez studentów ocenianej uczelni wykształcenie miało/ma pozytywny wpływ na ich zarobki.37],"*"&amp;"Nie (przejście"&amp;"*")</f>
        <v>0</v>
      </c>
      <c r="GH162" s="7">
        <f>COUNTIF(Analiza[Efekty działań ocenianej uczelni na rzecz jakości edukacji mają dobry wpływ na rozwój regionu.38],"*"&amp;"Nie (przejście"&amp;"*")</f>
        <v>0</v>
      </c>
      <c r="GI162" s="7">
        <f>COUNTIF(Analiza[Efekty działań ocenianej uczelni na rzecz jakości edukacji mają dobry wpływ na rozwój Polski.39],"*"&amp;"Nie (przejście"&amp;"*")</f>
        <v>0</v>
      </c>
      <c r="GJ162" s="7">
        <f>COUNTIF(Analiza[Współpraca ocenianej uczelni z biznesem ma pozytywne efekty dla rozwoju regionu / kraju.40],"*"&amp;"Nie (przejście"&amp;"*")</f>
        <v>0</v>
      </c>
      <c r="GK162" s="7">
        <f>COUNTIF(Analiza[Ogólny poziom mojej satysfakcji z jakości usług edukacyjnych ocenianej uczelni jest wysoki.41],"*"&amp;"Nie (przejście"&amp;"*")</f>
        <v>0</v>
      </c>
      <c r="GL162" s="7">
        <f>COUNTIF(Analiza[Jakie inne efekty pracy ocenianej uczelni dostrzegasz obecnie?],"*"&amp;"Nie (przejście"&amp;"*")</f>
        <v>0</v>
      </c>
      <c r="GM162" s="7">
        <f>COUNTIF(Analiza[Czy będziesz oceniać trzecią uczelnię?],"*"&amp;"Nie (przejście"&amp;"*")</f>
        <v>0</v>
      </c>
      <c r="GN162" s="7">
        <f>COUNTIF(Analiza[Jak się nazywa uczelnia, którą ocenisz?42],"*"&amp;"Nie (przejście"&amp;"*")</f>
        <v>0</v>
      </c>
      <c r="GO162" s="7">
        <f>COUNTIF(Analiza[Efekty działań ocenianej uczelni na rzesz jakości edukacji są zgodne ze strategią rozwoju w regionie.43],"*"&amp;"Nie (przejście"&amp;"*")</f>
        <v>0</v>
      </c>
      <c r="GP162" s="7">
        <f>COUNTIF(Analiza[Wartość wykształcenia zdobywanego przez studentów na ocenianej uczelni jest wysoka.44],"*"&amp;"Nie (przejście"&amp;"*")</f>
        <v>0</v>
      </c>
      <c r="GQ162" s="7">
        <f>COUNTIF(Analiza[Zdobyte przez studentów ocenianej uczelni wykształcenie miało/ma pozytywny wpływ na ich zarobki.45],"*"&amp;"Nie (przejście"&amp;"*")</f>
        <v>0</v>
      </c>
      <c r="GR162" s="7">
        <f>COUNTIF(Analiza[Efekty działań ocenianej uczelni na rzecz jakości edukacji mają dobry wpływ na rozwój regionu.46],"*"&amp;"Nie (przejście"&amp;"*")</f>
        <v>0</v>
      </c>
      <c r="GS162" s="7">
        <f>COUNTIF(Analiza[Efekty działań ocenianej uczelni na rzecz jakości edukacji mają dobry wpływ na rozwój Polski.47],"*"&amp;"Nie (przejście"&amp;"*")</f>
        <v>0</v>
      </c>
      <c r="GT162" s="7">
        <f>COUNTIF(Analiza[Współpraca ocenianej uczelni z biznesem ma pozytywne efekty dla rozwoju regionu / kraju.48],"*"&amp;"Nie (przejście"&amp;"*")</f>
        <v>0</v>
      </c>
      <c r="GU162" s="7">
        <f>COUNTIF(Analiza[Ogólny poziom mojej satysfakcji z jakości usług edukacyjnych ocenianej uczelni jest wysoki.49],"*"&amp;"Nie (przejście"&amp;"*")</f>
        <v>0</v>
      </c>
      <c r="GV162" s="7">
        <f>COUNTIF(Analiza[Jakie inne efekty pracy ocenianej uczelni dostrzegasz obecnie?50],"*"&amp;"Nie (przejście"&amp;"*")</f>
        <v>0</v>
      </c>
      <c r="GW162" s="7">
        <f>COUNTIF(Analiza[Jakie, Twoim zdaniem, elementy decydują o tym, że uczelnie są lepsze lub gorsze.],"*"&amp;"Nie (przejście"&amp;"*")</f>
        <v>0</v>
      </c>
      <c r="GX162" s="7">
        <f>COUNTIF(Analiza[Kolumna51],"*"&amp;"Nie (przejście"&amp;"*")</f>
        <v>0</v>
      </c>
      <c r="GY162" s="7">
        <f>COUNTIF(Analiza[Kolumna52],"*"&amp;"Nie (przejście"&amp;"*")</f>
        <v>0</v>
      </c>
      <c r="GZ162" s="7">
        <f>COUNTIF(Analiza[Płeć],"*"&amp;"Kobieta"&amp;"*")</f>
        <v>67</v>
      </c>
      <c r="HA162" s="7">
        <f>COUNTIF(Analiza[Rok urodzenia],"*"&amp;"Nie (przejście"&amp;"*")</f>
        <v>0</v>
      </c>
      <c r="HB162" s="7">
        <f>COUNTIF(Analiza[Z jakiej wielkości miejscowości pochodzisz? (dotyczy miejscowości, w której się wychowałaś/eś],"*"&amp;"Nie (przejście"&amp;"*")</f>
        <v>0</v>
      </c>
    </row>
    <row r="163" spans="2:210" ht="14.65" thickTop="1" x14ac:dyDescent="0.45">
      <c r="B163" s="20" t="s">
        <v>2294</v>
      </c>
      <c r="O163" s="7">
        <f>COUNTBLANK(Analiza[Czy jesteś osobą pełnoletnią?])</f>
        <v>0</v>
      </c>
      <c r="P163" s="7">
        <f>COUNTBLANK(Analiza[Czy jesteś studentem uczelni wyższej?])</f>
        <v>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7">
        <f>COUNTBLANK(Analiza[Czy jesteś absolwentem uczelni wyższej?])</f>
        <v>0</v>
      </c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7">
        <f>COUNTBLANK(Analiza[Czy jesteś rodzicem / opiekunem absolwenta uczelni wyższej?])</f>
        <v>3</v>
      </c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7">
        <f>COUNTBLANK(Analiza[Czy jesteś aktualnie pracownikiem administracyjnym uczelni wyższej?])</f>
        <v>7</v>
      </c>
      <c r="CS163" s="8"/>
      <c r="CT163" s="8"/>
      <c r="CU163" s="8"/>
      <c r="CV163" s="8"/>
      <c r="CW163" s="8"/>
      <c r="CX163" s="8"/>
      <c r="CY163" s="8"/>
      <c r="CZ163" s="8"/>
      <c r="DA163" s="8"/>
      <c r="DB163" s="7">
        <f>COUNTBLANK(Analiza[Czy jesteś aktualnie pracownikiem naukowym lub dydaktycznym uczelni wyższej?])</f>
        <v>9</v>
      </c>
      <c r="DC163" s="8"/>
      <c r="DD163" s="8"/>
      <c r="DE163" s="8"/>
      <c r="DF163" s="8"/>
      <c r="DG163" s="8"/>
      <c r="DH163" s="8"/>
      <c r="DI163" s="8"/>
      <c r="DJ163" s="8"/>
      <c r="DK163" s="8"/>
      <c r="DL163" s="7">
        <f>COUNTBLANK(Analiza[Czy jesteś przedstawicielem władz uczelni z grupy rektorów, prorektorów, dziekanów, prodziekanów, członków senatu lub członków rady uczelni?])</f>
        <v>9</v>
      </c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7">
        <f>COUNTBLANK(Analiza[Czy jesteś przedstawicielem firmy, w której są zatrudniani absolwenci uczelni wyższych (tytuł licencjata, magistra lub wyższy)?])</f>
        <v>10</v>
      </c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7">
        <f>COUNTBLANK(Analiza[Czy jesteś przedstawicielem władz samorządowych lub centralnych Rzeczypospolitej Polskiej?])</f>
        <v>13</v>
      </c>
      <c r="FP163" s="7">
        <f>COUNTBLANK(Analiza[Proszę wskaż jaki poziom władzy samorządowej lub centralnej reprezentujesz.])</f>
        <v>86</v>
      </c>
      <c r="FQ163" s="7">
        <f>COUNTBLANK(Analiza[Proszę o podanie nazwy organu władzy jaki reprezentujesz.])</f>
        <v>155</v>
      </c>
      <c r="FR163" s="7">
        <f>COUNTBLANK(Analiza[Ile uczelni będziesz oceniać?26])</f>
        <v>119</v>
      </c>
      <c r="FS163" s="7">
        <f>COUNTBLANK(Analiza[Jak się nazywa uczelnia, którą ocenisz?])</f>
        <v>155</v>
      </c>
      <c r="FT163" s="7">
        <f>COUNTBLANK(Analiza[Efekty działań ocenianej uczelni na rzesz jakości edukacji są zgodne ze strategią rozwoju w regionie.])</f>
        <v>155</v>
      </c>
      <c r="FU163" s="7">
        <f>COUNTBLANK(Analiza[Wartość wykształcenia zdobywanego przez studentów na ocenianej uczelni jest wysoka.27])</f>
        <v>155</v>
      </c>
      <c r="FV163" s="7">
        <f>COUNTBLANK(Analiza[Zdobyte przez studentów ocenianej uczelni wykształcenie miało/ma pozytywny wpływ na ich zarobki.28])</f>
        <v>155</v>
      </c>
      <c r="FW163" s="7">
        <f>COUNTBLANK(Analiza[Efekty działań ocenianej uczelni na rzecz jakości edukacji mają dobry wpływ na rozwój regionu.29])</f>
        <v>155</v>
      </c>
      <c r="FX163" s="7">
        <f>COUNTBLANK(Analiza[Efekty działań ocenianej uczelni na rzecz jakości edukacji mają dobry wpływ na rozwój Polski.30])</f>
        <v>155</v>
      </c>
      <c r="FY163" s="7">
        <f>COUNTBLANK(Analiza[Współpraca ocenianej uczelni z biznesem ma pozytywne efekty dla rozwoju regionu / kraju.31])</f>
        <v>155</v>
      </c>
      <c r="FZ163" s="7">
        <f>COUNTBLANK(Analiza[Ogólny poziom mojej satysfakcji z jakości usług edukacyjnych ocenianej uczelni jest wysoki.32])</f>
        <v>155</v>
      </c>
      <c r="GA163" s="7">
        <f>COUNTBLANK(Analiza[Pole dodatkowe33])</f>
        <v>157</v>
      </c>
      <c r="GB163" s="7">
        <f>COUNTBLANK(Analiza[Jakie inne efekty pracy ocenianej uczelni technicznej dostrzegasz obecnie?])</f>
        <v>156</v>
      </c>
      <c r="GC163" s="7">
        <f>COUNTBLANK(Analiza[Czy będziesz oceniać drugą uczelnię?])</f>
        <v>155</v>
      </c>
      <c r="GD163" s="7">
        <f>COUNTBLANK(Analiza[Jak się nazywa uczelnia, którą ocenisz?34])</f>
        <v>157</v>
      </c>
      <c r="GE163" s="7">
        <f>COUNTBLANK(Analiza[Efekty działań ocenianej uczelni na rzesz jakości edukacji są zgodne ze strategią rozwoju w regionie.35])</f>
        <v>157</v>
      </c>
      <c r="GF163" s="7">
        <f>COUNTBLANK(Analiza[Wartość wykształcenia zdobywanego przez studentów na ocenianej uczelni jest wysoka.36])</f>
        <v>157</v>
      </c>
      <c r="GG163" s="7">
        <f>COUNTBLANK(Analiza[Zdobyte przez studentów ocenianej uczelni wykształcenie miało/ma pozytywny wpływ na ich zarobki.37])</f>
        <v>157</v>
      </c>
      <c r="GH163" s="7">
        <f>COUNTBLANK(Analiza[Efekty działań ocenianej uczelni na rzecz jakości edukacji mają dobry wpływ na rozwój regionu.38])</f>
        <v>157</v>
      </c>
      <c r="GI163" s="7">
        <f>COUNTBLANK(Analiza[Efekty działań ocenianej uczelni na rzecz jakości edukacji mają dobry wpływ na rozwój Polski.39])</f>
        <v>157</v>
      </c>
      <c r="GJ163" s="7">
        <f>COUNTBLANK(Analiza[Współpraca ocenianej uczelni z biznesem ma pozytywne efekty dla rozwoju regionu / kraju.40])</f>
        <v>157</v>
      </c>
      <c r="GK163" s="7">
        <f>COUNTBLANK(Analiza[Ogólny poziom mojej satysfakcji z jakości usług edukacyjnych ocenianej uczelni jest wysoki.41])</f>
        <v>157</v>
      </c>
      <c r="GL163" s="7">
        <f>COUNTBLANK(Analiza[Jakie inne efekty pracy ocenianej uczelni dostrzegasz obecnie?])</f>
        <v>157</v>
      </c>
      <c r="GM163" s="7">
        <f>COUNTBLANK(Analiza[Czy będziesz oceniać trzecią uczelnię?])</f>
        <v>157</v>
      </c>
      <c r="GN163" s="7">
        <f>COUNTBLANK(Analiza[Jak się nazywa uczelnia, którą ocenisz?42])</f>
        <v>157</v>
      </c>
      <c r="GO163" s="7">
        <f>COUNTBLANK(Analiza[Efekty działań ocenianej uczelni na rzesz jakości edukacji są zgodne ze strategią rozwoju w regionie.43])</f>
        <v>157</v>
      </c>
      <c r="GP163" s="7">
        <f>COUNTBLANK(Analiza[Wartość wykształcenia zdobywanego przez studentów na ocenianej uczelni jest wysoka.44])</f>
        <v>157</v>
      </c>
      <c r="GQ163" s="7">
        <f>COUNTBLANK(Analiza[Zdobyte przez studentów ocenianej uczelni wykształcenie miało/ma pozytywny wpływ na ich zarobki.45])</f>
        <v>157</v>
      </c>
      <c r="GR163" s="7">
        <f>COUNTBLANK(Analiza[Efekty działań ocenianej uczelni na rzecz jakości edukacji mają dobry wpływ na rozwój regionu.46])</f>
        <v>157</v>
      </c>
      <c r="GS163" s="7">
        <f>COUNTBLANK(Analiza[Efekty działań ocenianej uczelni na rzecz jakości edukacji mają dobry wpływ na rozwój Polski.47])</f>
        <v>157</v>
      </c>
      <c r="GT163" s="7">
        <f>COUNTBLANK(Analiza[Współpraca ocenianej uczelni z biznesem ma pozytywne efekty dla rozwoju regionu / kraju.48])</f>
        <v>157</v>
      </c>
      <c r="GU163" s="7">
        <f>COUNTBLANK(Analiza[Ogólny poziom mojej satysfakcji z jakości usług edukacyjnych ocenianej uczelni jest wysoki.49])</f>
        <v>157</v>
      </c>
      <c r="GV163" s="7">
        <f>COUNTBLANK(Analiza[Jakie inne efekty pracy ocenianej uczelni dostrzegasz obecnie?50])</f>
        <v>157</v>
      </c>
      <c r="GW163" s="7">
        <f>COUNTBLANK(Analiza[Jakie, Twoim zdaniem, elementy decydują o tym, że uczelnie są lepsze lub gorsze.])</f>
        <v>23</v>
      </c>
      <c r="GX163" s="7">
        <f>COUNTBLANK(Analiza[Kolumna51])</f>
        <v>23</v>
      </c>
      <c r="GY163" s="7">
        <f>COUNTBLANK(Analiza[Kolumna52])</f>
        <v>23</v>
      </c>
      <c r="GZ163" s="7">
        <f>COUNTBLANK(Analiza[Płeć])</f>
        <v>22</v>
      </c>
      <c r="HA163" s="7">
        <f>COUNTBLANK(Analiza[Rok urodzenia])</f>
        <v>22</v>
      </c>
      <c r="HB163" s="7">
        <f>COUNTBLANK(Analiza[Z jakiej wielkości miejscowości pochodzisz? (dotyczy miejscowości, w której się wychowałaś/eś])</f>
        <v>22</v>
      </c>
    </row>
    <row r="164" spans="2:210" ht="14.65" thickBot="1" x14ac:dyDescent="0.5">
      <c r="O164">
        <f>SUM(O161:O163)</f>
        <v>157</v>
      </c>
      <c r="P164">
        <f t="shared" ref="P164:CA164" si="8">SUM(P161:P163)</f>
        <v>157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  <c r="U164">
        <f t="shared" si="8"/>
        <v>0</v>
      </c>
      <c r="V164">
        <f t="shared" si="8"/>
        <v>0</v>
      </c>
      <c r="W164">
        <f t="shared" si="8"/>
        <v>0</v>
      </c>
      <c r="X164">
        <f t="shared" si="8"/>
        <v>0</v>
      </c>
      <c r="Y164">
        <f t="shared" si="8"/>
        <v>0</v>
      </c>
      <c r="Z164">
        <f t="shared" si="8"/>
        <v>0</v>
      </c>
      <c r="AA164">
        <f t="shared" si="8"/>
        <v>0</v>
      </c>
      <c r="AB164">
        <f t="shared" si="8"/>
        <v>0</v>
      </c>
      <c r="AC164">
        <f t="shared" si="8"/>
        <v>0</v>
      </c>
      <c r="AD164">
        <f t="shared" si="8"/>
        <v>0</v>
      </c>
      <c r="AE164">
        <f t="shared" si="8"/>
        <v>0</v>
      </c>
      <c r="AF164">
        <f t="shared" si="8"/>
        <v>157</v>
      </c>
      <c r="AG164">
        <f t="shared" si="8"/>
        <v>0</v>
      </c>
      <c r="AH164">
        <f t="shared" si="8"/>
        <v>0</v>
      </c>
      <c r="AI164">
        <f t="shared" si="8"/>
        <v>0</v>
      </c>
      <c r="AJ164">
        <f t="shared" si="8"/>
        <v>0</v>
      </c>
      <c r="AK164">
        <f t="shared" si="8"/>
        <v>0</v>
      </c>
      <c r="AL164">
        <f t="shared" si="8"/>
        <v>0</v>
      </c>
      <c r="AM164">
        <f t="shared" si="8"/>
        <v>0</v>
      </c>
      <c r="AN164">
        <f t="shared" si="8"/>
        <v>0</v>
      </c>
      <c r="AO164">
        <f t="shared" si="8"/>
        <v>0</v>
      </c>
      <c r="AP164">
        <f t="shared" si="8"/>
        <v>0</v>
      </c>
      <c r="AQ164">
        <f t="shared" si="8"/>
        <v>0</v>
      </c>
      <c r="AR164">
        <f t="shared" si="8"/>
        <v>0</v>
      </c>
      <c r="AS164">
        <f t="shared" si="8"/>
        <v>0</v>
      </c>
      <c r="AT164">
        <f t="shared" si="8"/>
        <v>0</v>
      </c>
      <c r="AU164">
        <f t="shared" si="8"/>
        <v>0</v>
      </c>
      <c r="AV164">
        <f t="shared" si="8"/>
        <v>0</v>
      </c>
      <c r="AW164">
        <f t="shared" si="8"/>
        <v>0</v>
      </c>
      <c r="AX164">
        <f t="shared" si="8"/>
        <v>157</v>
      </c>
      <c r="AY164">
        <f t="shared" si="8"/>
        <v>0</v>
      </c>
      <c r="AZ164">
        <f t="shared" si="8"/>
        <v>0</v>
      </c>
      <c r="BA164">
        <f t="shared" si="8"/>
        <v>0</v>
      </c>
      <c r="BB164">
        <f t="shared" si="8"/>
        <v>0</v>
      </c>
      <c r="BC164">
        <f t="shared" si="8"/>
        <v>0</v>
      </c>
      <c r="BD164">
        <f t="shared" si="8"/>
        <v>0</v>
      </c>
      <c r="BE164">
        <f t="shared" si="8"/>
        <v>0</v>
      </c>
      <c r="BF164">
        <f t="shared" si="8"/>
        <v>0</v>
      </c>
      <c r="BG164">
        <f t="shared" si="8"/>
        <v>0</v>
      </c>
      <c r="BH164">
        <f t="shared" si="8"/>
        <v>0</v>
      </c>
      <c r="BI164">
        <f t="shared" si="8"/>
        <v>0</v>
      </c>
      <c r="BJ164">
        <f t="shared" si="8"/>
        <v>0</v>
      </c>
      <c r="BK164">
        <f t="shared" si="8"/>
        <v>0</v>
      </c>
      <c r="BL164">
        <f t="shared" si="8"/>
        <v>0</v>
      </c>
      <c r="BM164">
        <f t="shared" si="8"/>
        <v>0</v>
      </c>
      <c r="BN164">
        <f t="shared" si="8"/>
        <v>0</v>
      </c>
      <c r="BO164">
        <f t="shared" si="8"/>
        <v>0</v>
      </c>
      <c r="BP164">
        <f t="shared" si="8"/>
        <v>0</v>
      </c>
      <c r="BQ164">
        <f t="shared" si="8"/>
        <v>0</v>
      </c>
      <c r="BR164">
        <f t="shared" si="8"/>
        <v>0</v>
      </c>
      <c r="BS164">
        <f t="shared" si="8"/>
        <v>0</v>
      </c>
      <c r="BT164">
        <f t="shared" si="8"/>
        <v>0</v>
      </c>
      <c r="BU164">
        <f t="shared" si="8"/>
        <v>0</v>
      </c>
      <c r="BV164">
        <f t="shared" si="8"/>
        <v>0</v>
      </c>
      <c r="BW164">
        <f t="shared" si="8"/>
        <v>0</v>
      </c>
      <c r="BX164">
        <f t="shared" si="8"/>
        <v>0</v>
      </c>
      <c r="BY164">
        <f t="shared" si="8"/>
        <v>0</v>
      </c>
      <c r="BZ164">
        <f t="shared" si="8"/>
        <v>0</v>
      </c>
      <c r="CA164">
        <f t="shared" si="8"/>
        <v>0</v>
      </c>
      <c r="CB164">
        <f t="shared" ref="CB164:DL164" si="9">SUM(CB161:CB163)</f>
        <v>0</v>
      </c>
      <c r="CC164">
        <f t="shared" si="9"/>
        <v>0</v>
      </c>
      <c r="CD164">
        <f t="shared" si="9"/>
        <v>0</v>
      </c>
      <c r="CE164">
        <f t="shared" si="9"/>
        <v>0</v>
      </c>
      <c r="CF164">
        <f t="shared" si="9"/>
        <v>0</v>
      </c>
      <c r="CG164">
        <f t="shared" si="9"/>
        <v>0</v>
      </c>
      <c r="CH164">
        <f t="shared" si="9"/>
        <v>0</v>
      </c>
      <c r="CI164">
        <f t="shared" si="9"/>
        <v>0</v>
      </c>
      <c r="CJ164">
        <f t="shared" si="9"/>
        <v>0</v>
      </c>
      <c r="CK164">
        <f t="shared" si="9"/>
        <v>0</v>
      </c>
      <c r="CL164">
        <f t="shared" si="9"/>
        <v>0</v>
      </c>
      <c r="CM164">
        <f t="shared" si="9"/>
        <v>0</v>
      </c>
      <c r="CN164">
        <f t="shared" si="9"/>
        <v>0</v>
      </c>
      <c r="CO164">
        <f t="shared" si="9"/>
        <v>0</v>
      </c>
      <c r="CP164">
        <f t="shared" si="9"/>
        <v>0</v>
      </c>
      <c r="CQ164">
        <f t="shared" si="9"/>
        <v>0</v>
      </c>
      <c r="CR164">
        <f t="shared" si="9"/>
        <v>157</v>
      </c>
      <c r="CS164">
        <f t="shared" si="9"/>
        <v>0</v>
      </c>
      <c r="CT164">
        <f t="shared" si="9"/>
        <v>0</v>
      </c>
      <c r="CU164">
        <f t="shared" si="9"/>
        <v>0</v>
      </c>
      <c r="CV164">
        <f t="shared" si="9"/>
        <v>0</v>
      </c>
      <c r="CW164">
        <f t="shared" si="9"/>
        <v>0</v>
      </c>
      <c r="CX164">
        <f t="shared" si="9"/>
        <v>0</v>
      </c>
      <c r="CY164">
        <f t="shared" si="9"/>
        <v>0</v>
      </c>
      <c r="CZ164">
        <f t="shared" si="9"/>
        <v>0</v>
      </c>
      <c r="DA164">
        <f t="shared" si="9"/>
        <v>0</v>
      </c>
      <c r="DB164">
        <f t="shared" si="9"/>
        <v>157</v>
      </c>
      <c r="DC164">
        <f t="shared" si="9"/>
        <v>0</v>
      </c>
      <c r="DD164">
        <f t="shared" si="9"/>
        <v>0</v>
      </c>
      <c r="DE164">
        <f t="shared" si="9"/>
        <v>0</v>
      </c>
      <c r="DF164">
        <f t="shared" si="9"/>
        <v>0</v>
      </c>
      <c r="DG164">
        <f t="shared" si="9"/>
        <v>0</v>
      </c>
      <c r="DH164">
        <f t="shared" si="9"/>
        <v>0</v>
      </c>
      <c r="DI164">
        <f t="shared" si="9"/>
        <v>0</v>
      </c>
      <c r="DJ164">
        <f t="shared" si="9"/>
        <v>0</v>
      </c>
      <c r="DK164">
        <f t="shared" si="9"/>
        <v>0</v>
      </c>
      <c r="DL164">
        <f t="shared" si="9"/>
        <v>157</v>
      </c>
      <c r="DM164">
        <f>SUM(DM161:DM163)</f>
        <v>0</v>
      </c>
      <c r="DN164">
        <f t="shared" ref="DN164:FO164" si="10">SUM(DN161:DN163)</f>
        <v>0</v>
      </c>
      <c r="DO164">
        <f t="shared" si="10"/>
        <v>0</v>
      </c>
      <c r="DP164">
        <f t="shared" si="10"/>
        <v>0</v>
      </c>
      <c r="DQ164">
        <f t="shared" si="10"/>
        <v>0</v>
      </c>
      <c r="DR164">
        <f t="shared" si="10"/>
        <v>0</v>
      </c>
      <c r="DS164">
        <f t="shared" si="10"/>
        <v>0</v>
      </c>
      <c r="DT164">
        <f t="shared" si="10"/>
        <v>0</v>
      </c>
      <c r="DU164">
        <f t="shared" si="10"/>
        <v>0</v>
      </c>
      <c r="DV164">
        <f t="shared" si="10"/>
        <v>0</v>
      </c>
      <c r="DW164">
        <f t="shared" si="10"/>
        <v>0</v>
      </c>
      <c r="DX164">
        <f t="shared" si="10"/>
        <v>0</v>
      </c>
      <c r="DY164">
        <f t="shared" si="10"/>
        <v>0</v>
      </c>
      <c r="DZ164">
        <f t="shared" si="10"/>
        <v>0</v>
      </c>
      <c r="EA164">
        <f t="shared" si="10"/>
        <v>0</v>
      </c>
      <c r="EB164">
        <f t="shared" si="10"/>
        <v>0</v>
      </c>
      <c r="EC164">
        <f t="shared" si="10"/>
        <v>0</v>
      </c>
      <c r="ED164">
        <f t="shared" si="10"/>
        <v>0</v>
      </c>
      <c r="EE164">
        <f t="shared" si="10"/>
        <v>0</v>
      </c>
      <c r="EF164">
        <f t="shared" si="10"/>
        <v>0</v>
      </c>
      <c r="EG164">
        <f t="shared" si="10"/>
        <v>0</v>
      </c>
      <c r="EH164">
        <f t="shared" si="10"/>
        <v>0</v>
      </c>
      <c r="EI164">
        <f t="shared" si="10"/>
        <v>0</v>
      </c>
      <c r="EJ164">
        <f t="shared" si="10"/>
        <v>0</v>
      </c>
      <c r="EK164">
        <f t="shared" si="10"/>
        <v>0</v>
      </c>
      <c r="EL164">
        <f t="shared" si="10"/>
        <v>0</v>
      </c>
      <c r="EM164">
        <f t="shared" si="10"/>
        <v>0</v>
      </c>
      <c r="EN164">
        <f t="shared" si="10"/>
        <v>0</v>
      </c>
      <c r="EO164">
        <f t="shared" si="10"/>
        <v>157</v>
      </c>
      <c r="EP164">
        <f t="shared" si="10"/>
        <v>0</v>
      </c>
      <c r="EQ164">
        <f t="shared" si="10"/>
        <v>0</v>
      </c>
      <c r="ER164">
        <f t="shared" si="10"/>
        <v>0</v>
      </c>
      <c r="ES164">
        <f t="shared" si="10"/>
        <v>0</v>
      </c>
      <c r="ET164">
        <f t="shared" si="10"/>
        <v>0</v>
      </c>
      <c r="EU164">
        <f t="shared" si="10"/>
        <v>0</v>
      </c>
      <c r="EV164">
        <f t="shared" si="10"/>
        <v>0</v>
      </c>
      <c r="EW164">
        <f t="shared" si="10"/>
        <v>0</v>
      </c>
      <c r="EX164">
        <f t="shared" si="10"/>
        <v>0</v>
      </c>
      <c r="EY164">
        <f t="shared" si="10"/>
        <v>0</v>
      </c>
      <c r="EZ164">
        <f t="shared" si="10"/>
        <v>0</v>
      </c>
      <c r="FA164">
        <f t="shared" si="10"/>
        <v>0</v>
      </c>
      <c r="FB164">
        <f t="shared" si="10"/>
        <v>0</v>
      </c>
      <c r="FC164">
        <f t="shared" si="10"/>
        <v>0</v>
      </c>
      <c r="FD164">
        <f t="shared" si="10"/>
        <v>0</v>
      </c>
      <c r="FE164">
        <f t="shared" si="10"/>
        <v>0</v>
      </c>
      <c r="FF164">
        <f t="shared" si="10"/>
        <v>0</v>
      </c>
      <c r="FG164">
        <f t="shared" si="10"/>
        <v>0</v>
      </c>
      <c r="FH164">
        <f t="shared" si="10"/>
        <v>0</v>
      </c>
      <c r="FI164">
        <f t="shared" si="10"/>
        <v>0</v>
      </c>
      <c r="FJ164">
        <f t="shared" si="10"/>
        <v>0</v>
      </c>
      <c r="FK164">
        <f t="shared" si="10"/>
        <v>0</v>
      </c>
      <c r="FL164">
        <f t="shared" si="10"/>
        <v>0</v>
      </c>
      <c r="FM164">
        <f t="shared" si="10"/>
        <v>0</v>
      </c>
      <c r="FN164">
        <f t="shared" si="10"/>
        <v>0</v>
      </c>
      <c r="FO164">
        <f t="shared" si="10"/>
        <v>157</v>
      </c>
      <c r="FP164">
        <f t="shared" ref="FP164:GZ164" si="11">SUM(FP161:FP163)</f>
        <v>86</v>
      </c>
      <c r="FQ164">
        <f t="shared" si="11"/>
        <v>155</v>
      </c>
      <c r="FR164">
        <f t="shared" si="11"/>
        <v>119</v>
      </c>
      <c r="FS164">
        <f t="shared" si="11"/>
        <v>155</v>
      </c>
      <c r="FT164">
        <f t="shared" si="11"/>
        <v>155</v>
      </c>
      <c r="FU164">
        <f t="shared" si="11"/>
        <v>155</v>
      </c>
      <c r="FV164">
        <f t="shared" si="11"/>
        <v>155</v>
      </c>
      <c r="FW164">
        <f t="shared" si="11"/>
        <v>155</v>
      </c>
      <c r="FX164">
        <f t="shared" si="11"/>
        <v>155</v>
      </c>
      <c r="FY164">
        <f t="shared" si="11"/>
        <v>155</v>
      </c>
      <c r="FZ164">
        <f t="shared" si="11"/>
        <v>155</v>
      </c>
      <c r="GA164">
        <f t="shared" si="11"/>
        <v>157</v>
      </c>
      <c r="GB164">
        <f t="shared" si="11"/>
        <v>156</v>
      </c>
      <c r="GC164">
        <f t="shared" si="11"/>
        <v>157</v>
      </c>
      <c r="GD164">
        <f t="shared" si="11"/>
        <v>157</v>
      </c>
      <c r="GE164">
        <f t="shared" si="11"/>
        <v>157</v>
      </c>
      <c r="GF164">
        <f t="shared" si="11"/>
        <v>157</v>
      </c>
      <c r="GG164">
        <f t="shared" si="11"/>
        <v>157</v>
      </c>
      <c r="GH164">
        <f t="shared" si="11"/>
        <v>157</v>
      </c>
      <c r="GI164">
        <f t="shared" si="11"/>
        <v>157</v>
      </c>
      <c r="GJ164">
        <f t="shared" si="11"/>
        <v>157</v>
      </c>
      <c r="GK164">
        <f t="shared" si="11"/>
        <v>157</v>
      </c>
      <c r="GL164">
        <f t="shared" si="11"/>
        <v>157</v>
      </c>
      <c r="GM164">
        <f t="shared" si="11"/>
        <v>157</v>
      </c>
      <c r="GN164">
        <f t="shared" si="11"/>
        <v>157</v>
      </c>
      <c r="GO164">
        <f t="shared" si="11"/>
        <v>157</v>
      </c>
      <c r="GP164">
        <f t="shared" si="11"/>
        <v>157</v>
      </c>
      <c r="GQ164">
        <f t="shared" si="11"/>
        <v>157</v>
      </c>
      <c r="GR164">
        <f t="shared" si="11"/>
        <v>157</v>
      </c>
      <c r="GS164">
        <f t="shared" si="11"/>
        <v>157</v>
      </c>
      <c r="GT164">
        <f t="shared" si="11"/>
        <v>157</v>
      </c>
      <c r="GU164">
        <f t="shared" si="11"/>
        <v>157</v>
      </c>
      <c r="GV164">
        <f t="shared" si="11"/>
        <v>157</v>
      </c>
      <c r="GW164">
        <f t="shared" si="11"/>
        <v>28</v>
      </c>
      <c r="GX164">
        <f t="shared" si="11"/>
        <v>33</v>
      </c>
      <c r="GY164">
        <f t="shared" si="11"/>
        <v>26</v>
      </c>
      <c r="GZ164">
        <f t="shared" si="11"/>
        <v>157</v>
      </c>
      <c r="HA164">
        <f>SUM(HA160,HA163)</f>
        <v>157</v>
      </c>
      <c r="HB164">
        <f>SUM(HB160,HB163)</f>
        <v>157</v>
      </c>
    </row>
    <row r="165" spans="2:210" ht="14.65" thickTop="1" x14ac:dyDescent="0.45">
      <c r="P165" s="7"/>
    </row>
    <row r="173" spans="2:210" x14ac:dyDescent="0.45">
      <c r="P173" t="s">
        <v>2347</v>
      </c>
    </row>
    <row r="174" spans="2:210" x14ac:dyDescent="0.45">
      <c r="P174" t="s">
        <v>2348</v>
      </c>
    </row>
    <row r="175" spans="2:210" x14ac:dyDescent="0.45">
      <c r="P175" t="s">
        <v>2345</v>
      </c>
    </row>
    <row r="176" spans="2:210" x14ac:dyDescent="0.45">
      <c r="P176" t="s">
        <v>2349</v>
      </c>
    </row>
    <row r="177" spans="16:16" x14ac:dyDescent="0.45">
      <c r="P177" t="s">
        <v>2350</v>
      </c>
    </row>
    <row r="178" spans="16:16" x14ac:dyDescent="0.45">
      <c r="P178" t="s">
        <v>2345</v>
      </c>
    </row>
  </sheetData>
  <sheetProtection formatCells="0" formatColumns="0" formatRows="0" insertColumns="0" insertRows="0" insertHyperlinks="0" deleteColumns="0" deleteRows="0" sort="0" autoFilter="0" pivotTables="0"/>
  <conditionalFormatting sqref="L2:L159">
    <cfRule type="duplicateValues" dxfId="350" priority="10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79"/>
  <sheetViews>
    <sheetView topLeftCell="B229" workbookViewId="0">
      <selection activeCell="N274" sqref="N274:O279"/>
    </sheetView>
  </sheetViews>
  <sheetFormatPr defaultColWidth="8.1328125" defaultRowHeight="14.25" outlineLevelCol="1" x14ac:dyDescent="0.45"/>
  <cols>
    <col min="3" max="3" width="13" hidden="1" customWidth="1" outlineLevel="1"/>
    <col min="4" max="8" width="8.1328125" hidden="1" customWidth="1" outlineLevel="1"/>
    <col min="9" max="9" width="8.1328125" collapsed="1"/>
    <col min="10" max="11" width="5.9296875" customWidth="1"/>
    <col min="12" max="13" width="8.1328125" customWidth="1" outlineLevel="1"/>
    <col min="15" max="15" width="11.796875" customWidth="1"/>
    <col min="16" max="30" width="8.1328125" hidden="1" customWidth="1" outlineLevel="1"/>
    <col min="31" max="31" width="11.796875" customWidth="1" collapsed="1"/>
    <col min="32" max="48" width="0" hidden="1" customWidth="1" outlineLevel="1"/>
    <col min="49" max="49" width="11.796875" customWidth="1" collapsed="1"/>
    <col min="50" max="94" width="0" hidden="1" customWidth="1" outlineLevel="1"/>
    <col min="95" max="95" width="11.796875" customWidth="1" collapsed="1"/>
    <col min="96" max="104" width="0" hidden="1" customWidth="1" outlineLevel="1"/>
    <col min="105" max="105" width="11.796875" customWidth="1" collapsed="1"/>
    <col min="106" max="114" width="0" hidden="1" customWidth="1" outlineLevel="1"/>
    <col min="115" max="115" width="11.796875" customWidth="1" collapsed="1"/>
    <col min="116" max="143" width="0" hidden="1" customWidth="1" outlineLevel="1"/>
    <col min="144" max="144" width="11.796875" customWidth="1" collapsed="1"/>
    <col min="145" max="169" width="0" hidden="1" customWidth="1" outlineLevel="1"/>
    <col min="170" max="170" width="11.796875" customWidth="1" collapsed="1"/>
    <col min="171" max="206" width="0" hidden="1" customWidth="1" outlineLevel="1"/>
    <col min="207" max="207" width="8.1328125" collapsed="1"/>
  </cols>
  <sheetData>
    <row r="1" spans="1:213" ht="57.75" customHeight="1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18</v>
      </c>
      <c r="W1" t="s">
        <v>19</v>
      </c>
      <c r="Y1" t="s">
        <v>20</v>
      </c>
      <c r="Z1" t="s">
        <v>21</v>
      </c>
      <c r="AB1" t="s">
        <v>22</v>
      </c>
      <c r="AD1" t="s">
        <v>23</v>
      </c>
      <c r="AE1" s="3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17</v>
      </c>
      <c r="AO1" t="s">
        <v>29</v>
      </c>
      <c r="AP1" t="s">
        <v>30</v>
      </c>
      <c r="AR1" t="s">
        <v>31</v>
      </c>
      <c r="AS1" t="s">
        <v>32</v>
      </c>
      <c r="AU1" t="s">
        <v>33</v>
      </c>
      <c r="AW1" s="3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17</v>
      </c>
      <c r="BH1" t="s">
        <v>40</v>
      </c>
      <c r="BI1" t="s">
        <v>41</v>
      </c>
      <c r="BJ1" t="s">
        <v>42</v>
      </c>
      <c r="BL1" t="s">
        <v>43</v>
      </c>
      <c r="BM1" t="s">
        <v>44</v>
      </c>
      <c r="BN1" t="s">
        <v>36</v>
      </c>
      <c r="BO1" t="s">
        <v>37</v>
      </c>
      <c r="BP1" t="s">
        <v>38</v>
      </c>
      <c r="BQ1" t="s">
        <v>39</v>
      </c>
      <c r="BR1" t="s">
        <v>17</v>
      </c>
      <c r="BW1" t="s">
        <v>40</v>
      </c>
      <c r="BX1" t="s">
        <v>41</v>
      </c>
      <c r="BY1" t="s">
        <v>42</v>
      </c>
      <c r="CA1" t="s">
        <v>43</v>
      </c>
      <c r="CB1" t="s">
        <v>45</v>
      </c>
      <c r="CC1" t="s">
        <v>36</v>
      </c>
      <c r="CD1" t="s">
        <v>37</v>
      </c>
      <c r="CE1" t="s">
        <v>38</v>
      </c>
      <c r="CF1" t="s">
        <v>39</v>
      </c>
      <c r="CG1" t="s">
        <v>17</v>
      </c>
      <c r="CL1" t="s">
        <v>40</v>
      </c>
      <c r="CM1" t="s">
        <v>41</v>
      </c>
      <c r="CN1" t="s">
        <v>42</v>
      </c>
      <c r="CP1" t="s">
        <v>43</v>
      </c>
      <c r="CQ1" s="3" t="s">
        <v>46</v>
      </c>
      <c r="CR1" t="s">
        <v>47</v>
      </c>
      <c r="CS1" t="s">
        <v>48</v>
      </c>
      <c r="CT1" t="s">
        <v>17</v>
      </c>
      <c r="CZ1" t="s">
        <v>41</v>
      </c>
      <c r="DA1" s="3" t="s">
        <v>49</v>
      </c>
      <c r="DB1" t="s">
        <v>47</v>
      </c>
      <c r="DC1" t="s">
        <v>48</v>
      </c>
      <c r="DD1" t="s">
        <v>17</v>
      </c>
      <c r="DJ1" t="s">
        <v>31</v>
      </c>
      <c r="DK1" s="3" t="s">
        <v>50</v>
      </c>
      <c r="DL1" t="s">
        <v>51</v>
      </c>
      <c r="DP1" t="s">
        <v>52</v>
      </c>
      <c r="DQ1" t="s">
        <v>17</v>
      </c>
      <c r="DX1" t="s">
        <v>53</v>
      </c>
      <c r="EF1" t="s">
        <v>54</v>
      </c>
      <c r="EN1" s="3" t="s">
        <v>55</v>
      </c>
      <c r="EO1" t="s">
        <v>56</v>
      </c>
      <c r="EP1" t="s">
        <v>57</v>
      </c>
      <c r="EQ1" t="s">
        <v>58</v>
      </c>
      <c r="ER1" t="s">
        <v>17</v>
      </c>
      <c r="EU1" t="s">
        <v>59</v>
      </c>
      <c r="EV1" t="s">
        <v>60</v>
      </c>
      <c r="EW1" t="s">
        <v>61</v>
      </c>
      <c r="EX1" t="s">
        <v>62</v>
      </c>
      <c r="EY1" t="s">
        <v>58</v>
      </c>
      <c r="EZ1" t="s">
        <v>17</v>
      </c>
      <c r="FC1" t="s">
        <v>59</v>
      </c>
      <c r="FD1" t="s">
        <v>60</v>
      </c>
      <c r="FE1" t="s">
        <v>61</v>
      </c>
      <c r="FF1" t="s">
        <v>63</v>
      </c>
      <c r="FG1" t="s">
        <v>58</v>
      </c>
      <c r="FH1" t="s">
        <v>17</v>
      </c>
      <c r="FK1" t="s">
        <v>59</v>
      </c>
      <c r="FL1" t="s">
        <v>60</v>
      </c>
      <c r="FM1" t="s">
        <v>64</v>
      </c>
      <c r="FN1" s="3" t="s">
        <v>65</v>
      </c>
      <c r="FO1" t="s">
        <v>66</v>
      </c>
      <c r="FP1" t="s">
        <v>67</v>
      </c>
      <c r="FQ1" t="s">
        <v>57</v>
      </c>
      <c r="FR1" t="s">
        <v>68</v>
      </c>
      <c r="FS1" t="s">
        <v>17</v>
      </c>
      <c r="GA1" t="s">
        <v>69</v>
      </c>
      <c r="GB1" t="s">
        <v>70</v>
      </c>
      <c r="GC1" t="s">
        <v>68</v>
      </c>
      <c r="GD1" t="s">
        <v>17</v>
      </c>
      <c r="GK1" t="s">
        <v>71</v>
      </c>
      <c r="GL1" t="s">
        <v>72</v>
      </c>
      <c r="GM1" t="s">
        <v>68</v>
      </c>
      <c r="GN1" t="s">
        <v>17</v>
      </c>
      <c r="GU1" t="s">
        <v>71</v>
      </c>
      <c r="GV1" t="s">
        <v>73</v>
      </c>
      <c r="GY1" t="s">
        <v>74</v>
      </c>
      <c r="GZ1" t="s">
        <v>75</v>
      </c>
      <c r="HA1" t="s">
        <v>76</v>
      </c>
      <c r="HC1" t="s">
        <v>77</v>
      </c>
      <c r="HD1" t="s">
        <v>78</v>
      </c>
      <c r="HE1" t="s">
        <v>79</v>
      </c>
    </row>
    <row r="2" spans="1:213" x14ac:dyDescent="0.45">
      <c r="A2" t="s">
        <v>0</v>
      </c>
      <c r="B2" t="s">
        <v>2264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s="1" t="s">
        <v>13</v>
      </c>
      <c r="P2" t="s">
        <v>14</v>
      </c>
      <c r="Q2" t="s">
        <v>15</v>
      </c>
      <c r="R2" t="s">
        <v>16</v>
      </c>
      <c r="S2" t="s">
        <v>80</v>
      </c>
      <c r="T2" t="s">
        <v>81</v>
      </c>
      <c r="U2" t="s">
        <v>82</v>
      </c>
      <c r="V2" t="s">
        <v>2065</v>
      </c>
      <c r="W2" t="s">
        <v>83</v>
      </c>
      <c r="X2" t="s">
        <v>84</v>
      </c>
      <c r="Y2" t="s">
        <v>20</v>
      </c>
      <c r="Z2" t="s">
        <v>21</v>
      </c>
      <c r="AA2" t="s">
        <v>2066</v>
      </c>
      <c r="AB2" t="s">
        <v>22</v>
      </c>
      <c r="AC2" t="s">
        <v>85</v>
      </c>
      <c r="AD2" t="s">
        <v>23</v>
      </c>
      <c r="AE2" s="1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86</v>
      </c>
      <c r="AK2" t="s">
        <v>2071</v>
      </c>
      <c r="AL2" t="s">
        <v>87</v>
      </c>
      <c r="AM2" t="s">
        <v>88</v>
      </c>
      <c r="AN2" t="s">
        <v>89</v>
      </c>
      <c r="AO2" t="s">
        <v>29</v>
      </c>
      <c r="AP2" t="s">
        <v>2072</v>
      </c>
      <c r="AQ2" t="s">
        <v>2073</v>
      </c>
      <c r="AR2" t="s">
        <v>31</v>
      </c>
      <c r="AS2" t="s">
        <v>32</v>
      </c>
      <c r="AT2" t="s">
        <v>2070</v>
      </c>
      <c r="AU2" t="s">
        <v>33</v>
      </c>
      <c r="AV2" t="s">
        <v>2074</v>
      </c>
      <c r="AW2" s="1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2075</v>
      </c>
      <c r="BD2" t="s">
        <v>2076</v>
      </c>
      <c r="BE2" t="s">
        <v>90</v>
      </c>
      <c r="BF2" t="s">
        <v>91</v>
      </c>
      <c r="BG2" t="s">
        <v>92</v>
      </c>
      <c r="BH2" t="s">
        <v>40</v>
      </c>
      <c r="BI2" t="s">
        <v>41</v>
      </c>
      <c r="BJ2" t="s">
        <v>42</v>
      </c>
      <c r="BK2" t="s">
        <v>2077</v>
      </c>
      <c r="BL2" t="s">
        <v>43</v>
      </c>
      <c r="BM2" t="s">
        <v>44</v>
      </c>
      <c r="BN2" t="s">
        <v>2078</v>
      </c>
      <c r="BO2" t="s">
        <v>2079</v>
      </c>
      <c r="BP2" t="s">
        <v>2080</v>
      </c>
      <c r="BQ2" t="s">
        <v>2081</v>
      </c>
      <c r="BR2" t="s">
        <v>2082</v>
      </c>
      <c r="BS2" t="s">
        <v>2083</v>
      </c>
      <c r="BT2" t="s">
        <v>2084</v>
      </c>
      <c r="BU2" t="s">
        <v>2085</v>
      </c>
      <c r="BV2" t="s">
        <v>2086</v>
      </c>
      <c r="BW2" t="s">
        <v>2087</v>
      </c>
      <c r="BX2" t="s">
        <v>2088</v>
      </c>
      <c r="BY2" t="s">
        <v>2089</v>
      </c>
      <c r="BZ2" t="s">
        <v>2090</v>
      </c>
      <c r="CA2" t="s">
        <v>2091</v>
      </c>
      <c r="CB2" t="s">
        <v>45</v>
      </c>
      <c r="CC2" t="s">
        <v>2092</v>
      </c>
      <c r="CD2" t="s">
        <v>2093</v>
      </c>
      <c r="CE2" t="s">
        <v>2094</v>
      </c>
      <c r="CF2" t="s">
        <v>2095</v>
      </c>
      <c r="CG2" t="s">
        <v>2096</v>
      </c>
      <c r="CH2" t="s">
        <v>2097</v>
      </c>
      <c r="CI2" t="s">
        <v>2098</v>
      </c>
      <c r="CJ2" t="s">
        <v>2099</v>
      </c>
      <c r="CK2" t="s">
        <v>2100</v>
      </c>
      <c r="CL2" t="s">
        <v>2101</v>
      </c>
      <c r="CM2" t="s">
        <v>2102</v>
      </c>
      <c r="CN2" t="s">
        <v>2103</v>
      </c>
      <c r="CO2" t="s">
        <v>2104</v>
      </c>
      <c r="CP2" t="s">
        <v>2105</v>
      </c>
      <c r="CQ2" s="1" t="s">
        <v>46</v>
      </c>
      <c r="CR2" t="s">
        <v>47</v>
      </c>
      <c r="CS2" t="s">
        <v>48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2106</v>
      </c>
      <c r="DA2" s="1" t="s">
        <v>49</v>
      </c>
      <c r="DB2" t="s">
        <v>2107</v>
      </c>
      <c r="DC2" t="s">
        <v>2108</v>
      </c>
      <c r="DD2" t="s">
        <v>2109</v>
      </c>
      <c r="DE2" t="s">
        <v>2110</v>
      </c>
      <c r="DF2" t="s">
        <v>2111</v>
      </c>
      <c r="DG2" t="s">
        <v>2112</v>
      </c>
      <c r="DH2" t="s">
        <v>2113</v>
      </c>
      <c r="DI2" t="s">
        <v>2114</v>
      </c>
      <c r="DJ2" t="s">
        <v>2115</v>
      </c>
      <c r="DK2" s="1" t="s">
        <v>50</v>
      </c>
      <c r="DL2" t="s">
        <v>51</v>
      </c>
      <c r="DM2" t="s">
        <v>2067</v>
      </c>
      <c r="DN2" t="s">
        <v>2068</v>
      </c>
      <c r="DO2" t="s">
        <v>2069</v>
      </c>
      <c r="DP2" t="s">
        <v>52</v>
      </c>
      <c r="DQ2" t="s">
        <v>99</v>
      </c>
      <c r="DR2" t="s">
        <v>100</v>
      </c>
      <c r="DS2" t="s">
        <v>101</v>
      </c>
      <c r="DT2" t="s">
        <v>102</v>
      </c>
      <c r="DU2" t="s">
        <v>103</v>
      </c>
      <c r="DV2" t="s">
        <v>104</v>
      </c>
      <c r="DW2" t="s">
        <v>105</v>
      </c>
      <c r="DX2" t="s">
        <v>106</v>
      </c>
      <c r="DY2" t="s">
        <v>107</v>
      </c>
      <c r="DZ2" t="s">
        <v>108</v>
      </c>
      <c r="EA2" t="s">
        <v>109</v>
      </c>
      <c r="EB2" t="s">
        <v>110</v>
      </c>
      <c r="EC2" t="s">
        <v>111</v>
      </c>
      <c r="ED2" t="s">
        <v>112</v>
      </c>
      <c r="EE2" t="s">
        <v>2116</v>
      </c>
      <c r="EF2" t="s">
        <v>2117</v>
      </c>
      <c r="EG2" t="s">
        <v>2118</v>
      </c>
      <c r="EH2" t="s">
        <v>2119</v>
      </c>
      <c r="EI2" t="s">
        <v>2120</v>
      </c>
      <c r="EJ2" t="s">
        <v>2121</v>
      </c>
      <c r="EK2" t="s">
        <v>2122</v>
      </c>
      <c r="EL2" t="s">
        <v>2123</v>
      </c>
      <c r="EM2" t="s">
        <v>2124</v>
      </c>
      <c r="EN2" s="1" t="s">
        <v>55</v>
      </c>
      <c r="EO2" t="s">
        <v>56</v>
      </c>
      <c r="EP2" t="s">
        <v>57</v>
      </c>
      <c r="EQ2" t="s">
        <v>58</v>
      </c>
      <c r="ER2" t="s">
        <v>113</v>
      </c>
      <c r="ES2" t="s">
        <v>114</v>
      </c>
      <c r="ET2" t="s">
        <v>115</v>
      </c>
      <c r="EU2" t="s">
        <v>59</v>
      </c>
      <c r="EV2" t="s">
        <v>60</v>
      </c>
      <c r="EW2" t="s">
        <v>61</v>
      </c>
      <c r="EX2" t="s">
        <v>62</v>
      </c>
      <c r="EY2" t="s">
        <v>2125</v>
      </c>
      <c r="EZ2" t="s">
        <v>2126</v>
      </c>
      <c r="FA2" t="s">
        <v>2127</v>
      </c>
      <c r="FB2" t="s">
        <v>2128</v>
      </c>
      <c r="FC2" t="s">
        <v>2129</v>
      </c>
      <c r="FD2" t="s">
        <v>2130</v>
      </c>
      <c r="FE2" t="s">
        <v>2131</v>
      </c>
      <c r="FF2" t="s">
        <v>63</v>
      </c>
      <c r="FG2" t="s">
        <v>2132</v>
      </c>
      <c r="FH2" t="s">
        <v>2133</v>
      </c>
      <c r="FI2" t="s">
        <v>2134</v>
      </c>
      <c r="FJ2" t="s">
        <v>2135</v>
      </c>
      <c r="FK2" t="s">
        <v>2136</v>
      </c>
      <c r="FL2" t="s">
        <v>2137</v>
      </c>
      <c r="FM2" t="s">
        <v>64</v>
      </c>
      <c r="FN2" s="1" t="s">
        <v>65</v>
      </c>
      <c r="FO2" t="s">
        <v>66</v>
      </c>
      <c r="FP2" t="s">
        <v>67</v>
      </c>
      <c r="FQ2" t="s">
        <v>2138</v>
      </c>
      <c r="FR2" t="s">
        <v>68</v>
      </c>
      <c r="FS2" t="s">
        <v>116</v>
      </c>
      <c r="FT2" t="s">
        <v>2139</v>
      </c>
      <c r="FU2" t="s">
        <v>2140</v>
      </c>
      <c r="FV2" t="s">
        <v>2141</v>
      </c>
      <c r="FW2" t="s">
        <v>2142</v>
      </c>
      <c r="FX2" t="s">
        <v>2143</v>
      </c>
      <c r="FY2" t="s">
        <v>2144</v>
      </c>
      <c r="FZ2" t="s">
        <v>2145</v>
      </c>
      <c r="GA2" t="s">
        <v>69</v>
      </c>
      <c r="GB2" t="s">
        <v>70</v>
      </c>
      <c r="GC2" t="s">
        <v>2146</v>
      </c>
      <c r="GD2" t="s">
        <v>2147</v>
      </c>
      <c r="GE2" t="s">
        <v>2148</v>
      </c>
      <c r="GF2" t="s">
        <v>2149</v>
      </c>
      <c r="GG2" t="s">
        <v>2150</v>
      </c>
      <c r="GH2" t="s">
        <v>2151</v>
      </c>
      <c r="GI2" t="s">
        <v>2152</v>
      </c>
      <c r="GJ2" t="s">
        <v>2153</v>
      </c>
      <c r="GK2" t="s">
        <v>71</v>
      </c>
      <c r="GL2" t="s">
        <v>72</v>
      </c>
      <c r="GM2" t="s">
        <v>2154</v>
      </c>
      <c r="GN2" t="s">
        <v>2155</v>
      </c>
      <c r="GO2" t="s">
        <v>2156</v>
      </c>
      <c r="GP2" t="s">
        <v>2157</v>
      </c>
      <c r="GQ2" t="s">
        <v>2158</v>
      </c>
      <c r="GR2" t="s">
        <v>2159</v>
      </c>
      <c r="GS2" t="s">
        <v>2160</v>
      </c>
      <c r="GT2" t="s">
        <v>2161</v>
      </c>
      <c r="GU2" t="s">
        <v>2162</v>
      </c>
      <c r="GV2" t="s">
        <v>73</v>
      </c>
      <c r="GW2" t="s">
        <v>2163</v>
      </c>
      <c r="GX2" t="s">
        <v>2164</v>
      </c>
      <c r="GY2" t="s">
        <v>74</v>
      </c>
      <c r="GZ2" t="s">
        <v>75</v>
      </c>
      <c r="HA2" t="s">
        <v>76</v>
      </c>
      <c r="HB2" t="s">
        <v>2165</v>
      </c>
      <c r="HC2" t="s">
        <v>77</v>
      </c>
      <c r="HD2" t="s">
        <v>78</v>
      </c>
      <c r="HE2" t="s">
        <v>79</v>
      </c>
    </row>
    <row r="3" spans="1:213" x14ac:dyDescent="0.45">
      <c r="A3">
        <v>1</v>
      </c>
      <c r="B3">
        <f>_xlfn.IFNA(VLOOKUP(Wszystkie[[#This Row],[Zakończono wypełnianie]],Zakończone[],2,0),"BRAK")</f>
        <v>1</v>
      </c>
      <c r="C3" t="s">
        <v>117</v>
      </c>
      <c r="D3" t="s">
        <v>118</v>
      </c>
      <c r="I3" t="s">
        <v>119</v>
      </c>
      <c r="J3" t="s">
        <v>120</v>
      </c>
      <c r="K3" t="s">
        <v>121</v>
      </c>
      <c r="L3">
        <v>65871</v>
      </c>
      <c r="M3">
        <v>0</v>
      </c>
      <c r="N3" t="s">
        <v>122</v>
      </c>
      <c r="O3" s="1" t="s">
        <v>123</v>
      </c>
      <c r="AE3" s="1" t="s">
        <v>124</v>
      </c>
      <c r="AF3" t="s">
        <v>125</v>
      </c>
      <c r="AH3" t="s">
        <v>126</v>
      </c>
      <c r="AI3" t="s">
        <v>127</v>
      </c>
      <c r="AJ3" t="s">
        <v>128</v>
      </c>
      <c r="AK3" t="s">
        <v>128</v>
      </c>
      <c r="AL3" t="s">
        <v>129</v>
      </c>
      <c r="AM3" t="s">
        <v>129</v>
      </c>
      <c r="AN3" t="s">
        <v>129</v>
      </c>
      <c r="AO3" t="s">
        <v>130</v>
      </c>
      <c r="AP3" t="s">
        <v>131</v>
      </c>
      <c r="AQ3" t="s">
        <v>132</v>
      </c>
      <c r="AR3" t="s">
        <v>133</v>
      </c>
      <c r="AS3" t="s">
        <v>134</v>
      </c>
      <c r="AT3" t="s">
        <v>135</v>
      </c>
      <c r="AV3" t="s">
        <v>136</v>
      </c>
      <c r="AW3" s="1" t="s">
        <v>123</v>
      </c>
      <c r="CQ3" s="1" t="s">
        <v>123</v>
      </c>
      <c r="DA3" s="1" t="s">
        <v>123</v>
      </c>
      <c r="DK3" s="1" t="s">
        <v>123</v>
      </c>
      <c r="EN3" s="1" t="s">
        <v>123</v>
      </c>
      <c r="FN3" s="1" t="s">
        <v>123</v>
      </c>
      <c r="FO3" t="s">
        <v>132</v>
      </c>
      <c r="GV3" t="s">
        <v>137</v>
      </c>
      <c r="GW3" t="s">
        <v>138</v>
      </c>
      <c r="GX3" t="s">
        <v>139</v>
      </c>
      <c r="GY3" t="s">
        <v>140</v>
      </c>
      <c r="GZ3">
        <v>1987</v>
      </c>
      <c r="HA3" t="s">
        <v>141</v>
      </c>
      <c r="HC3" t="s">
        <v>142</v>
      </c>
      <c r="HD3" t="s">
        <v>142</v>
      </c>
      <c r="HE3" t="s">
        <v>143</v>
      </c>
    </row>
    <row r="4" spans="1:213" x14ac:dyDescent="0.45">
      <c r="A4">
        <v>2</v>
      </c>
      <c r="B4">
        <f>_xlfn.IFNA(VLOOKUP(Wszystkie[[#This Row],[Zakończono wypełnianie]],Zakończone[],2,0),"BRAK")</f>
        <v>2</v>
      </c>
      <c r="C4" t="s">
        <v>144</v>
      </c>
      <c r="D4" t="s">
        <v>118</v>
      </c>
      <c r="I4" t="s">
        <v>119</v>
      </c>
      <c r="J4" t="s">
        <v>145</v>
      </c>
      <c r="K4" t="s">
        <v>146</v>
      </c>
      <c r="L4">
        <v>1573</v>
      </c>
      <c r="M4">
        <v>0</v>
      </c>
      <c r="N4" t="s">
        <v>122</v>
      </c>
      <c r="O4" s="1" t="s">
        <v>123</v>
      </c>
      <c r="AE4" s="1" t="s">
        <v>124</v>
      </c>
      <c r="AF4" t="s">
        <v>147</v>
      </c>
      <c r="AG4">
        <v>1986</v>
      </c>
      <c r="AH4" t="s">
        <v>148</v>
      </c>
      <c r="AI4" t="s">
        <v>149</v>
      </c>
      <c r="AJ4" t="s">
        <v>150</v>
      </c>
      <c r="AK4" t="s">
        <v>150</v>
      </c>
      <c r="AL4" t="s">
        <v>150</v>
      </c>
      <c r="AM4" t="s">
        <v>151</v>
      </c>
      <c r="AN4" t="s">
        <v>150</v>
      </c>
      <c r="AO4">
        <v>3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s="1" t="s">
        <v>159</v>
      </c>
      <c r="AX4">
        <v>2</v>
      </c>
      <c r="AY4" t="s">
        <v>160</v>
      </c>
      <c r="AZ4">
        <v>2013</v>
      </c>
      <c r="BA4" t="s">
        <v>148</v>
      </c>
      <c r="BB4" t="s">
        <v>161</v>
      </c>
      <c r="BC4" t="s">
        <v>162</v>
      </c>
      <c r="BD4" t="s">
        <v>150</v>
      </c>
      <c r="BE4" t="s">
        <v>150</v>
      </c>
      <c r="BF4" t="s">
        <v>150</v>
      </c>
      <c r="BG4" t="s">
        <v>150</v>
      </c>
      <c r="BH4" t="s">
        <v>163</v>
      </c>
      <c r="BI4" t="s">
        <v>164</v>
      </c>
      <c r="BJ4" t="s">
        <v>157</v>
      </c>
      <c r="BL4" t="s">
        <v>165</v>
      </c>
      <c r="BM4" t="s">
        <v>166</v>
      </c>
      <c r="BN4" t="s">
        <v>167</v>
      </c>
      <c r="BO4">
        <v>2015</v>
      </c>
      <c r="BP4" t="s">
        <v>148</v>
      </c>
      <c r="BQ4" t="s">
        <v>168</v>
      </c>
      <c r="BR4" t="s">
        <v>150</v>
      </c>
      <c r="BS4" t="s">
        <v>169</v>
      </c>
      <c r="BT4" t="s">
        <v>150</v>
      </c>
      <c r="BU4" t="s">
        <v>150</v>
      </c>
      <c r="BV4" t="s">
        <v>150</v>
      </c>
      <c r="BW4" t="s">
        <v>170</v>
      </c>
      <c r="BX4" t="s">
        <v>171</v>
      </c>
      <c r="BY4" t="s">
        <v>172</v>
      </c>
      <c r="CB4" t="s">
        <v>173</v>
      </c>
      <c r="CQ4" s="1" t="s">
        <v>123</v>
      </c>
      <c r="DA4" s="1" t="s">
        <v>123</v>
      </c>
      <c r="DK4" s="1" t="s">
        <v>174</v>
      </c>
      <c r="DO4" t="s">
        <v>175</v>
      </c>
      <c r="DP4" t="s">
        <v>176</v>
      </c>
      <c r="DQ4" t="s">
        <v>162</v>
      </c>
      <c r="DR4" t="s">
        <v>150</v>
      </c>
      <c r="DS4" t="s">
        <v>151</v>
      </c>
      <c r="DT4" t="s">
        <v>151</v>
      </c>
      <c r="DU4" t="s">
        <v>162</v>
      </c>
      <c r="DV4" t="s">
        <v>162</v>
      </c>
      <c r="DW4" t="s">
        <v>150</v>
      </c>
      <c r="DX4">
        <v>25</v>
      </c>
      <c r="DY4">
        <v>25</v>
      </c>
      <c r="DZ4">
        <v>2</v>
      </c>
      <c r="EA4">
        <v>5</v>
      </c>
      <c r="EB4">
        <v>8</v>
      </c>
      <c r="EC4">
        <v>25</v>
      </c>
      <c r="ED4">
        <v>10</v>
      </c>
      <c r="EF4">
        <v>20</v>
      </c>
      <c r="EG4">
        <v>20</v>
      </c>
      <c r="EH4">
        <v>1</v>
      </c>
      <c r="EI4">
        <v>4</v>
      </c>
      <c r="EJ4">
        <v>25</v>
      </c>
      <c r="EK4">
        <v>25</v>
      </c>
      <c r="EL4">
        <v>5</v>
      </c>
      <c r="EN4" s="1" t="s">
        <v>177</v>
      </c>
      <c r="EO4" t="s">
        <v>178</v>
      </c>
      <c r="EP4">
        <v>1</v>
      </c>
      <c r="EQ4" t="s">
        <v>179</v>
      </c>
      <c r="ER4" t="s">
        <v>150</v>
      </c>
      <c r="ES4" t="s">
        <v>150</v>
      </c>
      <c r="ET4" t="s">
        <v>151</v>
      </c>
      <c r="EU4" t="s">
        <v>180</v>
      </c>
      <c r="EV4" t="s">
        <v>181</v>
      </c>
      <c r="EW4" t="s">
        <v>182</v>
      </c>
      <c r="EX4" t="s">
        <v>173</v>
      </c>
      <c r="FN4" s="1" t="s">
        <v>123</v>
      </c>
      <c r="FO4" t="s">
        <v>132</v>
      </c>
      <c r="GV4" t="s">
        <v>183</v>
      </c>
      <c r="GW4" t="s">
        <v>184</v>
      </c>
      <c r="GX4" t="s">
        <v>185</v>
      </c>
      <c r="GY4" t="s">
        <v>186</v>
      </c>
      <c r="GZ4">
        <v>1961</v>
      </c>
      <c r="HA4" t="s">
        <v>141</v>
      </c>
      <c r="HC4" t="s">
        <v>187</v>
      </c>
    </row>
    <row r="5" spans="1:213" x14ac:dyDescent="0.45">
      <c r="A5">
        <v>3</v>
      </c>
      <c r="B5">
        <f>_xlfn.IFNA(VLOOKUP(Wszystkie[[#This Row],[Zakończono wypełnianie]],Zakończone[],2,0),"BRAK")</f>
        <v>3</v>
      </c>
      <c r="C5" t="s">
        <v>188</v>
      </c>
      <c r="D5" t="s">
        <v>118</v>
      </c>
      <c r="I5" t="s">
        <v>119</v>
      </c>
      <c r="J5" t="s">
        <v>189</v>
      </c>
      <c r="K5" t="s">
        <v>190</v>
      </c>
      <c r="L5">
        <v>853</v>
      </c>
      <c r="M5">
        <v>0</v>
      </c>
      <c r="N5" t="s">
        <v>122</v>
      </c>
      <c r="O5" s="1" t="s">
        <v>123</v>
      </c>
      <c r="AE5" s="1" t="s">
        <v>124</v>
      </c>
      <c r="AF5" t="s">
        <v>191</v>
      </c>
      <c r="AG5">
        <v>2017</v>
      </c>
      <c r="AH5" t="s">
        <v>126</v>
      </c>
      <c r="AI5" t="s">
        <v>192</v>
      </c>
      <c r="AJ5" t="s">
        <v>150</v>
      </c>
      <c r="AK5" t="s">
        <v>150</v>
      </c>
      <c r="AL5" t="s">
        <v>162</v>
      </c>
      <c r="AM5" t="s">
        <v>169</v>
      </c>
      <c r="AN5" t="s">
        <v>169</v>
      </c>
      <c r="AO5" t="s">
        <v>193</v>
      </c>
      <c r="AP5" t="s">
        <v>194</v>
      </c>
      <c r="AQ5" t="s">
        <v>194</v>
      </c>
      <c r="AR5" t="s">
        <v>195</v>
      </c>
      <c r="AS5" t="s">
        <v>196</v>
      </c>
      <c r="AT5" t="s">
        <v>197</v>
      </c>
      <c r="AU5" t="s">
        <v>157</v>
      </c>
      <c r="AW5" s="1" t="s">
        <v>123</v>
      </c>
      <c r="CQ5" s="1" t="s">
        <v>123</v>
      </c>
      <c r="DA5" s="1" t="s">
        <v>123</v>
      </c>
      <c r="DK5" s="1" t="s">
        <v>123</v>
      </c>
      <c r="EN5" s="1" t="s">
        <v>123</v>
      </c>
      <c r="FN5" s="1" t="s">
        <v>123</v>
      </c>
      <c r="FO5" t="s">
        <v>132</v>
      </c>
      <c r="GV5" t="s">
        <v>198</v>
      </c>
      <c r="GW5" t="s">
        <v>199</v>
      </c>
      <c r="GX5" t="s">
        <v>200</v>
      </c>
      <c r="GY5" t="s">
        <v>186</v>
      </c>
      <c r="GZ5">
        <v>1991</v>
      </c>
      <c r="HA5" t="s">
        <v>141</v>
      </c>
      <c r="HC5" t="s">
        <v>201</v>
      </c>
    </row>
    <row r="6" spans="1:213" x14ac:dyDescent="0.45">
      <c r="A6">
        <v>4</v>
      </c>
      <c r="B6">
        <f>_xlfn.IFNA(VLOOKUP(Wszystkie[[#This Row],[Zakończono wypełnianie]],Zakończone[],2,0),"BRAK")</f>
        <v>4</v>
      </c>
      <c r="C6" t="s">
        <v>202</v>
      </c>
      <c r="D6" t="s">
        <v>118</v>
      </c>
      <c r="I6" t="s">
        <v>119</v>
      </c>
      <c r="J6" t="s">
        <v>203</v>
      </c>
      <c r="K6" t="s">
        <v>204</v>
      </c>
      <c r="L6">
        <v>3161</v>
      </c>
      <c r="M6">
        <v>0</v>
      </c>
      <c r="N6" t="s">
        <v>122</v>
      </c>
      <c r="O6" s="1" t="s">
        <v>123</v>
      </c>
      <c r="AE6" s="1" t="s">
        <v>124</v>
      </c>
      <c r="AF6" t="s">
        <v>205</v>
      </c>
      <c r="AG6" t="s">
        <v>206</v>
      </c>
      <c r="AH6" t="s">
        <v>148</v>
      </c>
      <c r="AI6" t="s">
        <v>207</v>
      </c>
      <c r="AJ6" t="s">
        <v>150</v>
      </c>
      <c r="AK6" t="s">
        <v>150</v>
      </c>
      <c r="AL6" t="s">
        <v>162</v>
      </c>
      <c r="AM6" t="s">
        <v>162</v>
      </c>
      <c r="AN6" t="s">
        <v>162</v>
      </c>
      <c r="AO6" t="s">
        <v>208</v>
      </c>
      <c r="AP6" t="s">
        <v>209</v>
      </c>
      <c r="AQ6" t="s">
        <v>209</v>
      </c>
      <c r="AR6" t="s">
        <v>210</v>
      </c>
      <c r="AS6" t="s">
        <v>211</v>
      </c>
      <c r="AT6" t="s">
        <v>212</v>
      </c>
      <c r="AU6" t="s">
        <v>157</v>
      </c>
      <c r="AV6" t="s">
        <v>213</v>
      </c>
      <c r="AW6" s="1" t="s">
        <v>123</v>
      </c>
      <c r="CQ6" s="1" t="s">
        <v>123</v>
      </c>
      <c r="DA6" s="1" t="s">
        <v>214</v>
      </c>
      <c r="DB6" t="s">
        <v>205</v>
      </c>
      <c r="DC6" t="s">
        <v>215</v>
      </c>
      <c r="DD6" t="s">
        <v>150</v>
      </c>
      <c r="DE6" t="s">
        <v>169</v>
      </c>
      <c r="DF6" t="s">
        <v>169</v>
      </c>
      <c r="DG6" t="s">
        <v>150</v>
      </c>
      <c r="DH6" t="s">
        <v>151</v>
      </c>
      <c r="DI6" t="s">
        <v>151</v>
      </c>
      <c r="DJ6" t="s">
        <v>216</v>
      </c>
      <c r="DK6" s="1" t="s">
        <v>123</v>
      </c>
      <c r="EN6" s="1" t="s">
        <v>123</v>
      </c>
      <c r="EO6" t="s">
        <v>178</v>
      </c>
      <c r="EP6" t="s">
        <v>132</v>
      </c>
      <c r="FN6" s="1" t="s">
        <v>123</v>
      </c>
      <c r="FO6" t="s">
        <v>132</v>
      </c>
      <c r="GV6" t="s">
        <v>217</v>
      </c>
      <c r="GW6" t="s">
        <v>218</v>
      </c>
      <c r="GX6" t="s">
        <v>219</v>
      </c>
      <c r="GY6" t="s">
        <v>140</v>
      </c>
      <c r="GZ6">
        <v>1961</v>
      </c>
      <c r="HA6" t="s">
        <v>220</v>
      </c>
    </row>
    <row r="7" spans="1:213" x14ac:dyDescent="0.45">
      <c r="A7">
        <v>5</v>
      </c>
      <c r="B7">
        <f>_xlfn.IFNA(VLOOKUP(Wszystkie[[#This Row],[Zakończono wypełnianie]],Zakończone[],2,0),"BRAK")</f>
        <v>5</v>
      </c>
      <c r="C7" t="s">
        <v>202</v>
      </c>
      <c r="D7" t="s">
        <v>118</v>
      </c>
      <c r="I7" t="s">
        <v>119</v>
      </c>
      <c r="J7" t="s">
        <v>221</v>
      </c>
      <c r="K7" t="s">
        <v>222</v>
      </c>
      <c r="L7">
        <v>1659</v>
      </c>
      <c r="M7">
        <v>0</v>
      </c>
      <c r="N7" t="s">
        <v>122</v>
      </c>
      <c r="O7" s="1" t="s">
        <v>123</v>
      </c>
      <c r="AE7" s="1" t="s">
        <v>124</v>
      </c>
      <c r="AF7" t="s">
        <v>223</v>
      </c>
      <c r="AG7">
        <v>1999</v>
      </c>
      <c r="AH7" t="s">
        <v>148</v>
      </c>
      <c r="AI7" t="s">
        <v>224</v>
      </c>
      <c r="AJ7" t="s">
        <v>162</v>
      </c>
      <c r="AK7" t="s">
        <v>162</v>
      </c>
      <c r="AL7" t="s">
        <v>150</v>
      </c>
      <c r="AM7" t="s">
        <v>150</v>
      </c>
      <c r="AN7" t="s">
        <v>169</v>
      </c>
      <c r="AO7" t="s">
        <v>225</v>
      </c>
      <c r="AP7" t="s">
        <v>153</v>
      </c>
      <c r="AQ7" t="s">
        <v>226</v>
      </c>
      <c r="AR7" t="s">
        <v>227</v>
      </c>
      <c r="AS7" t="s">
        <v>228</v>
      </c>
      <c r="AT7" t="s">
        <v>229</v>
      </c>
      <c r="AU7" t="s">
        <v>230</v>
      </c>
      <c r="AW7" s="1" t="s">
        <v>159</v>
      </c>
      <c r="AX7">
        <v>3</v>
      </c>
      <c r="AY7" t="s">
        <v>191</v>
      </c>
      <c r="AZ7">
        <v>2011</v>
      </c>
      <c r="BA7" t="s">
        <v>126</v>
      </c>
      <c r="BB7" t="s">
        <v>231</v>
      </c>
      <c r="BC7" t="s">
        <v>169</v>
      </c>
      <c r="BD7" t="s">
        <v>169</v>
      </c>
      <c r="BE7" t="s">
        <v>150</v>
      </c>
      <c r="BF7" t="s">
        <v>162</v>
      </c>
      <c r="BG7" t="s">
        <v>150</v>
      </c>
      <c r="BH7">
        <v>1</v>
      </c>
      <c r="BI7" t="s">
        <v>232</v>
      </c>
      <c r="BJ7" t="s">
        <v>157</v>
      </c>
      <c r="BL7" t="s">
        <v>233</v>
      </c>
      <c r="BM7" t="s">
        <v>166</v>
      </c>
      <c r="BN7" t="s">
        <v>234</v>
      </c>
      <c r="BO7">
        <v>2011</v>
      </c>
      <c r="BP7" t="s">
        <v>148</v>
      </c>
      <c r="BQ7" t="s">
        <v>235</v>
      </c>
      <c r="BR7" t="s">
        <v>151</v>
      </c>
      <c r="BS7" t="s">
        <v>128</v>
      </c>
      <c r="BT7" t="s">
        <v>236</v>
      </c>
      <c r="BU7" t="s">
        <v>128</v>
      </c>
      <c r="BV7" t="s">
        <v>162</v>
      </c>
      <c r="BW7" t="s">
        <v>237</v>
      </c>
      <c r="BY7" t="s">
        <v>172</v>
      </c>
      <c r="CA7" t="s">
        <v>233</v>
      </c>
      <c r="CB7" t="s">
        <v>238</v>
      </c>
      <c r="CC7" t="s">
        <v>223</v>
      </c>
      <c r="CD7">
        <v>2016</v>
      </c>
      <c r="CE7" t="s">
        <v>148</v>
      </c>
      <c r="CF7" t="s">
        <v>239</v>
      </c>
      <c r="CG7" t="s">
        <v>169</v>
      </c>
      <c r="CH7" t="s">
        <v>169</v>
      </c>
      <c r="CI7" t="s">
        <v>169</v>
      </c>
      <c r="CJ7" t="s">
        <v>150</v>
      </c>
      <c r="CK7" t="s">
        <v>150</v>
      </c>
      <c r="CL7">
        <v>1</v>
      </c>
      <c r="CM7" t="s">
        <v>240</v>
      </c>
      <c r="CN7" t="s">
        <v>157</v>
      </c>
      <c r="CP7" t="s">
        <v>233</v>
      </c>
      <c r="CQ7" s="1" t="s">
        <v>123</v>
      </c>
      <c r="DA7" s="1" t="s">
        <v>214</v>
      </c>
      <c r="DB7" t="s">
        <v>234</v>
      </c>
      <c r="DC7" t="s">
        <v>241</v>
      </c>
      <c r="DD7" t="s">
        <v>162</v>
      </c>
      <c r="DE7" t="s">
        <v>169</v>
      </c>
      <c r="DF7" t="s">
        <v>169</v>
      </c>
      <c r="DG7" t="s">
        <v>151</v>
      </c>
      <c r="DH7" t="s">
        <v>151</v>
      </c>
      <c r="DI7" t="s">
        <v>151</v>
      </c>
      <c r="DJ7" t="s">
        <v>242</v>
      </c>
      <c r="DK7" s="1" t="s">
        <v>123</v>
      </c>
      <c r="EN7" s="1" t="s">
        <v>123</v>
      </c>
      <c r="FN7" s="1" t="s">
        <v>123</v>
      </c>
      <c r="FO7" t="s">
        <v>132</v>
      </c>
      <c r="GV7" t="s">
        <v>243</v>
      </c>
      <c r="GW7" t="s">
        <v>244</v>
      </c>
      <c r="GX7" t="s">
        <v>245</v>
      </c>
      <c r="GY7" t="s">
        <v>186</v>
      </c>
      <c r="GZ7">
        <v>1961</v>
      </c>
      <c r="HA7" t="s">
        <v>246</v>
      </c>
      <c r="HC7" t="s">
        <v>247</v>
      </c>
    </row>
    <row r="8" spans="1:213" x14ac:dyDescent="0.45">
      <c r="A8">
        <v>6</v>
      </c>
      <c r="B8">
        <f>_xlfn.IFNA(VLOOKUP(Wszystkie[[#This Row],[Zakończono wypełnianie]],Zakończone[],2,0),"BRAK")</f>
        <v>6</v>
      </c>
      <c r="C8" t="s">
        <v>248</v>
      </c>
      <c r="D8" t="s">
        <v>118</v>
      </c>
      <c r="I8" t="s">
        <v>119</v>
      </c>
      <c r="J8" t="s">
        <v>249</v>
      </c>
      <c r="K8" t="s">
        <v>250</v>
      </c>
      <c r="L8">
        <v>902</v>
      </c>
      <c r="M8">
        <v>0</v>
      </c>
      <c r="N8" t="s">
        <v>122</v>
      </c>
      <c r="O8" s="1" t="s">
        <v>123</v>
      </c>
      <c r="AE8" s="1" t="s">
        <v>124</v>
      </c>
      <c r="AF8" t="s">
        <v>191</v>
      </c>
      <c r="AG8">
        <v>2013</v>
      </c>
      <c r="AH8" t="s">
        <v>126</v>
      </c>
      <c r="AI8" t="s">
        <v>251</v>
      </c>
      <c r="AJ8" t="s">
        <v>162</v>
      </c>
      <c r="AK8" t="s">
        <v>162</v>
      </c>
      <c r="AL8" t="s">
        <v>151</v>
      </c>
      <c r="AM8" t="s">
        <v>132</v>
      </c>
      <c r="AN8" t="s">
        <v>132</v>
      </c>
      <c r="AO8" t="s">
        <v>252</v>
      </c>
      <c r="AP8" t="s">
        <v>132</v>
      </c>
      <c r="AQ8" t="s">
        <v>132</v>
      </c>
      <c r="AR8" t="s">
        <v>253</v>
      </c>
      <c r="AS8" t="s">
        <v>254</v>
      </c>
      <c r="AT8" t="s">
        <v>255</v>
      </c>
      <c r="AU8" t="s">
        <v>157</v>
      </c>
      <c r="AW8" s="1" t="s">
        <v>123</v>
      </c>
      <c r="CQ8" s="1" t="s">
        <v>123</v>
      </c>
      <c r="DA8" s="1" t="s">
        <v>123</v>
      </c>
      <c r="DK8" s="1" t="s">
        <v>123</v>
      </c>
      <c r="EN8" s="1" t="s">
        <v>123</v>
      </c>
      <c r="FN8" s="1" t="s">
        <v>123</v>
      </c>
      <c r="FO8" t="s">
        <v>132</v>
      </c>
      <c r="GV8" t="s">
        <v>256</v>
      </c>
      <c r="GW8" t="s">
        <v>257</v>
      </c>
      <c r="GX8" t="s">
        <v>258</v>
      </c>
      <c r="GY8" t="s">
        <v>140</v>
      </c>
      <c r="GZ8">
        <v>1988</v>
      </c>
      <c r="HA8" t="s">
        <v>141</v>
      </c>
    </row>
    <row r="9" spans="1:213" x14ac:dyDescent="0.45">
      <c r="A9">
        <v>7</v>
      </c>
      <c r="B9">
        <f>_xlfn.IFNA(VLOOKUP(Wszystkie[[#This Row],[Zakończono wypełnianie]],Zakończone[],2,0),"BRAK")</f>
        <v>7</v>
      </c>
      <c r="C9" t="s">
        <v>259</v>
      </c>
      <c r="D9" t="s">
        <v>118</v>
      </c>
      <c r="E9" t="s">
        <v>260</v>
      </c>
      <c r="I9" t="s">
        <v>119</v>
      </c>
      <c r="J9" t="s">
        <v>261</v>
      </c>
      <c r="K9" t="s">
        <v>262</v>
      </c>
      <c r="L9">
        <v>422</v>
      </c>
      <c r="M9">
        <v>0</v>
      </c>
      <c r="N9" t="s">
        <v>122</v>
      </c>
      <c r="O9" s="1" t="s">
        <v>123</v>
      </c>
      <c r="AE9" s="1" t="s">
        <v>124</v>
      </c>
      <c r="AF9" t="s">
        <v>191</v>
      </c>
      <c r="AG9">
        <v>2013</v>
      </c>
      <c r="AH9" t="s">
        <v>126</v>
      </c>
      <c r="AI9" t="s">
        <v>263</v>
      </c>
      <c r="AJ9" t="s">
        <v>169</v>
      </c>
      <c r="AK9" t="s">
        <v>150</v>
      </c>
      <c r="AL9" t="s">
        <v>169</v>
      </c>
      <c r="AM9" t="s">
        <v>169</v>
      </c>
      <c r="AN9" t="s">
        <v>169</v>
      </c>
      <c r="AO9">
        <v>4</v>
      </c>
      <c r="AP9" t="s">
        <v>153</v>
      </c>
      <c r="AQ9" t="s">
        <v>153</v>
      </c>
      <c r="AR9" t="s">
        <v>264</v>
      </c>
      <c r="AS9" t="s">
        <v>265</v>
      </c>
      <c r="AT9" t="s">
        <v>266</v>
      </c>
      <c r="AU9" t="s">
        <v>157</v>
      </c>
      <c r="AW9" s="1" t="s">
        <v>123</v>
      </c>
      <c r="AX9" t="s">
        <v>132</v>
      </c>
      <c r="CQ9" s="1" t="s">
        <v>123</v>
      </c>
      <c r="DA9" s="1" t="s">
        <v>123</v>
      </c>
      <c r="DK9" s="1" t="s">
        <v>123</v>
      </c>
      <c r="EN9" s="1" t="s">
        <v>123</v>
      </c>
      <c r="EO9" t="s">
        <v>180</v>
      </c>
      <c r="EP9" t="s">
        <v>132</v>
      </c>
      <c r="FN9" s="1" t="s">
        <v>123</v>
      </c>
      <c r="FO9" t="s">
        <v>132</v>
      </c>
      <c r="FQ9" t="s">
        <v>132</v>
      </c>
      <c r="GV9" t="s">
        <v>267</v>
      </c>
      <c r="GW9" t="s">
        <v>267</v>
      </c>
      <c r="GX9" t="s">
        <v>267</v>
      </c>
      <c r="GY9" t="s">
        <v>186</v>
      </c>
      <c r="GZ9">
        <v>1988</v>
      </c>
      <c r="HA9" t="s">
        <v>220</v>
      </c>
      <c r="HC9" t="s">
        <v>268</v>
      </c>
      <c r="HD9" t="s">
        <v>268</v>
      </c>
    </row>
    <row r="10" spans="1:213" x14ac:dyDescent="0.45">
      <c r="A10">
        <v>8</v>
      </c>
      <c r="B10">
        <f>_xlfn.IFNA(VLOOKUP(Wszystkie[[#This Row],[Zakończono wypełnianie]],Zakończone[],2,0),"BRAK")</f>
        <v>8</v>
      </c>
      <c r="C10" t="s">
        <v>269</v>
      </c>
      <c r="D10" t="s">
        <v>118</v>
      </c>
      <c r="I10" t="s">
        <v>119</v>
      </c>
      <c r="J10" t="s">
        <v>270</v>
      </c>
      <c r="K10" t="s">
        <v>271</v>
      </c>
      <c r="L10">
        <v>768</v>
      </c>
      <c r="M10">
        <v>0</v>
      </c>
      <c r="N10" t="s">
        <v>122</v>
      </c>
      <c r="O10" s="1" t="s">
        <v>123</v>
      </c>
      <c r="AE10" s="1" t="s">
        <v>124</v>
      </c>
      <c r="AF10" t="s">
        <v>160</v>
      </c>
      <c r="AG10">
        <v>1973</v>
      </c>
      <c r="AH10" t="s">
        <v>148</v>
      </c>
      <c r="AI10" t="s">
        <v>272</v>
      </c>
      <c r="AJ10" t="s">
        <v>169</v>
      </c>
      <c r="AK10" t="s">
        <v>169</v>
      </c>
      <c r="AL10" t="s">
        <v>150</v>
      </c>
      <c r="AM10" t="s">
        <v>129</v>
      </c>
      <c r="AN10" t="s">
        <v>129</v>
      </c>
      <c r="AO10">
        <v>0</v>
      </c>
      <c r="AP10" t="s">
        <v>152</v>
      </c>
      <c r="AQ10" t="s">
        <v>152</v>
      </c>
      <c r="AR10" t="s">
        <v>273</v>
      </c>
      <c r="AS10" t="s">
        <v>274</v>
      </c>
      <c r="AT10" t="s">
        <v>275</v>
      </c>
      <c r="AU10" t="s">
        <v>172</v>
      </c>
      <c r="AW10" s="1" t="s">
        <v>159</v>
      </c>
      <c r="AX10">
        <v>3</v>
      </c>
      <c r="AY10" t="s">
        <v>160</v>
      </c>
      <c r="AZ10" t="s">
        <v>276</v>
      </c>
      <c r="BA10" t="s">
        <v>148</v>
      </c>
      <c r="BB10" t="s">
        <v>277</v>
      </c>
      <c r="BC10" t="s">
        <v>169</v>
      </c>
      <c r="BD10" t="s">
        <v>169</v>
      </c>
      <c r="BE10" t="s">
        <v>236</v>
      </c>
      <c r="BF10" t="s">
        <v>236</v>
      </c>
      <c r="BG10" t="s">
        <v>236</v>
      </c>
      <c r="BH10">
        <v>0</v>
      </c>
      <c r="BI10" t="s">
        <v>278</v>
      </c>
      <c r="BJ10" t="s">
        <v>172</v>
      </c>
      <c r="BM10" t="s">
        <v>173</v>
      </c>
      <c r="CQ10" s="1" t="s">
        <v>123</v>
      </c>
      <c r="DA10" s="1" t="s">
        <v>214</v>
      </c>
      <c r="DB10" t="s">
        <v>279</v>
      </c>
      <c r="DC10" t="s">
        <v>280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281</v>
      </c>
      <c r="DK10" s="1" t="s">
        <v>123</v>
      </c>
      <c r="EN10" s="1" t="s">
        <v>123</v>
      </c>
      <c r="EO10" t="s">
        <v>180</v>
      </c>
      <c r="EP10" t="s">
        <v>132</v>
      </c>
      <c r="FN10" s="1" t="s">
        <v>123</v>
      </c>
      <c r="FO10" t="s">
        <v>132</v>
      </c>
      <c r="FQ10" t="s">
        <v>132</v>
      </c>
      <c r="GV10" t="s">
        <v>282</v>
      </c>
      <c r="GW10" t="s">
        <v>283</v>
      </c>
      <c r="GX10" t="s">
        <v>284</v>
      </c>
      <c r="GY10" t="s">
        <v>186</v>
      </c>
      <c r="GZ10">
        <v>1950</v>
      </c>
      <c r="HA10" t="s">
        <v>141</v>
      </c>
    </row>
    <row r="11" spans="1:213" x14ac:dyDescent="0.45">
      <c r="A11">
        <v>9</v>
      </c>
      <c r="B11" t="str">
        <f>_xlfn.IFNA(VLOOKUP(Wszystkie[[#This Row],[Zakończono wypełnianie]],Zakończone[],2,0),"BRAK")</f>
        <v>BRAK</v>
      </c>
      <c r="C11" t="s">
        <v>285</v>
      </c>
      <c r="D11" t="s">
        <v>118</v>
      </c>
      <c r="I11" t="s">
        <v>286</v>
      </c>
      <c r="J11" t="s">
        <v>287</v>
      </c>
      <c r="K11" t="s">
        <v>287</v>
      </c>
      <c r="L11">
        <v>0</v>
      </c>
      <c r="M11">
        <v>0</v>
      </c>
      <c r="N11" t="s">
        <v>122</v>
      </c>
      <c r="O11" s="1" t="s">
        <v>123</v>
      </c>
      <c r="AE11" s="1" t="s">
        <v>124</v>
      </c>
      <c r="AW11" s="1"/>
      <c r="CQ11" s="1"/>
      <c r="DA11" s="1"/>
      <c r="DK11" s="1"/>
      <c r="EN11" s="1"/>
      <c r="FN11" s="1"/>
    </row>
    <row r="12" spans="1:213" x14ac:dyDescent="0.45">
      <c r="A12">
        <v>10</v>
      </c>
      <c r="B12">
        <f>_xlfn.IFNA(VLOOKUP(Wszystkie[[#This Row],[Zakończono wypełnianie]],Zakończone[],2,0),"BRAK")</f>
        <v>9</v>
      </c>
      <c r="C12" t="s">
        <v>288</v>
      </c>
      <c r="D12" t="s">
        <v>118</v>
      </c>
      <c r="I12" t="s">
        <v>119</v>
      </c>
      <c r="J12" t="s">
        <v>289</v>
      </c>
      <c r="K12" t="s">
        <v>290</v>
      </c>
      <c r="L12">
        <v>4259</v>
      </c>
      <c r="M12">
        <v>0</v>
      </c>
      <c r="N12" t="s">
        <v>122</v>
      </c>
      <c r="O12" s="1" t="s">
        <v>123</v>
      </c>
      <c r="AE12" s="1" t="s">
        <v>124</v>
      </c>
      <c r="AF12" t="s">
        <v>191</v>
      </c>
      <c r="AG12">
        <v>2013</v>
      </c>
      <c r="AH12" t="s">
        <v>126</v>
      </c>
      <c r="AI12" t="s">
        <v>291</v>
      </c>
      <c r="AJ12" t="s">
        <v>150</v>
      </c>
      <c r="AK12" t="s">
        <v>150</v>
      </c>
      <c r="AL12" t="s">
        <v>169</v>
      </c>
      <c r="AM12" t="s">
        <v>151</v>
      </c>
      <c r="AN12" t="s">
        <v>162</v>
      </c>
      <c r="AO12">
        <v>1</v>
      </c>
      <c r="AP12" t="s">
        <v>131</v>
      </c>
      <c r="AQ12" t="s">
        <v>153</v>
      </c>
      <c r="AR12" t="s">
        <v>292</v>
      </c>
      <c r="AS12" t="s">
        <v>293</v>
      </c>
      <c r="AT12" t="s">
        <v>294</v>
      </c>
      <c r="AU12" t="s">
        <v>157</v>
      </c>
      <c r="AW12" s="1" t="s">
        <v>123</v>
      </c>
      <c r="AX12" t="s">
        <v>132</v>
      </c>
      <c r="CQ12" s="1" t="s">
        <v>123</v>
      </c>
      <c r="DA12" s="1" t="s">
        <v>123</v>
      </c>
      <c r="DK12" s="1" t="s">
        <v>123</v>
      </c>
      <c r="EN12" s="1" t="s">
        <v>123</v>
      </c>
      <c r="FN12" s="1" t="s">
        <v>123</v>
      </c>
      <c r="FO12" t="s">
        <v>132</v>
      </c>
      <c r="FQ12" t="s">
        <v>132</v>
      </c>
      <c r="GV12" t="s">
        <v>295</v>
      </c>
      <c r="GW12" t="s">
        <v>296</v>
      </c>
      <c r="GX12" t="s">
        <v>297</v>
      </c>
      <c r="GY12" t="s">
        <v>186</v>
      </c>
      <c r="GZ12">
        <v>1988</v>
      </c>
      <c r="HA12" t="s">
        <v>141</v>
      </c>
    </row>
    <row r="13" spans="1:213" x14ac:dyDescent="0.45">
      <c r="A13">
        <v>11</v>
      </c>
      <c r="B13">
        <f>_xlfn.IFNA(VLOOKUP(Wszystkie[[#This Row],[Zakończono wypełnianie]],Zakończone[],2,0),"BRAK")</f>
        <v>10</v>
      </c>
      <c r="C13" t="s">
        <v>298</v>
      </c>
      <c r="D13" t="s">
        <v>118</v>
      </c>
      <c r="I13" t="s">
        <v>119</v>
      </c>
      <c r="J13" t="s">
        <v>299</v>
      </c>
      <c r="K13" t="s">
        <v>300</v>
      </c>
      <c r="L13">
        <v>1404</v>
      </c>
      <c r="M13">
        <v>0</v>
      </c>
      <c r="N13" t="s">
        <v>122</v>
      </c>
      <c r="O13" s="1" t="s">
        <v>123</v>
      </c>
      <c r="AE13" s="1" t="s">
        <v>124</v>
      </c>
      <c r="AF13" t="s">
        <v>191</v>
      </c>
      <c r="AG13">
        <v>1986</v>
      </c>
      <c r="AH13" t="s">
        <v>126</v>
      </c>
      <c r="AI13" t="s">
        <v>301</v>
      </c>
      <c r="AJ13" t="s">
        <v>150</v>
      </c>
      <c r="AK13" t="s">
        <v>150</v>
      </c>
      <c r="AL13" t="s">
        <v>162</v>
      </c>
      <c r="AM13" t="s">
        <v>151</v>
      </c>
      <c r="AN13" t="s">
        <v>151</v>
      </c>
      <c r="AO13">
        <v>2</v>
      </c>
      <c r="AP13" t="s">
        <v>302</v>
      </c>
      <c r="AQ13" t="s">
        <v>153</v>
      </c>
      <c r="AR13" t="s">
        <v>303</v>
      </c>
      <c r="AS13" t="s">
        <v>304</v>
      </c>
      <c r="AT13" t="s">
        <v>305</v>
      </c>
      <c r="AU13" t="s">
        <v>157</v>
      </c>
      <c r="AW13" s="1" t="s">
        <v>159</v>
      </c>
      <c r="AX13">
        <v>1</v>
      </c>
      <c r="AY13" t="s">
        <v>223</v>
      </c>
      <c r="AZ13">
        <v>2011</v>
      </c>
      <c r="BA13" t="s">
        <v>148</v>
      </c>
      <c r="BB13" t="s">
        <v>127</v>
      </c>
      <c r="BC13" t="s">
        <v>150</v>
      </c>
      <c r="BD13" t="s">
        <v>150</v>
      </c>
      <c r="BE13" t="s">
        <v>169</v>
      </c>
      <c r="BF13" t="s">
        <v>169</v>
      </c>
      <c r="BG13" t="s">
        <v>169</v>
      </c>
      <c r="BH13">
        <v>1</v>
      </c>
      <c r="BI13" t="s">
        <v>306</v>
      </c>
      <c r="BJ13" t="s">
        <v>157</v>
      </c>
      <c r="BL13" t="s">
        <v>307</v>
      </c>
      <c r="BM13" t="s">
        <v>173</v>
      </c>
      <c r="CQ13" s="1" t="s">
        <v>123</v>
      </c>
      <c r="DA13" s="1" t="s">
        <v>214</v>
      </c>
      <c r="DB13" t="s">
        <v>191</v>
      </c>
      <c r="DC13" t="s">
        <v>308</v>
      </c>
      <c r="DD13" t="s">
        <v>150</v>
      </c>
      <c r="DE13" t="s">
        <v>150</v>
      </c>
      <c r="DF13" t="s">
        <v>162</v>
      </c>
      <c r="DG13" t="s">
        <v>150</v>
      </c>
      <c r="DH13" t="s">
        <v>150</v>
      </c>
      <c r="DI13" t="s">
        <v>150</v>
      </c>
      <c r="DJ13" t="s">
        <v>309</v>
      </c>
      <c r="DK13" s="1" t="s">
        <v>123</v>
      </c>
      <c r="EN13" s="1" t="s">
        <v>123</v>
      </c>
      <c r="EO13" t="s">
        <v>180</v>
      </c>
      <c r="EP13" t="s">
        <v>132</v>
      </c>
      <c r="FN13" s="1" t="s">
        <v>123</v>
      </c>
      <c r="FO13" t="s">
        <v>132</v>
      </c>
      <c r="FQ13" t="s">
        <v>132</v>
      </c>
      <c r="GV13" t="s">
        <v>310</v>
      </c>
      <c r="GW13" t="s">
        <v>311</v>
      </c>
      <c r="GX13" t="s">
        <v>312</v>
      </c>
      <c r="GY13" t="s">
        <v>186</v>
      </c>
      <c r="GZ13">
        <v>1963</v>
      </c>
      <c r="HA13" t="s">
        <v>141</v>
      </c>
      <c r="HB13" t="s">
        <v>313</v>
      </c>
      <c r="HC13" t="s">
        <v>314</v>
      </c>
      <c r="HD13" t="s">
        <v>315</v>
      </c>
    </row>
    <row r="14" spans="1:213" x14ac:dyDescent="0.45">
      <c r="A14">
        <v>12</v>
      </c>
      <c r="B14">
        <f>_xlfn.IFNA(VLOOKUP(Wszystkie[[#This Row],[Zakończono wypełnianie]],Zakończone[],2,0),"BRAK")</f>
        <v>11</v>
      </c>
      <c r="C14" t="s">
        <v>316</v>
      </c>
      <c r="D14" t="s">
        <v>118</v>
      </c>
      <c r="I14" t="s">
        <v>119</v>
      </c>
      <c r="J14" t="s">
        <v>317</v>
      </c>
      <c r="K14" t="s">
        <v>318</v>
      </c>
      <c r="L14">
        <v>349</v>
      </c>
      <c r="M14">
        <v>0</v>
      </c>
      <c r="N14" t="s">
        <v>122</v>
      </c>
      <c r="O14" s="1" t="s">
        <v>123</v>
      </c>
      <c r="AE14" s="1" t="s">
        <v>124</v>
      </c>
      <c r="AF14" t="s">
        <v>191</v>
      </c>
      <c r="AG14">
        <v>2010</v>
      </c>
      <c r="AH14" t="s">
        <v>126</v>
      </c>
      <c r="AI14" t="s">
        <v>319</v>
      </c>
      <c r="AJ14" t="s">
        <v>236</v>
      </c>
      <c r="AK14" t="s">
        <v>128</v>
      </c>
      <c r="AL14" t="s">
        <v>162</v>
      </c>
      <c r="AM14" t="s">
        <v>162</v>
      </c>
      <c r="AN14" t="s">
        <v>162</v>
      </c>
      <c r="AO14">
        <v>6</v>
      </c>
      <c r="AP14" t="s">
        <v>131</v>
      </c>
      <c r="AQ14" t="s">
        <v>302</v>
      </c>
      <c r="AR14" t="s">
        <v>320</v>
      </c>
      <c r="AS14" t="s">
        <v>321</v>
      </c>
      <c r="AT14" t="s">
        <v>322</v>
      </c>
      <c r="AU14" t="s">
        <v>157</v>
      </c>
      <c r="AW14" s="1" t="s">
        <v>123</v>
      </c>
      <c r="AX14" t="s">
        <v>132</v>
      </c>
      <c r="CQ14" s="1" t="s">
        <v>123</v>
      </c>
      <c r="DA14" s="1" t="s">
        <v>123</v>
      </c>
      <c r="DK14" s="1" t="s">
        <v>123</v>
      </c>
      <c r="EN14" s="1" t="s">
        <v>123</v>
      </c>
      <c r="EO14" t="s">
        <v>180</v>
      </c>
      <c r="EP14" t="s">
        <v>132</v>
      </c>
      <c r="FN14" s="1" t="s">
        <v>123</v>
      </c>
      <c r="FO14" t="s">
        <v>132</v>
      </c>
      <c r="FQ14" t="s">
        <v>132</v>
      </c>
      <c r="GV14" t="s">
        <v>323</v>
      </c>
      <c r="GW14" t="s">
        <v>324</v>
      </c>
      <c r="GX14" t="s">
        <v>325</v>
      </c>
      <c r="GY14" t="s">
        <v>186</v>
      </c>
      <c r="GZ14">
        <v>1985</v>
      </c>
      <c r="HA14" t="s">
        <v>141</v>
      </c>
    </row>
    <row r="15" spans="1:213" x14ac:dyDescent="0.45">
      <c r="A15">
        <v>14</v>
      </c>
      <c r="B15">
        <f>_xlfn.IFNA(VLOOKUP(Wszystkie[[#This Row],[Zakończono wypełnianie]],Zakończone[],2,0),"BRAK")</f>
        <v>13</v>
      </c>
      <c r="C15" t="s">
        <v>341</v>
      </c>
      <c r="D15" t="s">
        <v>118</v>
      </c>
      <c r="I15" t="s">
        <v>119</v>
      </c>
      <c r="J15" t="s">
        <v>342</v>
      </c>
      <c r="K15" t="s">
        <v>343</v>
      </c>
      <c r="L15">
        <v>11</v>
      </c>
      <c r="M15">
        <v>0</v>
      </c>
      <c r="N15" t="s">
        <v>344</v>
      </c>
      <c r="O15" s="1"/>
      <c r="AE15" s="1"/>
      <c r="AW15" s="1"/>
      <c r="CQ15" s="1"/>
      <c r="DA15" s="1"/>
      <c r="DK15" s="1"/>
      <c r="EN15" s="1"/>
      <c r="FN15" s="1"/>
    </row>
    <row r="16" spans="1:213" x14ac:dyDescent="0.45">
      <c r="A16">
        <v>15</v>
      </c>
      <c r="B16">
        <f>_xlfn.IFNA(VLOOKUP(Wszystkie[[#This Row],[Zakończono wypełnianie]],Zakończone[],2,0),"BRAK")</f>
        <v>14</v>
      </c>
      <c r="C16" t="s">
        <v>341</v>
      </c>
      <c r="D16" t="s">
        <v>118</v>
      </c>
      <c r="I16" t="s">
        <v>119</v>
      </c>
      <c r="J16" t="s">
        <v>345</v>
      </c>
      <c r="K16" t="s">
        <v>346</v>
      </c>
      <c r="L16">
        <v>7</v>
      </c>
      <c r="M16">
        <v>0</v>
      </c>
      <c r="N16" t="s">
        <v>344</v>
      </c>
      <c r="O16" s="1"/>
      <c r="AE16" s="1"/>
      <c r="AW16" s="1"/>
      <c r="CQ16" s="1"/>
      <c r="DA16" s="1"/>
      <c r="DK16" s="1"/>
      <c r="EN16" s="1"/>
      <c r="FN16" s="1"/>
    </row>
    <row r="17" spans="1:211" x14ac:dyDescent="0.45">
      <c r="A17">
        <v>16</v>
      </c>
      <c r="B17">
        <f>_xlfn.IFNA(VLOOKUP(Wszystkie[[#This Row],[Zakończono wypełnianie]],Zakończone[],2,0),"BRAK")</f>
        <v>15</v>
      </c>
      <c r="C17" t="s">
        <v>347</v>
      </c>
      <c r="D17" t="s">
        <v>118</v>
      </c>
      <c r="I17" t="s">
        <v>119</v>
      </c>
      <c r="J17" t="s">
        <v>348</v>
      </c>
      <c r="K17" t="s">
        <v>349</v>
      </c>
      <c r="L17">
        <v>781</v>
      </c>
      <c r="M17">
        <v>0</v>
      </c>
      <c r="N17" t="s">
        <v>122</v>
      </c>
      <c r="O17" s="1" t="s">
        <v>123</v>
      </c>
      <c r="AE17" s="1" t="s">
        <v>124</v>
      </c>
      <c r="AF17" t="s">
        <v>191</v>
      </c>
      <c r="AG17">
        <v>2010</v>
      </c>
      <c r="AH17" t="s">
        <v>126</v>
      </c>
      <c r="AI17" t="s">
        <v>127</v>
      </c>
      <c r="AJ17" t="s">
        <v>150</v>
      </c>
      <c r="AK17" t="s">
        <v>128</v>
      </c>
      <c r="AL17" t="s">
        <v>151</v>
      </c>
      <c r="AM17" t="s">
        <v>162</v>
      </c>
      <c r="AN17" t="s">
        <v>162</v>
      </c>
      <c r="AO17" t="s">
        <v>350</v>
      </c>
      <c r="AP17" t="s">
        <v>302</v>
      </c>
      <c r="AQ17" t="s">
        <v>302</v>
      </c>
      <c r="AR17" t="s">
        <v>351</v>
      </c>
      <c r="AS17" t="s">
        <v>352</v>
      </c>
      <c r="AT17" t="s">
        <v>353</v>
      </c>
      <c r="AU17" t="s">
        <v>157</v>
      </c>
      <c r="AW17" s="1" t="s">
        <v>123</v>
      </c>
      <c r="AX17" t="s">
        <v>132</v>
      </c>
      <c r="CQ17" s="1" t="s">
        <v>123</v>
      </c>
      <c r="DA17" s="1" t="s">
        <v>123</v>
      </c>
      <c r="DK17" s="1" t="s">
        <v>123</v>
      </c>
      <c r="EN17" s="1" t="s">
        <v>123</v>
      </c>
      <c r="EP17" t="s">
        <v>132</v>
      </c>
      <c r="FN17" s="1" t="s">
        <v>123</v>
      </c>
      <c r="FO17" t="s">
        <v>132</v>
      </c>
      <c r="GV17" t="s">
        <v>354</v>
      </c>
      <c r="GW17" t="s">
        <v>355</v>
      </c>
      <c r="GX17" t="s">
        <v>356</v>
      </c>
      <c r="GY17" t="s">
        <v>140</v>
      </c>
      <c r="GZ17">
        <v>1986</v>
      </c>
      <c r="HA17" t="s">
        <v>141</v>
      </c>
      <c r="HC17" t="s">
        <v>357</v>
      </c>
    </row>
    <row r="18" spans="1:211" x14ac:dyDescent="0.45">
      <c r="A18">
        <v>18</v>
      </c>
      <c r="B18" t="str">
        <f>_xlfn.IFNA(VLOOKUP(Wszystkie[[#This Row],[Zakończono wypełnianie]],Zakończone[],2,0),"BRAK")</f>
        <v>BRAK</v>
      </c>
      <c r="C18" t="s">
        <v>370</v>
      </c>
      <c r="D18" t="s">
        <v>118</v>
      </c>
      <c r="E18" t="s">
        <v>359</v>
      </c>
      <c r="I18" t="s">
        <v>286</v>
      </c>
      <c r="J18" t="s">
        <v>371</v>
      </c>
      <c r="K18" t="s">
        <v>371</v>
      </c>
      <c r="L18">
        <v>0</v>
      </c>
      <c r="M18">
        <v>0</v>
      </c>
      <c r="N18" t="s">
        <v>122</v>
      </c>
      <c r="O18" s="1" t="s">
        <v>123</v>
      </c>
      <c r="AE18" s="1" t="s">
        <v>124</v>
      </c>
      <c r="AW18" s="1"/>
      <c r="CQ18" s="1"/>
      <c r="DA18" s="1"/>
      <c r="DK18" s="1"/>
      <c r="EN18" s="1"/>
      <c r="FN18" s="1"/>
    </row>
    <row r="19" spans="1:211" x14ac:dyDescent="0.45">
      <c r="A19">
        <v>17</v>
      </c>
      <c r="B19">
        <f>_xlfn.IFNA(VLOOKUP(Wszystkie[[#This Row],[Zakończono wypełnianie]],Zakończone[],2,0),"BRAK")</f>
        <v>16</v>
      </c>
      <c r="C19" t="s">
        <v>358</v>
      </c>
      <c r="D19" t="s">
        <v>118</v>
      </c>
      <c r="E19" t="s">
        <v>359</v>
      </c>
      <c r="I19" t="s">
        <v>119</v>
      </c>
      <c r="J19" t="s">
        <v>360</v>
      </c>
      <c r="K19" t="s">
        <v>361</v>
      </c>
      <c r="L19">
        <v>1534</v>
      </c>
      <c r="M19">
        <v>0</v>
      </c>
      <c r="N19" t="s">
        <v>122</v>
      </c>
      <c r="O19" s="1" t="s">
        <v>123</v>
      </c>
      <c r="AE19" s="1" t="s">
        <v>124</v>
      </c>
      <c r="AF19" t="s">
        <v>223</v>
      </c>
      <c r="AG19">
        <v>2011</v>
      </c>
      <c r="AH19" t="s">
        <v>148</v>
      </c>
      <c r="AI19" t="s">
        <v>362</v>
      </c>
      <c r="AJ19" t="s">
        <v>151</v>
      </c>
      <c r="AK19" t="s">
        <v>236</v>
      </c>
      <c r="AL19" t="s">
        <v>129</v>
      </c>
      <c r="AM19" t="s">
        <v>129</v>
      </c>
      <c r="AN19" t="s">
        <v>129</v>
      </c>
      <c r="AO19">
        <v>4</v>
      </c>
      <c r="AP19" t="s">
        <v>131</v>
      </c>
      <c r="AQ19" t="s">
        <v>131</v>
      </c>
      <c r="AR19" t="s">
        <v>363</v>
      </c>
      <c r="AS19" t="s">
        <v>364</v>
      </c>
      <c r="AT19" t="s">
        <v>365</v>
      </c>
      <c r="AU19" t="s">
        <v>157</v>
      </c>
      <c r="AW19" s="1" t="s">
        <v>123</v>
      </c>
      <c r="CQ19" s="1" t="s">
        <v>123</v>
      </c>
      <c r="DA19" s="1" t="s">
        <v>123</v>
      </c>
      <c r="DK19" s="1" t="s">
        <v>123</v>
      </c>
      <c r="EN19" s="1" t="s">
        <v>123</v>
      </c>
      <c r="FN19" s="1" t="s">
        <v>123</v>
      </c>
      <c r="FO19" t="s">
        <v>132</v>
      </c>
      <c r="GV19" t="s">
        <v>366</v>
      </c>
      <c r="GW19" t="s">
        <v>367</v>
      </c>
      <c r="GX19" t="s">
        <v>368</v>
      </c>
      <c r="GY19" t="s">
        <v>140</v>
      </c>
      <c r="GZ19">
        <v>1987</v>
      </c>
      <c r="HA19" t="s">
        <v>141</v>
      </c>
      <c r="HC19" t="s">
        <v>369</v>
      </c>
    </row>
    <row r="20" spans="1:211" x14ac:dyDescent="0.45">
      <c r="A20">
        <v>19</v>
      </c>
      <c r="B20" t="str">
        <f>_xlfn.IFNA(VLOOKUP(Wszystkie[[#This Row],[Zakończono wypełnianie]],Zakończone[],2,0),"BRAK")</f>
        <v>BRAK</v>
      </c>
      <c r="C20" t="s">
        <v>372</v>
      </c>
      <c r="D20" t="s">
        <v>118</v>
      </c>
      <c r="E20" t="s">
        <v>359</v>
      </c>
      <c r="I20" t="s">
        <v>286</v>
      </c>
      <c r="J20" t="s">
        <v>373</v>
      </c>
      <c r="K20" t="s">
        <v>373</v>
      </c>
      <c r="L20">
        <v>0</v>
      </c>
      <c r="M20">
        <v>0</v>
      </c>
      <c r="N20" t="s">
        <v>122</v>
      </c>
      <c r="O20" s="1" t="s">
        <v>123</v>
      </c>
      <c r="AE20" s="1" t="s">
        <v>124</v>
      </c>
      <c r="AW20" s="1"/>
      <c r="CQ20" s="1"/>
      <c r="DA20" s="1"/>
      <c r="DK20" s="1"/>
      <c r="EN20" s="1"/>
      <c r="FN20" s="1"/>
    </row>
    <row r="21" spans="1:211" x14ac:dyDescent="0.45">
      <c r="A21">
        <v>20</v>
      </c>
      <c r="B21">
        <f>_xlfn.IFNA(VLOOKUP(Wszystkie[[#This Row],[Zakończono wypełnianie]],Zakończone[],2,0),"BRAK")</f>
        <v>17</v>
      </c>
      <c r="C21" t="s">
        <v>374</v>
      </c>
      <c r="D21" t="s">
        <v>118</v>
      </c>
      <c r="E21" t="s">
        <v>375</v>
      </c>
      <c r="I21" t="s">
        <v>119</v>
      </c>
      <c r="J21" t="s">
        <v>376</v>
      </c>
      <c r="K21" t="s">
        <v>377</v>
      </c>
      <c r="L21">
        <v>14</v>
      </c>
      <c r="M21">
        <v>0</v>
      </c>
      <c r="N21" t="s">
        <v>344</v>
      </c>
      <c r="O21" s="1"/>
      <c r="AE21" s="1"/>
      <c r="AW21" s="1"/>
      <c r="CQ21" s="1"/>
      <c r="DA21" s="1"/>
      <c r="DK21" s="1"/>
      <c r="EN21" s="1"/>
      <c r="FN21" s="1"/>
    </row>
    <row r="22" spans="1:211" x14ac:dyDescent="0.45">
      <c r="A22">
        <v>21</v>
      </c>
      <c r="B22">
        <f>_xlfn.IFNA(VLOOKUP(Wszystkie[[#This Row],[Zakończono wypełnianie]],Zakończone[],2,0),"BRAK")</f>
        <v>18</v>
      </c>
      <c r="C22" t="s">
        <v>378</v>
      </c>
      <c r="D22" t="s">
        <v>118</v>
      </c>
      <c r="I22" t="s">
        <v>119</v>
      </c>
      <c r="J22" t="s">
        <v>379</v>
      </c>
      <c r="K22" t="s">
        <v>380</v>
      </c>
      <c r="L22">
        <v>5438</v>
      </c>
      <c r="M22">
        <v>0</v>
      </c>
      <c r="N22" t="s">
        <v>122</v>
      </c>
      <c r="O22" s="1" t="s">
        <v>123</v>
      </c>
      <c r="AE22" s="1" t="s">
        <v>124</v>
      </c>
      <c r="AF22" t="s">
        <v>381</v>
      </c>
      <c r="AG22">
        <v>1985</v>
      </c>
      <c r="AH22" t="s">
        <v>148</v>
      </c>
      <c r="AI22" t="s">
        <v>382</v>
      </c>
      <c r="AJ22" t="s">
        <v>169</v>
      </c>
      <c r="AK22" t="s">
        <v>169</v>
      </c>
      <c r="AL22" t="s">
        <v>128</v>
      </c>
      <c r="AM22" t="s">
        <v>236</v>
      </c>
      <c r="AN22" t="s">
        <v>236</v>
      </c>
      <c r="AO22" t="s">
        <v>383</v>
      </c>
      <c r="AP22" t="s">
        <v>152</v>
      </c>
      <c r="AQ22" t="s">
        <v>152</v>
      </c>
      <c r="AR22" t="s">
        <v>384</v>
      </c>
      <c r="AS22" t="s">
        <v>385</v>
      </c>
      <c r="AT22" t="s">
        <v>386</v>
      </c>
      <c r="AU22" t="s">
        <v>172</v>
      </c>
      <c r="AW22" s="1" t="s">
        <v>123</v>
      </c>
      <c r="AX22" t="s">
        <v>132</v>
      </c>
      <c r="CQ22" s="1" t="s">
        <v>387</v>
      </c>
      <c r="CR22" t="s">
        <v>388</v>
      </c>
      <c r="CS22" t="s">
        <v>389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390</v>
      </c>
      <c r="DA22" s="1" t="s">
        <v>214</v>
      </c>
      <c r="DB22" t="s">
        <v>391</v>
      </c>
      <c r="DC22" t="s">
        <v>392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393</v>
      </c>
      <c r="DK22" s="1" t="s">
        <v>174</v>
      </c>
      <c r="DL22" t="s">
        <v>394</v>
      </c>
      <c r="DP22" t="s">
        <v>391</v>
      </c>
      <c r="DQ22" t="s">
        <v>169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>
        <v>20</v>
      </c>
      <c r="DY22">
        <v>20</v>
      </c>
      <c r="DZ22">
        <v>0</v>
      </c>
      <c r="EA22">
        <v>15</v>
      </c>
      <c r="EB22">
        <v>30</v>
      </c>
      <c r="EC22">
        <v>0</v>
      </c>
      <c r="ED22">
        <v>15</v>
      </c>
      <c r="EF22">
        <v>30</v>
      </c>
      <c r="EG22">
        <v>20</v>
      </c>
      <c r="EH22">
        <v>0</v>
      </c>
      <c r="EI22">
        <v>10</v>
      </c>
      <c r="EJ22">
        <v>25</v>
      </c>
      <c r="EK22">
        <v>0</v>
      </c>
      <c r="EL22">
        <v>15</v>
      </c>
      <c r="EN22" s="1" t="s">
        <v>123</v>
      </c>
      <c r="EO22" t="s">
        <v>178</v>
      </c>
      <c r="EP22" t="s">
        <v>132</v>
      </c>
      <c r="FN22" s="1" t="s">
        <v>123</v>
      </c>
      <c r="FO22" t="s">
        <v>132</v>
      </c>
      <c r="FQ22" t="s">
        <v>132</v>
      </c>
      <c r="GV22" t="s">
        <v>395</v>
      </c>
      <c r="GW22" t="s">
        <v>396</v>
      </c>
      <c r="GX22" t="s">
        <v>397</v>
      </c>
      <c r="GY22" t="s">
        <v>186</v>
      </c>
      <c r="GZ22">
        <v>1960</v>
      </c>
      <c r="HA22" t="s">
        <v>398</v>
      </c>
    </row>
    <row r="23" spans="1:211" x14ac:dyDescent="0.45">
      <c r="A23">
        <v>22</v>
      </c>
      <c r="B23">
        <f>_xlfn.IFNA(VLOOKUP(Wszystkie[[#This Row],[Zakończono wypełnianie]],Zakończone[],2,0),"BRAK")</f>
        <v>19</v>
      </c>
      <c r="C23" t="s">
        <v>399</v>
      </c>
      <c r="D23" t="s">
        <v>118</v>
      </c>
      <c r="E23" t="s">
        <v>400</v>
      </c>
      <c r="I23" t="s">
        <v>119</v>
      </c>
      <c r="J23" t="s">
        <v>401</v>
      </c>
      <c r="K23" t="s">
        <v>402</v>
      </c>
      <c r="L23">
        <v>1075</v>
      </c>
      <c r="M23">
        <v>0</v>
      </c>
      <c r="N23" t="s">
        <v>122</v>
      </c>
      <c r="O23" s="1" t="s">
        <v>123</v>
      </c>
      <c r="AE23" s="1" t="s">
        <v>124</v>
      </c>
      <c r="AF23" t="s">
        <v>403</v>
      </c>
      <c r="AG23">
        <v>2010</v>
      </c>
      <c r="AH23" t="s">
        <v>148</v>
      </c>
      <c r="AI23" t="s">
        <v>404</v>
      </c>
      <c r="AJ23" t="s">
        <v>151</v>
      </c>
      <c r="AK23" t="s">
        <v>150</v>
      </c>
      <c r="AL23" t="s">
        <v>162</v>
      </c>
      <c r="AM23" t="s">
        <v>150</v>
      </c>
      <c r="AN23" t="s">
        <v>150</v>
      </c>
      <c r="AO23" t="s">
        <v>405</v>
      </c>
      <c r="AP23" t="s">
        <v>131</v>
      </c>
      <c r="AQ23" t="s">
        <v>302</v>
      </c>
      <c r="AR23" t="s">
        <v>406</v>
      </c>
      <c r="AS23" t="s">
        <v>407</v>
      </c>
      <c r="AT23" t="s">
        <v>408</v>
      </c>
      <c r="AU23" t="s">
        <v>230</v>
      </c>
      <c r="AW23" s="1" t="s">
        <v>123</v>
      </c>
      <c r="AX23" t="s">
        <v>132</v>
      </c>
      <c r="CQ23" s="1" t="s">
        <v>123</v>
      </c>
      <c r="DA23" s="1" t="s">
        <v>123</v>
      </c>
      <c r="DK23" s="1" t="s">
        <v>123</v>
      </c>
      <c r="EN23" s="1" t="s">
        <v>123</v>
      </c>
      <c r="EO23" t="s">
        <v>180</v>
      </c>
      <c r="EP23" t="s">
        <v>132</v>
      </c>
      <c r="FN23" s="1" t="s">
        <v>123</v>
      </c>
      <c r="FO23" t="s">
        <v>132</v>
      </c>
      <c r="FQ23" t="s">
        <v>132</v>
      </c>
      <c r="GV23" t="s">
        <v>409</v>
      </c>
      <c r="GW23" t="s">
        <v>410</v>
      </c>
      <c r="GX23" t="s">
        <v>411</v>
      </c>
      <c r="GY23" t="s">
        <v>140</v>
      </c>
      <c r="GZ23">
        <v>1985</v>
      </c>
      <c r="HA23" t="s">
        <v>398</v>
      </c>
      <c r="HC23" t="s">
        <v>412</v>
      </c>
    </row>
    <row r="24" spans="1:211" x14ac:dyDescent="0.45">
      <c r="A24">
        <v>23</v>
      </c>
      <c r="B24" t="str">
        <f>_xlfn.IFNA(VLOOKUP(Wszystkie[[#This Row],[Zakończono wypełnianie]],Zakończone[],2,0),"BRAK")</f>
        <v>BRAK</v>
      </c>
      <c r="C24" t="s">
        <v>372</v>
      </c>
      <c r="D24" t="s">
        <v>118</v>
      </c>
      <c r="I24" t="s">
        <v>286</v>
      </c>
      <c r="J24" t="s">
        <v>413</v>
      </c>
      <c r="K24" t="s">
        <v>413</v>
      </c>
      <c r="L24">
        <v>0</v>
      </c>
      <c r="M24">
        <v>0</v>
      </c>
      <c r="N24" t="s">
        <v>122</v>
      </c>
      <c r="O24" s="1" t="s">
        <v>123</v>
      </c>
      <c r="AE24" s="1" t="s">
        <v>124</v>
      </c>
      <c r="AW24" s="1"/>
      <c r="CQ24" s="1"/>
      <c r="DA24" s="1"/>
      <c r="DK24" s="1"/>
      <c r="EN24" s="1"/>
      <c r="FN24" s="1"/>
    </row>
    <row r="25" spans="1:211" x14ac:dyDescent="0.45">
      <c r="A25">
        <v>24</v>
      </c>
      <c r="B25" t="str">
        <f>_xlfn.IFNA(VLOOKUP(Wszystkie[[#This Row],[Zakończono wypełnianie]],Zakończone[],2,0),"BRAK")</f>
        <v>BRAK</v>
      </c>
      <c r="C25" t="s">
        <v>414</v>
      </c>
      <c r="D25" t="s">
        <v>118</v>
      </c>
      <c r="I25" t="s">
        <v>286</v>
      </c>
      <c r="J25" t="s">
        <v>415</v>
      </c>
      <c r="K25" t="s">
        <v>415</v>
      </c>
      <c r="L25">
        <v>0</v>
      </c>
      <c r="M25">
        <v>0</v>
      </c>
      <c r="N25" t="s">
        <v>122</v>
      </c>
      <c r="O25" s="1" t="s">
        <v>416</v>
      </c>
      <c r="AE25" s="1"/>
      <c r="AW25" s="1"/>
      <c r="CQ25" s="1"/>
      <c r="DA25" s="1"/>
      <c r="DK25" s="1"/>
      <c r="EN25" s="1"/>
      <c r="FN25" s="1"/>
    </row>
    <row r="26" spans="1:211" x14ac:dyDescent="0.45">
      <c r="A26">
        <v>25</v>
      </c>
      <c r="B26" t="str">
        <f>_xlfn.IFNA(VLOOKUP(Wszystkie[[#This Row],[Zakończono wypełnianie]],Zakończone[],2,0),"BRAK")</f>
        <v>BRAK</v>
      </c>
      <c r="C26" t="s">
        <v>417</v>
      </c>
      <c r="D26" t="s">
        <v>118</v>
      </c>
      <c r="E26" t="s">
        <v>400</v>
      </c>
      <c r="I26" t="s">
        <v>286</v>
      </c>
      <c r="J26" t="s">
        <v>418</v>
      </c>
      <c r="K26" t="s">
        <v>418</v>
      </c>
      <c r="L26">
        <v>0</v>
      </c>
      <c r="M26">
        <v>0</v>
      </c>
      <c r="N26" t="s">
        <v>122</v>
      </c>
      <c r="O26" s="1" t="s">
        <v>416</v>
      </c>
      <c r="P26" t="s">
        <v>147</v>
      </c>
      <c r="Q26" t="s">
        <v>148</v>
      </c>
      <c r="R26" t="s">
        <v>419</v>
      </c>
      <c r="S26" t="s">
        <v>150</v>
      </c>
      <c r="T26" t="s">
        <v>169</v>
      </c>
      <c r="U26" t="s">
        <v>169</v>
      </c>
      <c r="V26" t="s">
        <v>420</v>
      </c>
      <c r="W26" t="s">
        <v>153</v>
      </c>
      <c r="X26" t="s">
        <v>302</v>
      </c>
      <c r="Y26" t="s">
        <v>421</v>
      </c>
      <c r="Z26" t="s">
        <v>422</v>
      </c>
      <c r="AA26" t="s">
        <v>423</v>
      </c>
      <c r="AB26" t="s">
        <v>172</v>
      </c>
      <c r="AD26" t="s">
        <v>424</v>
      </c>
      <c r="AE26" s="1" t="s">
        <v>123</v>
      </c>
      <c r="AW26" s="1" t="s">
        <v>123</v>
      </c>
      <c r="AX26" t="s">
        <v>132</v>
      </c>
      <c r="CQ26" s="1" t="s">
        <v>123</v>
      </c>
      <c r="DA26" s="1" t="s">
        <v>123</v>
      </c>
      <c r="DK26" s="1" t="s">
        <v>123</v>
      </c>
      <c r="EN26" s="1" t="s">
        <v>177</v>
      </c>
      <c r="EO26" t="s">
        <v>180</v>
      </c>
      <c r="EP26">
        <v>1</v>
      </c>
      <c r="FN26" s="1"/>
    </row>
    <row r="27" spans="1:211" x14ac:dyDescent="0.45">
      <c r="A27">
        <v>26</v>
      </c>
      <c r="B27">
        <f>_xlfn.IFNA(VLOOKUP(Wszystkie[[#This Row],[Zakończono wypełnianie]],Zakończone[],2,0),"BRAK")</f>
        <v>20</v>
      </c>
      <c r="C27" t="s">
        <v>425</v>
      </c>
      <c r="D27" t="s">
        <v>118</v>
      </c>
      <c r="I27" t="s">
        <v>119</v>
      </c>
      <c r="J27" t="s">
        <v>426</v>
      </c>
      <c r="K27" t="s">
        <v>427</v>
      </c>
      <c r="L27">
        <v>1039</v>
      </c>
      <c r="M27">
        <v>0</v>
      </c>
      <c r="N27" t="s">
        <v>122</v>
      </c>
      <c r="O27" s="1" t="s">
        <v>123</v>
      </c>
      <c r="AE27" s="1" t="s">
        <v>124</v>
      </c>
      <c r="AF27" t="s">
        <v>428</v>
      </c>
      <c r="AG27">
        <v>2011</v>
      </c>
      <c r="AH27" t="s">
        <v>148</v>
      </c>
      <c r="AI27" t="s">
        <v>429</v>
      </c>
      <c r="AJ27" t="s">
        <v>162</v>
      </c>
      <c r="AK27" t="s">
        <v>162</v>
      </c>
      <c r="AL27" t="s">
        <v>128</v>
      </c>
      <c r="AM27" t="s">
        <v>128</v>
      </c>
      <c r="AN27" t="s">
        <v>128</v>
      </c>
      <c r="AO27">
        <v>2</v>
      </c>
      <c r="AP27" t="s">
        <v>131</v>
      </c>
      <c r="AQ27" t="s">
        <v>302</v>
      </c>
      <c r="AR27" t="s">
        <v>430</v>
      </c>
      <c r="AS27" t="s">
        <v>431</v>
      </c>
      <c r="AT27" t="s">
        <v>432</v>
      </c>
      <c r="AU27" t="s">
        <v>157</v>
      </c>
      <c r="AW27" s="1" t="s">
        <v>123</v>
      </c>
      <c r="AX27" t="s">
        <v>132</v>
      </c>
      <c r="CQ27" s="1" t="s">
        <v>123</v>
      </c>
      <c r="DA27" s="1" t="s">
        <v>123</v>
      </c>
      <c r="DK27" s="1" t="s">
        <v>123</v>
      </c>
      <c r="EN27" s="1" t="s">
        <v>123</v>
      </c>
      <c r="EO27" t="s">
        <v>180</v>
      </c>
      <c r="EP27" t="s">
        <v>132</v>
      </c>
      <c r="FN27" s="1" t="s">
        <v>123</v>
      </c>
      <c r="FO27" t="s">
        <v>132</v>
      </c>
      <c r="FQ27" t="s">
        <v>132</v>
      </c>
      <c r="GV27" t="s">
        <v>433</v>
      </c>
      <c r="GW27" t="s">
        <v>434</v>
      </c>
      <c r="GX27" t="s">
        <v>435</v>
      </c>
      <c r="GY27" t="s">
        <v>140</v>
      </c>
      <c r="GZ27">
        <v>1987</v>
      </c>
      <c r="HA27" t="s">
        <v>141</v>
      </c>
    </row>
    <row r="28" spans="1:211" x14ac:dyDescent="0.45">
      <c r="A28">
        <v>27</v>
      </c>
      <c r="B28" t="str">
        <f>_xlfn.IFNA(VLOOKUP(Wszystkie[[#This Row],[Zakończono wypełnianie]],Zakończone[],2,0),"BRAK")</f>
        <v>BRAK</v>
      </c>
      <c r="C28" t="s">
        <v>436</v>
      </c>
      <c r="D28" t="s">
        <v>118</v>
      </c>
      <c r="I28" t="s">
        <v>286</v>
      </c>
      <c r="J28" t="s">
        <v>437</v>
      </c>
      <c r="K28" t="s">
        <v>437</v>
      </c>
      <c r="L28">
        <v>0</v>
      </c>
      <c r="M28">
        <v>0</v>
      </c>
      <c r="N28" t="s">
        <v>122</v>
      </c>
      <c r="O28" s="1" t="s">
        <v>123</v>
      </c>
      <c r="AE28" s="1" t="s">
        <v>124</v>
      </c>
      <c r="AW28" s="1"/>
      <c r="CQ28" s="1"/>
      <c r="DA28" s="1"/>
      <c r="DK28" s="1"/>
      <c r="EN28" s="1"/>
      <c r="FN28" s="1"/>
    </row>
    <row r="29" spans="1:211" x14ac:dyDescent="0.45">
      <c r="A29">
        <v>28</v>
      </c>
      <c r="B29" t="str">
        <f>_xlfn.IFNA(VLOOKUP(Wszystkie[[#This Row],[Zakończono wypełnianie]],Zakończone[],2,0),"BRAK")</f>
        <v>BRAK</v>
      </c>
      <c r="C29" t="s">
        <v>438</v>
      </c>
      <c r="D29" t="s">
        <v>118</v>
      </c>
      <c r="I29" t="s">
        <v>286</v>
      </c>
      <c r="J29" t="s">
        <v>439</v>
      </c>
      <c r="K29" t="s">
        <v>439</v>
      </c>
      <c r="L29">
        <v>0</v>
      </c>
      <c r="M29">
        <v>0</v>
      </c>
      <c r="N29" t="s">
        <v>122</v>
      </c>
      <c r="O29" s="1" t="s">
        <v>416</v>
      </c>
      <c r="AE29" s="1"/>
      <c r="AW29" s="1"/>
      <c r="CQ29" s="1"/>
      <c r="DA29" s="1"/>
      <c r="DK29" s="1"/>
      <c r="EN29" s="1"/>
      <c r="FN29" s="1"/>
    </row>
    <row r="30" spans="1:211" x14ac:dyDescent="0.45">
      <c r="A30">
        <v>29</v>
      </c>
      <c r="B30" t="str">
        <f>_xlfn.IFNA(VLOOKUP(Wszystkie[[#This Row],[Zakończono wypełnianie]],Zakończone[],2,0),"BRAK")</f>
        <v>BRAK</v>
      </c>
      <c r="C30" t="s">
        <v>440</v>
      </c>
      <c r="D30" t="s">
        <v>118</v>
      </c>
      <c r="I30" t="s">
        <v>286</v>
      </c>
      <c r="J30" t="s">
        <v>441</v>
      </c>
      <c r="K30" t="s">
        <v>441</v>
      </c>
      <c r="L30">
        <v>0</v>
      </c>
      <c r="M30">
        <v>0</v>
      </c>
      <c r="N30" t="s">
        <v>122</v>
      </c>
      <c r="O30" s="1" t="s">
        <v>123</v>
      </c>
      <c r="AE30" s="1" t="s">
        <v>124</v>
      </c>
      <c r="AW30" s="1"/>
      <c r="CQ30" s="1"/>
      <c r="DA30" s="1"/>
      <c r="DK30" s="1"/>
      <c r="EN30" s="1"/>
      <c r="FN30" s="1"/>
    </row>
    <row r="31" spans="1:211" x14ac:dyDescent="0.45">
      <c r="A31">
        <v>31</v>
      </c>
      <c r="B31" t="str">
        <f>_xlfn.IFNA(VLOOKUP(Wszystkie[[#This Row],[Zakończono wypełnianie]],Zakończone[],2,0),"BRAK")</f>
        <v>BRAK</v>
      </c>
      <c r="C31" t="s">
        <v>442</v>
      </c>
      <c r="D31" t="s">
        <v>118</v>
      </c>
      <c r="E31" t="s">
        <v>359</v>
      </c>
      <c r="I31" t="s">
        <v>286</v>
      </c>
      <c r="J31" t="s">
        <v>457</v>
      </c>
      <c r="K31" t="s">
        <v>457</v>
      </c>
      <c r="L31">
        <v>0</v>
      </c>
      <c r="M31">
        <v>0</v>
      </c>
      <c r="N31" t="s">
        <v>122</v>
      </c>
      <c r="O31" s="1" t="s">
        <v>416</v>
      </c>
      <c r="AE31" s="1"/>
      <c r="AW31" s="1"/>
      <c r="CQ31" s="1"/>
      <c r="DA31" s="1"/>
      <c r="DK31" s="1"/>
      <c r="EN31" s="1"/>
      <c r="FN31" s="1"/>
    </row>
    <row r="32" spans="1:211" x14ac:dyDescent="0.45">
      <c r="A32">
        <v>35</v>
      </c>
      <c r="B32" t="str">
        <f>_xlfn.IFNA(VLOOKUP(Wszystkie[[#This Row],[Zakończono wypełnianie]],Zakończone[],2,0),"BRAK")</f>
        <v>BRAK</v>
      </c>
      <c r="C32" t="s">
        <v>496</v>
      </c>
      <c r="D32" t="s">
        <v>118</v>
      </c>
      <c r="E32" t="s">
        <v>375</v>
      </c>
      <c r="I32" t="s">
        <v>286</v>
      </c>
      <c r="J32" t="s">
        <v>497</v>
      </c>
      <c r="K32" t="s">
        <v>497</v>
      </c>
      <c r="L32">
        <v>0</v>
      </c>
      <c r="M32">
        <v>0</v>
      </c>
      <c r="N32" t="s">
        <v>122</v>
      </c>
      <c r="O32" s="1" t="s">
        <v>416</v>
      </c>
      <c r="AE32" s="1"/>
      <c r="AW32" s="1"/>
      <c r="CQ32" s="1"/>
      <c r="DA32" s="1"/>
      <c r="DK32" s="1"/>
      <c r="EN32" s="1"/>
      <c r="FN32" s="1"/>
    </row>
    <row r="33" spans="1:212" x14ac:dyDescent="0.45">
      <c r="A33">
        <v>32</v>
      </c>
      <c r="B33">
        <f>_xlfn.IFNA(VLOOKUP(Wszystkie[[#This Row],[Zakończono wypełnianie]],Zakończone[],2,0),"BRAK")</f>
        <v>22</v>
      </c>
      <c r="C33" t="s">
        <v>458</v>
      </c>
      <c r="D33" t="s">
        <v>118</v>
      </c>
      <c r="E33" t="s">
        <v>359</v>
      </c>
      <c r="I33" t="s">
        <v>119</v>
      </c>
      <c r="J33" t="s">
        <v>459</v>
      </c>
      <c r="K33" t="s">
        <v>460</v>
      </c>
      <c r="L33">
        <v>490</v>
      </c>
      <c r="M33">
        <v>0</v>
      </c>
      <c r="N33" t="s">
        <v>122</v>
      </c>
      <c r="O33" s="1" t="s">
        <v>416</v>
      </c>
      <c r="P33" t="s">
        <v>445</v>
      </c>
      <c r="Q33" t="s">
        <v>148</v>
      </c>
      <c r="R33" t="s">
        <v>461</v>
      </c>
      <c r="S33" t="s">
        <v>169</v>
      </c>
      <c r="T33" t="s">
        <v>169</v>
      </c>
      <c r="U33" t="s">
        <v>169</v>
      </c>
      <c r="V33" t="s">
        <v>462</v>
      </c>
      <c r="W33" t="s">
        <v>302</v>
      </c>
      <c r="X33" t="s">
        <v>302</v>
      </c>
      <c r="Y33" t="s">
        <v>463</v>
      </c>
      <c r="Z33" t="s">
        <v>464</v>
      </c>
      <c r="AA33" t="s">
        <v>465</v>
      </c>
      <c r="AB33" t="s">
        <v>157</v>
      </c>
      <c r="AC33" t="s">
        <v>466</v>
      </c>
      <c r="AD33" t="s">
        <v>467</v>
      </c>
      <c r="AE33" s="1" t="s">
        <v>123</v>
      </c>
      <c r="AW33" s="1" t="s">
        <v>123</v>
      </c>
      <c r="AX33" t="s">
        <v>132</v>
      </c>
      <c r="CQ33" s="1" t="s">
        <v>123</v>
      </c>
      <c r="DA33" s="1" t="s">
        <v>123</v>
      </c>
      <c r="DK33" s="1" t="s">
        <v>123</v>
      </c>
      <c r="EN33" s="1" t="s">
        <v>123</v>
      </c>
      <c r="EO33" t="s">
        <v>180</v>
      </c>
      <c r="EP33" t="s">
        <v>132</v>
      </c>
      <c r="FN33" s="1" t="s">
        <v>123</v>
      </c>
      <c r="FO33" t="s">
        <v>132</v>
      </c>
      <c r="FQ33" t="s">
        <v>132</v>
      </c>
      <c r="GV33" t="s">
        <v>468</v>
      </c>
      <c r="GW33" t="s">
        <v>469</v>
      </c>
      <c r="GX33" t="s">
        <v>142</v>
      </c>
      <c r="GY33" t="s">
        <v>140</v>
      </c>
      <c r="GZ33">
        <v>1996</v>
      </c>
      <c r="HA33" t="s">
        <v>141</v>
      </c>
      <c r="HC33" t="s">
        <v>470</v>
      </c>
      <c r="HD33" t="s">
        <v>471</v>
      </c>
    </row>
    <row r="34" spans="1:212" x14ac:dyDescent="0.45">
      <c r="A34">
        <v>34</v>
      </c>
      <c r="B34">
        <f>_xlfn.IFNA(VLOOKUP(Wszystkie[[#This Row],[Zakończono wypełnianie]],Zakończone[],2,0),"BRAK")</f>
        <v>24</v>
      </c>
      <c r="C34" t="s">
        <v>484</v>
      </c>
      <c r="D34" t="s">
        <v>118</v>
      </c>
      <c r="E34" t="s">
        <v>359</v>
      </c>
      <c r="I34" t="s">
        <v>119</v>
      </c>
      <c r="J34" t="s">
        <v>485</v>
      </c>
      <c r="K34" t="s">
        <v>486</v>
      </c>
      <c r="L34">
        <v>709</v>
      </c>
      <c r="M34">
        <v>0</v>
      </c>
      <c r="N34" t="s">
        <v>122</v>
      </c>
      <c r="O34" s="1" t="s">
        <v>123</v>
      </c>
      <c r="AE34" s="1" t="s">
        <v>124</v>
      </c>
      <c r="AF34" t="s">
        <v>445</v>
      </c>
      <c r="AG34">
        <v>2018</v>
      </c>
      <c r="AH34" t="s">
        <v>148</v>
      </c>
      <c r="AI34" t="s">
        <v>487</v>
      </c>
      <c r="AJ34" t="s">
        <v>162</v>
      </c>
      <c r="AK34" t="s">
        <v>162</v>
      </c>
      <c r="AL34" t="s">
        <v>151</v>
      </c>
      <c r="AM34" t="s">
        <v>129</v>
      </c>
      <c r="AN34" t="s">
        <v>151</v>
      </c>
      <c r="AO34">
        <v>2</v>
      </c>
      <c r="AP34" t="s">
        <v>131</v>
      </c>
      <c r="AQ34" t="s">
        <v>153</v>
      </c>
      <c r="AR34" t="s">
        <v>488</v>
      </c>
      <c r="AS34" t="s">
        <v>489</v>
      </c>
      <c r="AT34" t="s">
        <v>490</v>
      </c>
      <c r="AU34" t="s">
        <v>157</v>
      </c>
      <c r="AW34" s="1" t="s">
        <v>123</v>
      </c>
      <c r="CQ34" s="1" t="s">
        <v>123</v>
      </c>
      <c r="DA34" s="1" t="s">
        <v>123</v>
      </c>
      <c r="DK34" s="1" t="s">
        <v>123</v>
      </c>
      <c r="EN34" s="1" t="s">
        <v>123</v>
      </c>
      <c r="EO34" t="s">
        <v>180</v>
      </c>
      <c r="FN34" s="1" t="s">
        <v>123</v>
      </c>
      <c r="FO34" t="s">
        <v>132</v>
      </c>
      <c r="FQ34" t="s">
        <v>132</v>
      </c>
      <c r="GV34" t="s">
        <v>491</v>
      </c>
      <c r="GW34" t="s">
        <v>492</v>
      </c>
      <c r="GX34" t="s">
        <v>493</v>
      </c>
      <c r="GY34" t="s">
        <v>186</v>
      </c>
      <c r="GZ34">
        <v>1994</v>
      </c>
      <c r="HA34" t="s">
        <v>483</v>
      </c>
      <c r="HC34" t="s">
        <v>494</v>
      </c>
      <c r="HD34" t="s">
        <v>495</v>
      </c>
    </row>
    <row r="35" spans="1:212" x14ac:dyDescent="0.45">
      <c r="A35">
        <v>36</v>
      </c>
      <c r="B35" t="str">
        <f>_xlfn.IFNA(VLOOKUP(Wszystkie[[#This Row],[Zakończono wypełnianie]],Zakończone[],2,0),"BRAK")</f>
        <v>BRAK</v>
      </c>
      <c r="C35" t="s">
        <v>498</v>
      </c>
      <c r="D35" t="s">
        <v>118</v>
      </c>
      <c r="E35" t="s">
        <v>375</v>
      </c>
      <c r="I35" t="s">
        <v>286</v>
      </c>
      <c r="J35" t="s">
        <v>499</v>
      </c>
      <c r="K35" t="s">
        <v>499</v>
      </c>
      <c r="L35">
        <v>0</v>
      </c>
      <c r="M35">
        <v>0</v>
      </c>
      <c r="N35" t="s">
        <v>122</v>
      </c>
      <c r="O35" s="1" t="s">
        <v>416</v>
      </c>
      <c r="AE35" s="1"/>
      <c r="AW35" s="1"/>
      <c r="CQ35" s="1"/>
      <c r="DA35" s="1"/>
      <c r="DK35" s="1"/>
      <c r="EN35" s="1"/>
      <c r="FN35" s="1"/>
    </row>
    <row r="36" spans="1:212" x14ac:dyDescent="0.45">
      <c r="A36">
        <v>37</v>
      </c>
      <c r="B36">
        <f>_xlfn.IFNA(VLOOKUP(Wszystkie[[#This Row],[Zakończono wypełnianie]],Zakończone[],2,0),"BRAK")</f>
        <v>25</v>
      </c>
      <c r="C36" t="s">
        <v>500</v>
      </c>
      <c r="D36" t="s">
        <v>118</v>
      </c>
      <c r="E36" t="s">
        <v>375</v>
      </c>
      <c r="I36" t="s">
        <v>119</v>
      </c>
      <c r="J36" t="s">
        <v>499</v>
      </c>
      <c r="K36" t="s">
        <v>501</v>
      </c>
      <c r="L36">
        <v>394</v>
      </c>
      <c r="M36">
        <v>0</v>
      </c>
      <c r="N36" t="s">
        <v>122</v>
      </c>
      <c r="O36" s="1" t="s">
        <v>123</v>
      </c>
      <c r="AE36" s="1" t="s">
        <v>124</v>
      </c>
      <c r="AF36" t="s">
        <v>445</v>
      </c>
      <c r="AG36">
        <v>2019</v>
      </c>
      <c r="AH36" t="s">
        <v>148</v>
      </c>
      <c r="AI36" t="s">
        <v>502</v>
      </c>
      <c r="AJ36" t="s">
        <v>162</v>
      </c>
      <c r="AK36" t="s">
        <v>162</v>
      </c>
      <c r="AL36" t="s">
        <v>162</v>
      </c>
      <c r="AM36" t="s">
        <v>150</v>
      </c>
      <c r="AN36" t="s">
        <v>132</v>
      </c>
      <c r="AO36">
        <v>0</v>
      </c>
      <c r="AP36" t="s">
        <v>153</v>
      </c>
      <c r="AQ36" t="s">
        <v>132</v>
      </c>
      <c r="AR36" t="s">
        <v>503</v>
      </c>
      <c r="AS36" t="s">
        <v>504</v>
      </c>
      <c r="AT36" t="s">
        <v>505</v>
      </c>
      <c r="AU36" t="s">
        <v>157</v>
      </c>
      <c r="AW36" s="1" t="s">
        <v>123</v>
      </c>
      <c r="AX36" t="s">
        <v>132</v>
      </c>
      <c r="CQ36" s="1" t="s">
        <v>123</v>
      </c>
      <c r="DA36" s="1" t="s">
        <v>123</v>
      </c>
      <c r="DK36" s="1" t="s">
        <v>123</v>
      </c>
      <c r="EN36" s="1" t="s">
        <v>123</v>
      </c>
      <c r="EO36" t="s">
        <v>180</v>
      </c>
      <c r="EP36" t="s">
        <v>132</v>
      </c>
      <c r="FN36" s="1" t="s">
        <v>123</v>
      </c>
      <c r="FO36" t="s">
        <v>132</v>
      </c>
      <c r="FQ36" t="s">
        <v>132</v>
      </c>
      <c r="GV36" t="s">
        <v>506</v>
      </c>
      <c r="GW36" t="s">
        <v>507</v>
      </c>
      <c r="GX36" t="s">
        <v>508</v>
      </c>
      <c r="GY36" t="s">
        <v>140</v>
      </c>
      <c r="GZ36">
        <v>1994</v>
      </c>
      <c r="HA36" t="s">
        <v>220</v>
      </c>
      <c r="HC36" t="s">
        <v>509</v>
      </c>
      <c r="HD36" t="s">
        <v>510</v>
      </c>
    </row>
    <row r="37" spans="1:212" x14ac:dyDescent="0.45">
      <c r="A37">
        <v>39</v>
      </c>
      <c r="B37" t="str">
        <f>_xlfn.IFNA(VLOOKUP(Wszystkie[[#This Row],[Zakończono wypełnianie]],Zakończone[],2,0),"BRAK")</f>
        <v>BRAK</v>
      </c>
      <c r="C37" t="s">
        <v>522</v>
      </c>
      <c r="D37" t="s">
        <v>118</v>
      </c>
      <c r="E37" t="s">
        <v>375</v>
      </c>
      <c r="I37" t="s">
        <v>286</v>
      </c>
      <c r="J37" t="s">
        <v>523</v>
      </c>
      <c r="K37" t="s">
        <v>523</v>
      </c>
      <c r="L37">
        <v>0</v>
      </c>
      <c r="M37">
        <v>0</v>
      </c>
      <c r="N37" t="s">
        <v>122</v>
      </c>
      <c r="O37" s="1" t="s">
        <v>416</v>
      </c>
      <c r="AE37" s="1"/>
      <c r="AW37" s="1"/>
      <c r="CQ37" s="1"/>
      <c r="DA37" s="1"/>
      <c r="DK37" s="1"/>
      <c r="EN37" s="1"/>
      <c r="FN37" s="1"/>
    </row>
    <row r="38" spans="1:212" x14ac:dyDescent="0.45">
      <c r="A38">
        <v>40</v>
      </c>
      <c r="B38" t="str">
        <f>_xlfn.IFNA(VLOOKUP(Wszystkie[[#This Row],[Zakończono wypełnianie]],Zakończone[],2,0),"BRAK")</f>
        <v>BRAK</v>
      </c>
      <c r="C38" t="s">
        <v>524</v>
      </c>
      <c r="D38" t="s">
        <v>118</v>
      </c>
      <c r="E38" t="s">
        <v>525</v>
      </c>
      <c r="I38" t="s">
        <v>286</v>
      </c>
      <c r="J38" t="s">
        <v>526</v>
      </c>
      <c r="K38" t="s">
        <v>526</v>
      </c>
      <c r="L38">
        <v>0</v>
      </c>
      <c r="M38">
        <v>0</v>
      </c>
      <c r="N38" t="s">
        <v>122</v>
      </c>
      <c r="O38" s="1" t="s">
        <v>123</v>
      </c>
      <c r="AE38" s="1" t="s">
        <v>124</v>
      </c>
      <c r="AW38" s="1"/>
      <c r="CQ38" s="1"/>
      <c r="DA38" s="1"/>
      <c r="DK38" s="1"/>
      <c r="EN38" s="1"/>
      <c r="FN38" s="1"/>
    </row>
    <row r="39" spans="1:212" x14ac:dyDescent="0.45">
      <c r="A39">
        <v>38</v>
      </c>
      <c r="B39">
        <f>_xlfn.IFNA(VLOOKUP(Wszystkie[[#This Row],[Zakończono wypełnianie]],Zakończone[],2,0),"BRAK")</f>
        <v>26</v>
      </c>
      <c r="C39" t="s">
        <v>511</v>
      </c>
      <c r="D39" t="s">
        <v>118</v>
      </c>
      <c r="E39" t="s">
        <v>375</v>
      </c>
      <c r="I39" t="s">
        <v>119</v>
      </c>
      <c r="J39" t="s">
        <v>512</v>
      </c>
      <c r="K39" t="s">
        <v>513</v>
      </c>
      <c r="L39">
        <v>424</v>
      </c>
      <c r="M39">
        <v>0</v>
      </c>
      <c r="N39" t="s">
        <v>122</v>
      </c>
      <c r="O39" s="1" t="s">
        <v>123</v>
      </c>
      <c r="AE39" s="1" t="s">
        <v>124</v>
      </c>
      <c r="AF39" t="s">
        <v>445</v>
      </c>
      <c r="AG39">
        <v>2018</v>
      </c>
      <c r="AH39" t="s">
        <v>148</v>
      </c>
      <c r="AI39" t="s">
        <v>514</v>
      </c>
      <c r="AJ39" t="s">
        <v>150</v>
      </c>
      <c r="AK39" t="s">
        <v>169</v>
      </c>
      <c r="AL39" t="s">
        <v>169</v>
      </c>
      <c r="AM39" t="s">
        <v>150</v>
      </c>
      <c r="AN39" t="s">
        <v>132</v>
      </c>
      <c r="AO39" t="s">
        <v>515</v>
      </c>
      <c r="AP39" t="s">
        <v>302</v>
      </c>
      <c r="AQ39" t="s">
        <v>132</v>
      </c>
      <c r="AR39" t="s">
        <v>516</v>
      </c>
      <c r="AS39" t="s">
        <v>517</v>
      </c>
      <c r="AT39" t="s">
        <v>142</v>
      </c>
      <c r="AU39" t="s">
        <v>157</v>
      </c>
      <c r="AW39" s="1" t="s">
        <v>123</v>
      </c>
      <c r="AX39" t="s">
        <v>132</v>
      </c>
      <c r="CQ39" s="1" t="s">
        <v>123</v>
      </c>
      <c r="DA39" s="1" t="s">
        <v>214</v>
      </c>
      <c r="DB39" t="s">
        <v>445</v>
      </c>
      <c r="DC39" t="s">
        <v>518</v>
      </c>
      <c r="DD39" t="s">
        <v>169</v>
      </c>
      <c r="DE39" t="s">
        <v>150</v>
      </c>
      <c r="DF39" t="s">
        <v>162</v>
      </c>
      <c r="DG39" t="s">
        <v>150</v>
      </c>
      <c r="DH39" t="s">
        <v>150</v>
      </c>
      <c r="DI39" t="s">
        <v>151</v>
      </c>
      <c r="DK39" s="1" t="s">
        <v>123</v>
      </c>
      <c r="EN39" s="1" t="s">
        <v>123</v>
      </c>
      <c r="EO39" t="s">
        <v>180</v>
      </c>
      <c r="EP39" t="s">
        <v>132</v>
      </c>
      <c r="FN39" s="1" t="s">
        <v>123</v>
      </c>
      <c r="FO39" t="s">
        <v>132</v>
      </c>
      <c r="FQ39" t="s">
        <v>132</v>
      </c>
      <c r="GV39" t="s">
        <v>519</v>
      </c>
      <c r="GW39" t="s">
        <v>520</v>
      </c>
      <c r="GX39" t="s">
        <v>142</v>
      </c>
      <c r="GY39" t="s">
        <v>186</v>
      </c>
      <c r="GZ39">
        <v>1994</v>
      </c>
      <c r="HA39" t="s">
        <v>141</v>
      </c>
      <c r="HD39" t="s">
        <v>521</v>
      </c>
    </row>
    <row r="40" spans="1:212" x14ac:dyDescent="0.45">
      <c r="A40">
        <v>41</v>
      </c>
      <c r="B40">
        <f>_xlfn.IFNA(VLOOKUP(Wszystkie[[#This Row],[Zakończono wypełnianie]],Zakończone[],2,0),"BRAK")</f>
        <v>27</v>
      </c>
      <c r="C40" t="s">
        <v>527</v>
      </c>
      <c r="D40" t="s">
        <v>118</v>
      </c>
      <c r="I40" t="s">
        <v>119</v>
      </c>
      <c r="J40" t="s">
        <v>528</v>
      </c>
      <c r="K40" t="s">
        <v>529</v>
      </c>
      <c r="L40">
        <v>283</v>
      </c>
      <c r="M40">
        <v>0</v>
      </c>
      <c r="N40" t="s">
        <v>122</v>
      </c>
      <c r="O40" s="1" t="s">
        <v>416</v>
      </c>
      <c r="P40" t="s">
        <v>445</v>
      </c>
      <c r="Q40" t="s">
        <v>148</v>
      </c>
      <c r="R40" t="s">
        <v>461</v>
      </c>
      <c r="S40" t="s">
        <v>169</v>
      </c>
      <c r="T40" t="s">
        <v>162</v>
      </c>
      <c r="U40" t="s">
        <v>162</v>
      </c>
      <c r="V40" t="s">
        <v>530</v>
      </c>
      <c r="W40" t="s">
        <v>131</v>
      </c>
      <c r="X40" t="s">
        <v>153</v>
      </c>
      <c r="Z40" t="s">
        <v>531</v>
      </c>
      <c r="AA40" t="s">
        <v>532</v>
      </c>
      <c r="AB40" t="s">
        <v>172</v>
      </c>
      <c r="AD40" t="s">
        <v>533</v>
      </c>
      <c r="AE40" s="1" t="s">
        <v>123</v>
      </c>
      <c r="AW40" s="1" t="s">
        <v>123</v>
      </c>
      <c r="CQ40" s="1" t="s">
        <v>123</v>
      </c>
      <c r="DA40" s="1" t="s">
        <v>123</v>
      </c>
      <c r="DK40" s="1" t="s">
        <v>123</v>
      </c>
      <c r="EN40" s="1" t="s">
        <v>123</v>
      </c>
      <c r="FN40" s="1" t="s">
        <v>123</v>
      </c>
      <c r="FO40" t="s">
        <v>132</v>
      </c>
      <c r="GV40" t="s">
        <v>534</v>
      </c>
      <c r="GW40" t="s">
        <v>535</v>
      </c>
      <c r="GX40" t="s">
        <v>532</v>
      </c>
      <c r="GY40" t="s">
        <v>140</v>
      </c>
      <c r="GZ40">
        <v>1996</v>
      </c>
      <c r="HA40" t="s">
        <v>483</v>
      </c>
      <c r="HC40" t="s">
        <v>536</v>
      </c>
      <c r="HD40" t="s">
        <v>537</v>
      </c>
    </row>
    <row r="41" spans="1:212" x14ac:dyDescent="0.45">
      <c r="A41">
        <v>42</v>
      </c>
      <c r="B41" t="str">
        <f>_xlfn.IFNA(VLOOKUP(Wszystkie[[#This Row],[Zakończono wypełnianie]],Zakończone[],2,0),"BRAK")</f>
        <v>BRAK</v>
      </c>
      <c r="C41" t="s">
        <v>538</v>
      </c>
      <c r="D41" t="s">
        <v>118</v>
      </c>
      <c r="E41" t="s">
        <v>375</v>
      </c>
      <c r="I41" t="s">
        <v>286</v>
      </c>
      <c r="J41" t="s">
        <v>539</v>
      </c>
      <c r="K41" t="s">
        <v>539</v>
      </c>
      <c r="L41">
        <v>0</v>
      </c>
      <c r="M41">
        <v>0</v>
      </c>
      <c r="N41" t="s">
        <v>122</v>
      </c>
      <c r="O41" s="1" t="s">
        <v>123</v>
      </c>
      <c r="AE41" s="1" t="s">
        <v>124</v>
      </c>
      <c r="AW41" s="1"/>
      <c r="CQ41" s="1"/>
      <c r="DA41" s="1"/>
      <c r="DK41" s="1"/>
      <c r="EN41" s="1"/>
      <c r="FN41" s="1"/>
    </row>
    <row r="42" spans="1:212" x14ac:dyDescent="0.45">
      <c r="A42">
        <v>43</v>
      </c>
      <c r="B42" t="str">
        <f>_xlfn.IFNA(VLOOKUP(Wszystkie[[#This Row],[Zakończono wypełnianie]],Zakończone[],2,0),"BRAK")</f>
        <v>BRAK</v>
      </c>
      <c r="C42" t="s">
        <v>540</v>
      </c>
      <c r="D42" t="s">
        <v>118</v>
      </c>
      <c r="E42" t="s">
        <v>375</v>
      </c>
      <c r="I42" t="s">
        <v>286</v>
      </c>
      <c r="J42" t="s">
        <v>541</v>
      </c>
      <c r="K42" t="s">
        <v>541</v>
      </c>
      <c r="L42">
        <v>0</v>
      </c>
      <c r="M42">
        <v>0</v>
      </c>
      <c r="N42" t="s">
        <v>122</v>
      </c>
      <c r="O42" s="1" t="s">
        <v>416</v>
      </c>
      <c r="P42" t="s">
        <v>445</v>
      </c>
      <c r="Q42" t="s">
        <v>148</v>
      </c>
      <c r="R42" t="s">
        <v>446</v>
      </c>
      <c r="S42" t="s">
        <v>162</v>
      </c>
      <c r="T42" t="s">
        <v>151</v>
      </c>
      <c r="U42" t="s">
        <v>162</v>
      </c>
      <c r="V42" t="s">
        <v>542</v>
      </c>
      <c r="W42" t="s">
        <v>131</v>
      </c>
      <c r="X42" t="s">
        <v>131</v>
      </c>
      <c r="Y42" t="s">
        <v>543</v>
      </c>
      <c r="Z42" t="s">
        <v>544</v>
      </c>
      <c r="AA42" t="s">
        <v>545</v>
      </c>
      <c r="AB42" t="s">
        <v>172</v>
      </c>
      <c r="AD42" t="s">
        <v>546</v>
      </c>
      <c r="AE42" s="1" t="s">
        <v>123</v>
      </c>
      <c r="AW42" s="1" t="s">
        <v>123</v>
      </c>
      <c r="AX42" t="s">
        <v>132</v>
      </c>
      <c r="CQ42" s="1" t="s">
        <v>123</v>
      </c>
      <c r="DA42" s="1" t="s">
        <v>123</v>
      </c>
      <c r="DK42" s="1" t="s">
        <v>123</v>
      </c>
      <c r="EN42" s="1" t="s">
        <v>123</v>
      </c>
      <c r="EO42" t="s">
        <v>180</v>
      </c>
      <c r="EP42" t="s">
        <v>132</v>
      </c>
      <c r="FN42" s="1" t="s">
        <v>123</v>
      </c>
      <c r="FO42" t="s">
        <v>132</v>
      </c>
      <c r="FQ42" t="s">
        <v>132</v>
      </c>
    </row>
    <row r="43" spans="1:212" x14ac:dyDescent="0.45">
      <c r="A43">
        <v>44</v>
      </c>
      <c r="B43" t="str">
        <f>_xlfn.IFNA(VLOOKUP(Wszystkie[[#This Row],[Zakończono wypełnianie]],Zakończone[],2,0),"BRAK")</f>
        <v>BRAK</v>
      </c>
      <c r="C43" t="s">
        <v>547</v>
      </c>
      <c r="D43" t="s">
        <v>118</v>
      </c>
      <c r="E43" t="s">
        <v>548</v>
      </c>
      <c r="I43" t="s">
        <v>286</v>
      </c>
      <c r="J43" t="s">
        <v>549</v>
      </c>
      <c r="K43" t="s">
        <v>549</v>
      </c>
      <c r="L43">
        <v>0</v>
      </c>
      <c r="M43">
        <v>0</v>
      </c>
      <c r="N43" t="s">
        <v>122</v>
      </c>
      <c r="O43" s="1" t="s">
        <v>123</v>
      </c>
      <c r="AE43" s="1" t="s">
        <v>124</v>
      </c>
      <c r="AW43" s="1"/>
      <c r="CQ43" s="1"/>
      <c r="DA43" s="1"/>
      <c r="DK43" s="1"/>
      <c r="EN43" s="1"/>
      <c r="FN43" s="1"/>
    </row>
    <row r="44" spans="1:212" x14ac:dyDescent="0.45">
      <c r="A44">
        <v>33</v>
      </c>
      <c r="B44">
        <f>_xlfn.IFNA(VLOOKUP(Wszystkie[[#This Row],[Zakończono wypełnianie]],Zakończone[],2,0),"BRAK")</f>
        <v>23</v>
      </c>
      <c r="C44" t="s">
        <v>472</v>
      </c>
      <c r="D44" t="s">
        <v>118</v>
      </c>
      <c r="E44" t="s">
        <v>375</v>
      </c>
      <c r="I44" t="s">
        <v>119</v>
      </c>
      <c r="J44" t="s">
        <v>473</v>
      </c>
      <c r="K44" t="s">
        <v>474</v>
      </c>
      <c r="L44">
        <v>2507</v>
      </c>
      <c r="M44">
        <v>0</v>
      </c>
      <c r="N44" t="s">
        <v>122</v>
      </c>
      <c r="O44" s="1" t="s">
        <v>416</v>
      </c>
      <c r="P44" t="s">
        <v>445</v>
      </c>
      <c r="Q44" t="s">
        <v>148</v>
      </c>
      <c r="R44" t="s">
        <v>475</v>
      </c>
      <c r="S44" t="s">
        <v>169</v>
      </c>
      <c r="T44" t="s">
        <v>169</v>
      </c>
      <c r="U44" t="s">
        <v>151</v>
      </c>
      <c r="V44" t="s">
        <v>476</v>
      </c>
      <c r="W44" t="s">
        <v>302</v>
      </c>
      <c r="X44" t="s">
        <v>302</v>
      </c>
      <c r="Z44" t="s">
        <v>477</v>
      </c>
      <c r="AA44" t="s">
        <v>478</v>
      </c>
      <c r="AB44" t="s">
        <v>157</v>
      </c>
      <c r="AD44" t="s">
        <v>479</v>
      </c>
      <c r="AE44" s="1" t="s">
        <v>123</v>
      </c>
      <c r="AW44" s="1" t="s">
        <v>123</v>
      </c>
      <c r="AX44" t="s">
        <v>132</v>
      </c>
      <c r="CQ44" s="1" t="s">
        <v>123</v>
      </c>
      <c r="DA44" s="1" t="s">
        <v>123</v>
      </c>
      <c r="DK44" s="1" t="s">
        <v>123</v>
      </c>
      <c r="EN44" s="1" t="s">
        <v>123</v>
      </c>
      <c r="FN44" s="1" t="s">
        <v>123</v>
      </c>
      <c r="FO44" t="s">
        <v>132</v>
      </c>
      <c r="GV44" t="s">
        <v>480</v>
      </c>
      <c r="GW44" t="s">
        <v>481</v>
      </c>
      <c r="GX44" t="s">
        <v>482</v>
      </c>
      <c r="GY44" t="s">
        <v>140</v>
      </c>
      <c r="GZ44">
        <v>1996</v>
      </c>
      <c r="HA44" t="s">
        <v>483</v>
      </c>
    </row>
    <row r="45" spans="1:212" x14ac:dyDescent="0.45">
      <c r="A45">
        <v>30</v>
      </c>
      <c r="B45">
        <f>_xlfn.IFNA(VLOOKUP(Wszystkie[[#This Row],[Zakończono wypełnianie]],Zakończone[],2,0),"BRAK")</f>
        <v>21</v>
      </c>
      <c r="C45" t="s">
        <v>442</v>
      </c>
      <c r="D45" t="s">
        <v>118</v>
      </c>
      <c r="I45" t="s">
        <v>119</v>
      </c>
      <c r="J45" t="s">
        <v>443</v>
      </c>
      <c r="K45" t="s">
        <v>444</v>
      </c>
      <c r="L45">
        <v>6812</v>
      </c>
      <c r="M45">
        <v>0</v>
      </c>
      <c r="N45" t="s">
        <v>122</v>
      </c>
      <c r="O45" s="1" t="s">
        <v>123</v>
      </c>
      <c r="AE45" s="1" t="s">
        <v>124</v>
      </c>
      <c r="AF45" t="s">
        <v>445</v>
      </c>
      <c r="AG45">
        <v>2019</v>
      </c>
      <c r="AH45" t="s">
        <v>148</v>
      </c>
      <c r="AI45" t="s">
        <v>446</v>
      </c>
      <c r="AJ45" t="s">
        <v>150</v>
      </c>
      <c r="AK45" t="s">
        <v>150</v>
      </c>
      <c r="AL45" t="s">
        <v>169</v>
      </c>
      <c r="AM45" t="s">
        <v>169</v>
      </c>
      <c r="AN45" t="s">
        <v>132</v>
      </c>
      <c r="AO45" t="s">
        <v>237</v>
      </c>
      <c r="AP45" t="s">
        <v>226</v>
      </c>
      <c r="AQ45" t="s">
        <v>132</v>
      </c>
      <c r="AR45" t="s">
        <v>447</v>
      </c>
      <c r="AS45" t="s">
        <v>448</v>
      </c>
      <c r="AT45" t="s">
        <v>449</v>
      </c>
      <c r="AU45" t="s">
        <v>157</v>
      </c>
      <c r="AW45" s="1" t="s">
        <v>123</v>
      </c>
      <c r="AX45" t="s">
        <v>132</v>
      </c>
      <c r="CQ45" s="1" t="s">
        <v>387</v>
      </c>
      <c r="CR45" t="s">
        <v>445</v>
      </c>
      <c r="CS45" t="s">
        <v>450</v>
      </c>
      <c r="CT45" t="s">
        <v>169</v>
      </c>
      <c r="CU45" t="s">
        <v>169</v>
      </c>
      <c r="CV45" t="s">
        <v>169</v>
      </c>
      <c r="CW45" t="s">
        <v>150</v>
      </c>
      <c r="CX45" t="s">
        <v>150</v>
      </c>
      <c r="CY45" t="s">
        <v>150</v>
      </c>
      <c r="CZ45" t="s">
        <v>451</v>
      </c>
      <c r="DA45" s="1" t="s">
        <v>123</v>
      </c>
      <c r="DK45" s="1" t="s">
        <v>123</v>
      </c>
      <c r="EN45" s="1" t="s">
        <v>123</v>
      </c>
      <c r="EO45" t="s">
        <v>180</v>
      </c>
      <c r="EP45" t="s">
        <v>132</v>
      </c>
      <c r="FN45" s="1" t="s">
        <v>123</v>
      </c>
      <c r="FO45" t="s">
        <v>132</v>
      </c>
      <c r="FQ45" t="s">
        <v>132</v>
      </c>
      <c r="GV45" t="s">
        <v>452</v>
      </c>
      <c r="GW45" t="s">
        <v>453</v>
      </c>
      <c r="GX45" t="s">
        <v>454</v>
      </c>
      <c r="GY45" t="s">
        <v>140</v>
      </c>
      <c r="GZ45">
        <v>1994</v>
      </c>
      <c r="HA45" t="s">
        <v>220</v>
      </c>
      <c r="HC45" t="s">
        <v>455</v>
      </c>
      <c r="HD45" t="s">
        <v>456</v>
      </c>
    </row>
    <row r="46" spans="1:212" x14ac:dyDescent="0.45">
      <c r="A46">
        <v>45</v>
      </c>
      <c r="B46">
        <f>_xlfn.IFNA(VLOOKUP(Wszystkie[[#This Row],[Zakończono wypełnianie]],Zakończone[],2,0),"BRAK")</f>
        <v>28</v>
      </c>
      <c r="C46" t="s">
        <v>550</v>
      </c>
      <c r="D46" t="s">
        <v>118</v>
      </c>
      <c r="E46" t="s">
        <v>375</v>
      </c>
      <c r="I46" t="s">
        <v>119</v>
      </c>
      <c r="J46" t="s">
        <v>551</v>
      </c>
      <c r="K46" t="s">
        <v>552</v>
      </c>
      <c r="L46">
        <v>836</v>
      </c>
      <c r="M46">
        <v>0</v>
      </c>
      <c r="N46" t="s">
        <v>122</v>
      </c>
      <c r="O46" s="1" t="s">
        <v>123</v>
      </c>
      <c r="AE46" s="1" t="s">
        <v>124</v>
      </c>
      <c r="AF46" t="s">
        <v>553</v>
      </c>
      <c r="AG46">
        <v>2019</v>
      </c>
      <c r="AH46" t="s">
        <v>148</v>
      </c>
      <c r="AI46" t="s">
        <v>554</v>
      </c>
      <c r="AJ46" t="s">
        <v>162</v>
      </c>
      <c r="AK46" t="s">
        <v>162</v>
      </c>
      <c r="AL46" t="s">
        <v>236</v>
      </c>
      <c r="AM46" t="s">
        <v>151</v>
      </c>
      <c r="AN46" t="s">
        <v>162</v>
      </c>
      <c r="AO46" t="s">
        <v>237</v>
      </c>
      <c r="AP46" t="s">
        <v>132</v>
      </c>
      <c r="AQ46" t="s">
        <v>132</v>
      </c>
      <c r="AR46" t="s">
        <v>555</v>
      </c>
      <c r="AS46" t="s">
        <v>556</v>
      </c>
      <c r="AT46" t="s">
        <v>557</v>
      </c>
      <c r="AU46" t="s">
        <v>230</v>
      </c>
      <c r="AW46" s="1" t="s">
        <v>123</v>
      </c>
      <c r="CQ46" s="1" t="s">
        <v>123</v>
      </c>
      <c r="DA46" s="1" t="s">
        <v>123</v>
      </c>
      <c r="DK46" s="1" t="s">
        <v>123</v>
      </c>
      <c r="EN46" s="1" t="s">
        <v>123</v>
      </c>
      <c r="FN46" s="1" t="s">
        <v>123</v>
      </c>
      <c r="FO46" t="s">
        <v>132</v>
      </c>
      <c r="GV46" t="s">
        <v>558</v>
      </c>
      <c r="GW46" t="s">
        <v>559</v>
      </c>
      <c r="GX46" t="s">
        <v>560</v>
      </c>
      <c r="GY46" t="s">
        <v>140</v>
      </c>
      <c r="GZ46">
        <v>1994</v>
      </c>
      <c r="HA46" t="s">
        <v>483</v>
      </c>
      <c r="HC46" t="s">
        <v>561</v>
      </c>
      <c r="HD46" t="s">
        <v>386</v>
      </c>
    </row>
    <row r="47" spans="1:212" x14ac:dyDescent="0.45">
      <c r="A47">
        <v>46</v>
      </c>
      <c r="B47" t="str">
        <f>_xlfn.IFNA(VLOOKUP(Wszystkie[[#This Row],[Zakończono wypełnianie]],Zakończone[],2,0),"BRAK")</f>
        <v>BRAK</v>
      </c>
      <c r="C47" t="s">
        <v>562</v>
      </c>
      <c r="D47" t="s">
        <v>118</v>
      </c>
      <c r="E47" t="s">
        <v>359</v>
      </c>
      <c r="I47" t="s">
        <v>286</v>
      </c>
      <c r="J47" t="s">
        <v>563</v>
      </c>
      <c r="K47" t="s">
        <v>563</v>
      </c>
      <c r="L47">
        <v>0</v>
      </c>
      <c r="M47">
        <v>0</v>
      </c>
      <c r="N47" t="s">
        <v>122</v>
      </c>
      <c r="O47" s="1" t="s">
        <v>123</v>
      </c>
      <c r="AE47" s="1" t="s">
        <v>124</v>
      </c>
      <c r="AF47" t="s">
        <v>564</v>
      </c>
      <c r="AG47">
        <v>2010</v>
      </c>
      <c r="AH47" t="s">
        <v>148</v>
      </c>
      <c r="AI47" t="s">
        <v>565</v>
      </c>
      <c r="AJ47" t="s">
        <v>129</v>
      </c>
      <c r="AK47" t="s">
        <v>236</v>
      </c>
      <c r="AL47" t="s">
        <v>129</v>
      </c>
      <c r="AM47" t="s">
        <v>129</v>
      </c>
      <c r="AN47" t="s">
        <v>129</v>
      </c>
      <c r="AO47" t="s">
        <v>566</v>
      </c>
      <c r="AR47" t="s">
        <v>567</v>
      </c>
      <c r="AS47" t="s">
        <v>568</v>
      </c>
      <c r="AV47" t="s">
        <v>569</v>
      </c>
      <c r="AW47" s="1"/>
      <c r="CQ47" s="1"/>
      <c r="DA47" s="1"/>
      <c r="DK47" s="1"/>
      <c r="EN47" s="1"/>
      <c r="FN47" s="1"/>
    </row>
    <row r="48" spans="1:212" x14ac:dyDescent="0.45">
      <c r="A48">
        <v>48</v>
      </c>
      <c r="B48" t="str">
        <f>_xlfn.IFNA(VLOOKUP(Wszystkie[[#This Row],[Zakończono wypełnianie]],Zakończone[],2,0),"BRAK")</f>
        <v>BRAK</v>
      </c>
      <c r="C48" t="s">
        <v>581</v>
      </c>
      <c r="D48" t="s">
        <v>118</v>
      </c>
      <c r="E48" t="s">
        <v>375</v>
      </c>
      <c r="I48" t="s">
        <v>286</v>
      </c>
      <c r="J48" t="s">
        <v>582</v>
      </c>
      <c r="K48" t="s">
        <v>582</v>
      </c>
      <c r="L48">
        <v>0</v>
      </c>
      <c r="M48">
        <v>0</v>
      </c>
      <c r="N48" t="s">
        <v>122</v>
      </c>
      <c r="O48" s="1" t="s">
        <v>416</v>
      </c>
      <c r="AE48" s="1"/>
      <c r="AW48" s="1"/>
      <c r="CQ48" s="1"/>
      <c r="DA48" s="1"/>
      <c r="DK48" s="1"/>
      <c r="EN48" s="1"/>
      <c r="FN48" s="1"/>
    </row>
    <row r="49" spans="1:212" x14ac:dyDescent="0.45">
      <c r="A49">
        <v>47</v>
      </c>
      <c r="B49">
        <f>_xlfn.IFNA(VLOOKUP(Wszystkie[[#This Row],[Zakończono wypełnianie]],Zakończone[],2,0),"BRAK")</f>
        <v>29</v>
      </c>
      <c r="C49" t="s">
        <v>570</v>
      </c>
      <c r="D49" t="s">
        <v>118</v>
      </c>
      <c r="E49" t="s">
        <v>548</v>
      </c>
      <c r="I49" t="s">
        <v>119</v>
      </c>
      <c r="J49" t="s">
        <v>571</v>
      </c>
      <c r="K49" t="s">
        <v>572</v>
      </c>
      <c r="L49">
        <v>751</v>
      </c>
      <c r="M49">
        <v>0</v>
      </c>
      <c r="N49" t="s">
        <v>122</v>
      </c>
      <c r="O49" s="1" t="s">
        <v>416</v>
      </c>
      <c r="P49" t="s">
        <v>445</v>
      </c>
      <c r="Q49" t="s">
        <v>148</v>
      </c>
      <c r="R49" t="s">
        <v>573</v>
      </c>
      <c r="S49" t="s">
        <v>162</v>
      </c>
      <c r="T49" t="s">
        <v>128</v>
      </c>
      <c r="U49" t="s">
        <v>151</v>
      </c>
      <c r="V49" t="s">
        <v>237</v>
      </c>
      <c r="W49" t="s">
        <v>302</v>
      </c>
      <c r="X49" t="s">
        <v>153</v>
      </c>
      <c r="Y49" t="s">
        <v>574</v>
      </c>
      <c r="Z49" t="s">
        <v>575</v>
      </c>
      <c r="AA49" t="s">
        <v>576</v>
      </c>
      <c r="AB49" t="s">
        <v>172</v>
      </c>
      <c r="AD49" t="s">
        <v>577</v>
      </c>
      <c r="AE49" s="1" t="s">
        <v>123</v>
      </c>
      <c r="AW49" s="1" t="s">
        <v>123</v>
      </c>
      <c r="AX49" t="s">
        <v>132</v>
      </c>
      <c r="CQ49" s="1" t="s">
        <v>123</v>
      </c>
      <c r="DA49" s="1" t="s">
        <v>123</v>
      </c>
      <c r="DK49" s="1" t="s">
        <v>123</v>
      </c>
      <c r="EN49" s="1" t="s">
        <v>123</v>
      </c>
      <c r="FN49" s="1" t="s">
        <v>123</v>
      </c>
      <c r="FO49" t="s">
        <v>132</v>
      </c>
      <c r="FQ49" t="s">
        <v>132</v>
      </c>
      <c r="GV49" t="s">
        <v>578</v>
      </c>
      <c r="GW49" t="s">
        <v>579</v>
      </c>
      <c r="GX49" t="s">
        <v>580</v>
      </c>
      <c r="GY49" t="s">
        <v>186</v>
      </c>
      <c r="GZ49">
        <v>1997</v>
      </c>
      <c r="HA49" t="s">
        <v>483</v>
      </c>
      <c r="HC49" t="s">
        <v>532</v>
      </c>
    </row>
    <row r="50" spans="1:212" x14ac:dyDescent="0.45">
      <c r="A50">
        <v>49</v>
      </c>
      <c r="B50" t="str">
        <f>_xlfn.IFNA(VLOOKUP(Wszystkie[[#This Row],[Zakończono wypełnianie]],Zakończone[],2,0),"BRAK")</f>
        <v>BRAK</v>
      </c>
      <c r="C50" t="s">
        <v>583</v>
      </c>
      <c r="D50" t="s">
        <v>118</v>
      </c>
      <c r="E50" t="s">
        <v>525</v>
      </c>
      <c r="I50" t="s">
        <v>286</v>
      </c>
      <c r="J50" t="s">
        <v>584</v>
      </c>
      <c r="K50" t="s">
        <v>584</v>
      </c>
      <c r="L50">
        <v>0</v>
      </c>
      <c r="M50">
        <v>0</v>
      </c>
      <c r="N50" t="s">
        <v>122</v>
      </c>
      <c r="O50" s="1" t="s">
        <v>416</v>
      </c>
      <c r="AE50" s="1"/>
      <c r="AW50" s="1"/>
      <c r="CQ50" s="1"/>
      <c r="DA50" s="1"/>
      <c r="DK50" s="1"/>
      <c r="EN50" s="1"/>
      <c r="FN50" s="1"/>
    </row>
    <row r="51" spans="1:212" x14ac:dyDescent="0.45">
      <c r="A51">
        <v>51</v>
      </c>
      <c r="B51" t="str">
        <f>_xlfn.IFNA(VLOOKUP(Wszystkie[[#This Row],[Zakończono wypełnianie]],Zakończone[],2,0),"BRAK")</f>
        <v>BRAK</v>
      </c>
      <c r="C51" t="s">
        <v>596</v>
      </c>
      <c r="D51" t="s">
        <v>118</v>
      </c>
      <c r="E51" t="s">
        <v>359</v>
      </c>
      <c r="I51" t="s">
        <v>286</v>
      </c>
      <c r="J51" t="s">
        <v>597</v>
      </c>
      <c r="K51" t="s">
        <v>597</v>
      </c>
      <c r="L51">
        <v>0</v>
      </c>
      <c r="M51">
        <v>0</v>
      </c>
      <c r="N51" t="s">
        <v>122</v>
      </c>
      <c r="O51" s="1" t="s">
        <v>123</v>
      </c>
      <c r="AE51" s="1" t="s">
        <v>124</v>
      </c>
      <c r="AW51" s="1"/>
      <c r="CQ51" s="1"/>
      <c r="DA51" s="1"/>
      <c r="DK51" s="1"/>
      <c r="EN51" s="1"/>
      <c r="FN51" s="1"/>
    </row>
    <row r="52" spans="1:212" x14ac:dyDescent="0.45">
      <c r="A52">
        <v>50</v>
      </c>
      <c r="B52">
        <f>_xlfn.IFNA(VLOOKUP(Wszystkie[[#This Row],[Zakończono wypełnianie]],Zakończone[],2,0),"BRAK")</f>
        <v>30</v>
      </c>
      <c r="C52" t="s">
        <v>585</v>
      </c>
      <c r="D52" t="s">
        <v>118</v>
      </c>
      <c r="E52" t="s">
        <v>375</v>
      </c>
      <c r="I52" t="s">
        <v>119</v>
      </c>
      <c r="J52" t="s">
        <v>586</v>
      </c>
      <c r="K52" t="s">
        <v>587</v>
      </c>
      <c r="L52">
        <v>387</v>
      </c>
      <c r="M52">
        <v>0</v>
      </c>
      <c r="N52" t="s">
        <v>122</v>
      </c>
      <c r="O52" s="1" t="s">
        <v>416</v>
      </c>
      <c r="P52" t="s">
        <v>445</v>
      </c>
      <c r="Q52" t="s">
        <v>148</v>
      </c>
      <c r="R52" t="s">
        <v>588</v>
      </c>
      <c r="S52" t="s">
        <v>162</v>
      </c>
      <c r="T52" t="s">
        <v>150</v>
      </c>
      <c r="U52" t="s">
        <v>162</v>
      </c>
      <c r="V52" t="s">
        <v>589</v>
      </c>
      <c r="W52" t="s">
        <v>302</v>
      </c>
      <c r="X52" t="s">
        <v>153</v>
      </c>
      <c r="Z52" t="s">
        <v>590</v>
      </c>
      <c r="AA52" t="s">
        <v>591</v>
      </c>
      <c r="AB52" t="s">
        <v>172</v>
      </c>
      <c r="AD52" t="s">
        <v>533</v>
      </c>
      <c r="AE52" s="1" t="s">
        <v>123</v>
      </c>
      <c r="AW52" s="1" t="s">
        <v>123</v>
      </c>
      <c r="CQ52" s="1" t="s">
        <v>123</v>
      </c>
      <c r="DA52" s="1" t="s">
        <v>123</v>
      </c>
      <c r="DK52" s="1" t="s">
        <v>123</v>
      </c>
      <c r="EN52" s="1" t="s">
        <v>123</v>
      </c>
      <c r="FN52" s="1" t="s">
        <v>123</v>
      </c>
      <c r="FO52" t="s">
        <v>132</v>
      </c>
      <c r="GV52" t="s">
        <v>592</v>
      </c>
      <c r="GW52" t="s">
        <v>593</v>
      </c>
      <c r="GX52" t="s">
        <v>594</v>
      </c>
      <c r="GY52" t="s">
        <v>140</v>
      </c>
      <c r="GZ52">
        <v>1997</v>
      </c>
      <c r="HA52" t="s">
        <v>141</v>
      </c>
      <c r="HC52" t="s">
        <v>595</v>
      </c>
    </row>
    <row r="53" spans="1:212" x14ac:dyDescent="0.45">
      <c r="A53">
        <v>53</v>
      </c>
      <c r="B53">
        <f>_xlfn.IFNA(VLOOKUP(Wszystkie[[#This Row],[Zakończono wypełnianie]],Zakończone[],2,0),"BRAK")</f>
        <v>32</v>
      </c>
      <c r="C53" t="s">
        <v>610</v>
      </c>
      <c r="D53" t="s">
        <v>118</v>
      </c>
      <c r="E53" t="s">
        <v>548</v>
      </c>
      <c r="I53" t="s">
        <v>119</v>
      </c>
      <c r="J53" t="s">
        <v>611</v>
      </c>
      <c r="K53" t="s">
        <v>612</v>
      </c>
      <c r="L53">
        <v>551</v>
      </c>
      <c r="M53">
        <v>0</v>
      </c>
      <c r="N53" t="s">
        <v>122</v>
      </c>
      <c r="O53" s="1" t="s">
        <v>416</v>
      </c>
      <c r="P53" t="s">
        <v>445</v>
      </c>
      <c r="Q53" t="s">
        <v>148</v>
      </c>
      <c r="R53" t="s">
        <v>613</v>
      </c>
      <c r="S53" t="s">
        <v>150</v>
      </c>
      <c r="T53" t="s">
        <v>150</v>
      </c>
      <c r="U53" t="s">
        <v>151</v>
      </c>
      <c r="V53" t="s">
        <v>530</v>
      </c>
      <c r="W53" t="s">
        <v>131</v>
      </c>
      <c r="X53" t="s">
        <v>302</v>
      </c>
      <c r="Y53" t="s">
        <v>614</v>
      </c>
      <c r="Z53" t="s">
        <v>615</v>
      </c>
      <c r="AA53" t="s">
        <v>616</v>
      </c>
      <c r="AB53" t="s">
        <v>172</v>
      </c>
      <c r="AD53" t="s">
        <v>533</v>
      </c>
      <c r="AE53" s="1" t="s">
        <v>123</v>
      </c>
      <c r="AW53" s="1" t="s">
        <v>123</v>
      </c>
      <c r="CQ53" s="1" t="s">
        <v>123</v>
      </c>
      <c r="DA53" s="1" t="s">
        <v>123</v>
      </c>
      <c r="DK53" s="1" t="s">
        <v>123</v>
      </c>
      <c r="EN53" s="1" t="s">
        <v>123</v>
      </c>
      <c r="FN53" s="1" t="s">
        <v>123</v>
      </c>
      <c r="FO53" t="s">
        <v>132</v>
      </c>
      <c r="GV53" t="s">
        <v>617</v>
      </c>
      <c r="GW53" t="s">
        <v>618</v>
      </c>
      <c r="GX53" t="s">
        <v>619</v>
      </c>
      <c r="GY53" t="s">
        <v>140</v>
      </c>
      <c r="GZ53">
        <v>1998</v>
      </c>
      <c r="HA53" t="s">
        <v>398</v>
      </c>
      <c r="HC53" t="s">
        <v>620</v>
      </c>
    </row>
    <row r="54" spans="1:212" x14ac:dyDescent="0.45">
      <c r="A54">
        <v>54</v>
      </c>
      <c r="B54">
        <f>_xlfn.IFNA(VLOOKUP(Wszystkie[[#This Row],[Zakończono wypełnianie]],Zakończone[],2,0),"BRAK")</f>
        <v>33</v>
      </c>
      <c r="C54" t="s">
        <v>621</v>
      </c>
      <c r="D54" t="s">
        <v>118</v>
      </c>
      <c r="E54" t="s">
        <v>359</v>
      </c>
      <c r="I54" t="s">
        <v>119</v>
      </c>
      <c r="J54" t="s">
        <v>622</v>
      </c>
      <c r="K54" t="s">
        <v>623</v>
      </c>
      <c r="L54">
        <v>595</v>
      </c>
      <c r="M54">
        <v>0</v>
      </c>
      <c r="N54" t="s">
        <v>122</v>
      </c>
      <c r="O54" s="1" t="s">
        <v>416</v>
      </c>
      <c r="P54" t="s">
        <v>445</v>
      </c>
      <c r="Q54" t="s">
        <v>148</v>
      </c>
      <c r="R54" t="s">
        <v>624</v>
      </c>
      <c r="S54" t="s">
        <v>150</v>
      </c>
      <c r="T54" t="s">
        <v>150</v>
      </c>
      <c r="U54" t="s">
        <v>169</v>
      </c>
      <c r="V54">
        <v>12</v>
      </c>
      <c r="W54" t="s">
        <v>302</v>
      </c>
      <c r="X54" t="s">
        <v>226</v>
      </c>
      <c r="Z54" t="s">
        <v>625</v>
      </c>
      <c r="AA54" t="s">
        <v>626</v>
      </c>
      <c r="AB54" t="s">
        <v>172</v>
      </c>
      <c r="AD54" t="s">
        <v>424</v>
      </c>
      <c r="AE54" s="1" t="s">
        <v>123</v>
      </c>
      <c r="AW54" s="1" t="s">
        <v>123</v>
      </c>
      <c r="AX54" t="s">
        <v>132</v>
      </c>
      <c r="CQ54" s="1" t="s">
        <v>123</v>
      </c>
      <c r="DA54" s="1" t="s">
        <v>123</v>
      </c>
      <c r="DK54" s="1" t="s">
        <v>123</v>
      </c>
      <c r="EN54" s="1" t="s">
        <v>123</v>
      </c>
      <c r="FN54" s="1" t="s">
        <v>123</v>
      </c>
      <c r="FO54" t="s">
        <v>132</v>
      </c>
      <c r="GV54" t="s">
        <v>627</v>
      </c>
      <c r="GW54" t="s">
        <v>628</v>
      </c>
      <c r="GX54" t="s">
        <v>629</v>
      </c>
      <c r="GY54" t="s">
        <v>186</v>
      </c>
      <c r="GZ54" t="s">
        <v>630</v>
      </c>
      <c r="HA54" t="s">
        <v>398</v>
      </c>
      <c r="HC54" t="s">
        <v>631</v>
      </c>
      <c r="HD54" t="s">
        <v>632</v>
      </c>
    </row>
    <row r="55" spans="1:212" x14ac:dyDescent="0.45">
      <c r="A55">
        <v>55</v>
      </c>
      <c r="B55" t="str">
        <f>_xlfn.IFNA(VLOOKUP(Wszystkie[[#This Row],[Zakończono wypełnianie]],Zakończone[],2,0),"BRAK")</f>
        <v>BRAK</v>
      </c>
      <c r="C55" t="s">
        <v>633</v>
      </c>
      <c r="D55" t="s">
        <v>118</v>
      </c>
      <c r="E55" t="s">
        <v>359</v>
      </c>
      <c r="I55" t="s">
        <v>286</v>
      </c>
      <c r="J55" t="s">
        <v>634</v>
      </c>
      <c r="K55" t="s">
        <v>634</v>
      </c>
      <c r="L55">
        <v>0</v>
      </c>
      <c r="M55">
        <v>0</v>
      </c>
      <c r="N55" t="s">
        <v>122</v>
      </c>
      <c r="O55" s="1" t="s">
        <v>416</v>
      </c>
      <c r="AE55" s="1"/>
      <c r="AW55" s="1"/>
      <c r="CQ55" s="1"/>
      <c r="DA55" s="1"/>
      <c r="DK55" s="1"/>
      <c r="EN55" s="1"/>
      <c r="FN55" s="1"/>
    </row>
    <row r="56" spans="1:212" x14ac:dyDescent="0.45">
      <c r="A56">
        <v>56</v>
      </c>
      <c r="B56" t="str">
        <f>_xlfn.IFNA(VLOOKUP(Wszystkie[[#This Row],[Zakończono wypełnianie]],Zakończone[],2,0),"BRAK")</f>
        <v>BRAK</v>
      </c>
      <c r="C56" t="s">
        <v>635</v>
      </c>
      <c r="D56" t="s">
        <v>118</v>
      </c>
      <c r="E56" t="s">
        <v>375</v>
      </c>
      <c r="I56" t="s">
        <v>286</v>
      </c>
      <c r="J56" t="s">
        <v>636</v>
      </c>
      <c r="K56" t="s">
        <v>636</v>
      </c>
      <c r="L56">
        <v>0</v>
      </c>
      <c r="M56">
        <v>0</v>
      </c>
      <c r="N56" t="s">
        <v>122</v>
      </c>
      <c r="O56" s="1" t="s">
        <v>416</v>
      </c>
      <c r="AE56" s="1"/>
      <c r="AW56" s="1"/>
      <c r="CQ56" s="1"/>
      <c r="DA56" s="1"/>
      <c r="DK56" s="1"/>
      <c r="EN56" s="1"/>
      <c r="FN56" s="1"/>
    </row>
    <row r="57" spans="1:212" x14ac:dyDescent="0.45">
      <c r="A57">
        <v>57</v>
      </c>
      <c r="B57" t="str">
        <f>_xlfn.IFNA(VLOOKUP(Wszystkie[[#This Row],[Zakończono wypełnianie]],Zakończone[],2,0),"BRAK")</f>
        <v>BRAK</v>
      </c>
      <c r="C57" t="s">
        <v>637</v>
      </c>
      <c r="D57" t="s">
        <v>118</v>
      </c>
      <c r="E57" t="s">
        <v>548</v>
      </c>
      <c r="I57" t="s">
        <v>286</v>
      </c>
      <c r="J57" t="s">
        <v>638</v>
      </c>
      <c r="K57" t="s">
        <v>638</v>
      </c>
      <c r="L57">
        <v>0</v>
      </c>
      <c r="M57">
        <v>0</v>
      </c>
      <c r="N57" t="s">
        <v>122</v>
      </c>
      <c r="O57" s="1" t="s">
        <v>416</v>
      </c>
      <c r="P57" t="s">
        <v>639</v>
      </c>
      <c r="Q57" t="s">
        <v>148</v>
      </c>
      <c r="R57" t="s">
        <v>640</v>
      </c>
      <c r="S57" t="s">
        <v>169</v>
      </c>
      <c r="T57" t="s">
        <v>169</v>
      </c>
      <c r="U57" t="s">
        <v>151</v>
      </c>
      <c r="V57" t="s">
        <v>641</v>
      </c>
      <c r="W57" t="s">
        <v>302</v>
      </c>
      <c r="X57" t="s">
        <v>302</v>
      </c>
      <c r="Y57" t="s">
        <v>642</v>
      </c>
      <c r="Z57" t="s">
        <v>643</v>
      </c>
      <c r="AA57" t="s">
        <v>644</v>
      </c>
      <c r="AB57" t="s">
        <v>172</v>
      </c>
      <c r="AD57">
        <v>6</v>
      </c>
      <c r="AE57" s="1" t="s">
        <v>123</v>
      </c>
      <c r="AW57" s="1" t="s">
        <v>123</v>
      </c>
      <c r="CQ57" s="1" t="s">
        <v>123</v>
      </c>
      <c r="DA57" s="1" t="s">
        <v>123</v>
      </c>
      <c r="DK57" s="1" t="s">
        <v>123</v>
      </c>
      <c r="EN57" s="1" t="s">
        <v>123</v>
      </c>
      <c r="FN57" s="1" t="s">
        <v>123</v>
      </c>
      <c r="FO57" t="s">
        <v>132</v>
      </c>
    </row>
    <row r="58" spans="1:212" x14ac:dyDescent="0.45">
      <c r="A58">
        <v>59</v>
      </c>
      <c r="B58" t="str">
        <f>_xlfn.IFNA(VLOOKUP(Wszystkie[[#This Row],[Zakończono wypełnianie]],Zakończone[],2,0),"BRAK")</f>
        <v>BRAK</v>
      </c>
      <c r="C58" t="s">
        <v>654</v>
      </c>
      <c r="D58" t="s">
        <v>118</v>
      </c>
      <c r="E58" t="s">
        <v>375</v>
      </c>
      <c r="I58" t="s">
        <v>286</v>
      </c>
      <c r="J58" t="s">
        <v>655</v>
      </c>
      <c r="K58" t="s">
        <v>655</v>
      </c>
      <c r="L58">
        <v>0</v>
      </c>
      <c r="M58">
        <v>0</v>
      </c>
      <c r="N58" t="s">
        <v>122</v>
      </c>
      <c r="O58" s="1" t="s">
        <v>416</v>
      </c>
      <c r="AE58" s="1"/>
      <c r="AW58" s="1"/>
      <c r="CQ58" s="1"/>
      <c r="DA58" s="1"/>
      <c r="DK58" s="1"/>
      <c r="EN58" s="1"/>
      <c r="FN58" s="1"/>
    </row>
    <row r="59" spans="1:212" x14ac:dyDescent="0.45">
      <c r="A59">
        <v>58</v>
      </c>
      <c r="B59">
        <f>_xlfn.IFNA(VLOOKUP(Wszystkie[[#This Row],[Zakończono wypełnianie]],Zakończone[],2,0),"BRAK")</f>
        <v>34</v>
      </c>
      <c r="C59" t="s">
        <v>645</v>
      </c>
      <c r="D59" t="s">
        <v>118</v>
      </c>
      <c r="E59" t="s">
        <v>375</v>
      </c>
      <c r="I59" t="s">
        <v>119</v>
      </c>
      <c r="J59" t="s">
        <v>646</v>
      </c>
      <c r="K59" t="s">
        <v>647</v>
      </c>
      <c r="L59">
        <v>551</v>
      </c>
      <c r="M59">
        <v>0</v>
      </c>
      <c r="N59" t="s">
        <v>122</v>
      </c>
      <c r="O59" s="1" t="s">
        <v>416</v>
      </c>
      <c r="P59" t="s">
        <v>160</v>
      </c>
      <c r="Q59" t="s">
        <v>148</v>
      </c>
      <c r="R59" t="s">
        <v>648</v>
      </c>
      <c r="S59" t="s">
        <v>128</v>
      </c>
      <c r="T59" t="s">
        <v>162</v>
      </c>
      <c r="U59" t="s">
        <v>162</v>
      </c>
      <c r="V59" t="s">
        <v>237</v>
      </c>
      <c r="W59" t="s">
        <v>302</v>
      </c>
      <c r="X59" t="s">
        <v>153</v>
      </c>
      <c r="Z59" t="s">
        <v>649</v>
      </c>
      <c r="AA59" t="s">
        <v>650</v>
      </c>
      <c r="AB59" t="s">
        <v>157</v>
      </c>
      <c r="AD59">
        <v>8</v>
      </c>
      <c r="AE59" s="1" t="s">
        <v>123</v>
      </c>
      <c r="AW59" s="1" t="s">
        <v>123</v>
      </c>
      <c r="CQ59" s="1" t="s">
        <v>123</v>
      </c>
      <c r="DA59" s="1" t="s">
        <v>123</v>
      </c>
      <c r="DK59" s="1" t="s">
        <v>123</v>
      </c>
      <c r="EN59" s="1" t="s">
        <v>123</v>
      </c>
      <c r="FN59" s="1" t="s">
        <v>123</v>
      </c>
      <c r="FO59" t="s">
        <v>132</v>
      </c>
      <c r="GV59" t="s">
        <v>651</v>
      </c>
      <c r="GW59" t="s">
        <v>652</v>
      </c>
      <c r="GX59" t="s">
        <v>653</v>
      </c>
      <c r="GY59" t="s">
        <v>140</v>
      </c>
      <c r="GZ59">
        <v>1998</v>
      </c>
      <c r="HA59" t="s">
        <v>141</v>
      </c>
    </row>
    <row r="60" spans="1:212" x14ac:dyDescent="0.45">
      <c r="A60">
        <v>60</v>
      </c>
      <c r="B60">
        <f>_xlfn.IFNA(VLOOKUP(Wszystkie[[#This Row],[Zakończono wypełnianie]],Zakończone[],2,0),"BRAK")</f>
        <v>35</v>
      </c>
      <c r="C60" t="s">
        <v>656</v>
      </c>
      <c r="D60" t="s">
        <v>118</v>
      </c>
      <c r="E60" t="s">
        <v>359</v>
      </c>
      <c r="I60" t="s">
        <v>119</v>
      </c>
      <c r="J60" t="s">
        <v>657</v>
      </c>
      <c r="K60" t="s">
        <v>658</v>
      </c>
      <c r="L60">
        <v>770</v>
      </c>
      <c r="M60">
        <v>0</v>
      </c>
      <c r="N60" t="s">
        <v>122</v>
      </c>
      <c r="O60" s="1" t="s">
        <v>123</v>
      </c>
      <c r="AE60" s="1" t="s">
        <v>124</v>
      </c>
      <c r="AF60" t="s">
        <v>445</v>
      </c>
      <c r="AG60" t="s">
        <v>659</v>
      </c>
      <c r="AH60" t="s">
        <v>148</v>
      </c>
      <c r="AI60" t="s">
        <v>660</v>
      </c>
      <c r="AJ60" t="s">
        <v>169</v>
      </c>
      <c r="AK60" t="s">
        <v>169</v>
      </c>
      <c r="AL60" t="s">
        <v>169</v>
      </c>
      <c r="AM60" t="s">
        <v>150</v>
      </c>
      <c r="AN60" t="s">
        <v>132</v>
      </c>
      <c r="AO60" t="s">
        <v>661</v>
      </c>
      <c r="AP60" t="s">
        <v>302</v>
      </c>
      <c r="AQ60" t="s">
        <v>132</v>
      </c>
      <c r="AS60" t="s">
        <v>662</v>
      </c>
      <c r="AT60" t="s">
        <v>663</v>
      </c>
      <c r="AU60" t="s">
        <v>157</v>
      </c>
      <c r="AV60" t="s">
        <v>664</v>
      </c>
      <c r="AW60" s="1" t="s">
        <v>123</v>
      </c>
      <c r="CQ60" s="1" t="s">
        <v>123</v>
      </c>
      <c r="DA60" s="1" t="s">
        <v>214</v>
      </c>
      <c r="DB60" t="s">
        <v>445</v>
      </c>
      <c r="DC60" t="s">
        <v>518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150</v>
      </c>
      <c r="DK60" s="1" t="s">
        <v>123</v>
      </c>
      <c r="EN60" s="1" t="s">
        <v>123</v>
      </c>
      <c r="FN60" s="1" t="s">
        <v>123</v>
      </c>
      <c r="FO60" t="s">
        <v>132</v>
      </c>
      <c r="GV60" t="s">
        <v>665</v>
      </c>
      <c r="GW60" t="s">
        <v>666</v>
      </c>
      <c r="GX60" t="s">
        <v>667</v>
      </c>
      <c r="GY60" t="s">
        <v>140</v>
      </c>
      <c r="GZ60">
        <v>1989</v>
      </c>
      <c r="HA60" t="s">
        <v>141</v>
      </c>
    </row>
    <row r="61" spans="1:212" x14ac:dyDescent="0.45">
      <c r="A61">
        <v>61</v>
      </c>
      <c r="B61">
        <f>_xlfn.IFNA(VLOOKUP(Wszystkie[[#This Row],[Zakończono wypełnianie]],Zakończone[],2,0),"BRAK")</f>
        <v>36</v>
      </c>
      <c r="C61" t="s">
        <v>668</v>
      </c>
      <c r="D61" t="s">
        <v>118</v>
      </c>
      <c r="E61" t="s">
        <v>359</v>
      </c>
      <c r="I61" t="s">
        <v>119</v>
      </c>
      <c r="J61" t="s">
        <v>669</v>
      </c>
      <c r="K61" t="s">
        <v>670</v>
      </c>
      <c r="L61">
        <v>463</v>
      </c>
      <c r="M61">
        <v>0</v>
      </c>
      <c r="N61" t="s">
        <v>122</v>
      </c>
      <c r="O61" s="1" t="s">
        <v>123</v>
      </c>
      <c r="AE61" s="1" t="s">
        <v>124</v>
      </c>
      <c r="AF61" t="s">
        <v>445</v>
      </c>
      <c r="AG61">
        <v>2019</v>
      </c>
      <c r="AH61" t="s">
        <v>148</v>
      </c>
      <c r="AI61" t="s">
        <v>601</v>
      </c>
      <c r="AJ61" t="s">
        <v>162</v>
      </c>
      <c r="AK61" t="s">
        <v>162</v>
      </c>
      <c r="AL61" t="s">
        <v>129</v>
      </c>
      <c r="AM61" t="s">
        <v>129</v>
      </c>
      <c r="AN61" t="s">
        <v>129</v>
      </c>
      <c r="AO61">
        <v>4</v>
      </c>
      <c r="AP61" t="s">
        <v>152</v>
      </c>
      <c r="AQ61" t="s">
        <v>131</v>
      </c>
      <c r="AR61" t="s">
        <v>671</v>
      </c>
      <c r="AS61" t="s">
        <v>672</v>
      </c>
      <c r="AT61" t="s">
        <v>673</v>
      </c>
      <c r="AU61" t="s">
        <v>157</v>
      </c>
      <c r="AW61" s="1" t="s">
        <v>123</v>
      </c>
      <c r="AX61" t="s">
        <v>132</v>
      </c>
      <c r="CQ61" s="1" t="s">
        <v>123</v>
      </c>
      <c r="DA61" s="1" t="s">
        <v>123</v>
      </c>
      <c r="DK61" s="1" t="s">
        <v>123</v>
      </c>
      <c r="EN61" s="1" t="s">
        <v>123</v>
      </c>
      <c r="EO61" t="s">
        <v>180</v>
      </c>
      <c r="EP61" t="s">
        <v>132</v>
      </c>
      <c r="FN61" s="1" t="s">
        <v>123</v>
      </c>
      <c r="FO61" t="s">
        <v>132</v>
      </c>
      <c r="FQ61" t="s">
        <v>132</v>
      </c>
      <c r="GV61" t="s">
        <v>674</v>
      </c>
      <c r="GW61" t="s">
        <v>675</v>
      </c>
      <c r="GX61" t="s">
        <v>676</v>
      </c>
      <c r="GY61" t="s">
        <v>140</v>
      </c>
      <c r="GZ61">
        <v>1994</v>
      </c>
      <c r="HA61" t="s">
        <v>483</v>
      </c>
    </row>
    <row r="62" spans="1:212" x14ac:dyDescent="0.45">
      <c r="A62">
        <v>62</v>
      </c>
      <c r="B62" t="str">
        <f>_xlfn.IFNA(VLOOKUP(Wszystkie[[#This Row],[Zakończono wypełnianie]],Zakończone[],2,0),"BRAK")</f>
        <v>BRAK</v>
      </c>
      <c r="C62" t="s">
        <v>677</v>
      </c>
      <c r="D62" t="s">
        <v>118</v>
      </c>
      <c r="E62" t="s">
        <v>548</v>
      </c>
      <c r="I62" t="s">
        <v>286</v>
      </c>
      <c r="J62" t="s">
        <v>678</v>
      </c>
      <c r="K62" t="s">
        <v>678</v>
      </c>
      <c r="L62">
        <v>0</v>
      </c>
      <c r="M62">
        <v>0</v>
      </c>
      <c r="N62" t="s">
        <v>122</v>
      </c>
      <c r="O62" s="1" t="s">
        <v>416</v>
      </c>
      <c r="AE62" s="1"/>
      <c r="AW62" s="1"/>
      <c r="CQ62" s="1"/>
      <c r="DA62" s="1"/>
      <c r="DK62" s="1"/>
      <c r="EN62" s="1"/>
      <c r="FN62" s="1"/>
    </row>
    <row r="63" spans="1:212" x14ac:dyDescent="0.45">
      <c r="A63">
        <v>63</v>
      </c>
      <c r="B63">
        <f>_xlfn.IFNA(VLOOKUP(Wszystkie[[#This Row],[Zakończono wypełnianie]],Zakończone[],2,0),"BRAK")</f>
        <v>37</v>
      </c>
      <c r="C63" t="s">
        <v>679</v>
      </c>
      <c r="D63" t="s">
        <v>118</v>
      </c>
      <c r="E63" t="s">
        <v>359</v>
      </c>
      <c r="I63" t="s">
        <v>119</v>
      </c>
      <c r="J63" t="s">
        <v>680</v>
      </c>
      <c r="K63" t="s">
        <v>681</v>
      </c>
      <c r="L63">
        <v>770</v>
      </c>
      <c r="M63">
        <v>0</v>
      </c>
      <c r="N63" t="s">
        <v>122</v>
      </c>
      <c r="O63" s="1" t="s">
        <v>123</v>
      </c>
      <c r="AE63" s="1" t="s">
        <v>124</v>
      </c>
      <c r="AF63" t="s">
        <v>682</v>
      </c>
      <c r="AG63">
        <v>2017</v>
      </c>
      <c r="AH63" t="s">
        <v>148</v>
      </c>
      <c r="AI63" t="s">
        <v>601</v>
      </c>
      <c r="AJ63" t="s">
        <v>169</v>
      </c>
      <c r="AK63" t="s">
        <v>169</v>
      </c>
      <c r="AL63" t="s">
        <v>150</v>
      </c>
      <c r="AM63" t="s">
        <v>236</v>
      </c>
      <c r="AN63" t="s">
        <v>169</v>
      </c>
      <c r="AO63" t="s">
        <v>683</v>
      </c>
      <c r="AP63" t="s">
        <v>131</v>
      </c>
      <c r="AQ63" t="s">
        <v>153</v>
      </c>
      <c r="AR63" t="s">
        <v>684</v>
      </c>
      <c r="AS63" t="s">
        <v>685</v>
      </c>
      <c r="AT63" t="s">
        <v>686</v>
      </c>
      <c r="AU63" t="s">
        <v>157</v>
      </c>
      <c r="AW63" s="1" t="s">
        <v>123</v>
      </c>
      <c r="AX63" t="s">
        <v>132</v>
      </c>
      <c r="CQ63" s="1" t="s">
        <v>123</v>
      </c>
      <c r="DA63" s="1" t="s">
        <v>123</v>
      </c>
      <c r="DK63" s="1" t="s">
        <v>123</v>
      </c>
      <c r="EN63" s="1" t="s">
        <v>123</v>
      </c>
      <c r="EO63" t="s">
        <v>180</v>
      </c>
      <c r="EP63" t="s">
        <v>132</v>
      </c>
      <c r="FN63" s="1" t="s">
        <v>123</v>
      </c>
      <c r="FO63" t="s">
        <v>132</v>
      </c>
      <c r="FQ63" t="s">
        <v>132</v>
      </c>
      <c r="GV63" t="s">
        <v>687</v>
      </c>
      <c r="GW63" t="s">
        <v>688</v>
      </c>
      <c r="GX63" t="s">
        <v>689</v>
      </c>
      <c r="GY63" t="s">
        <v>140</v>
      </c>
      <c r="GZ63">
        <v>1994</v>
      </c>
      <c r="HA63" t="s">
        <v>246</v>
      </c>
      <c r="HC63" t="s">
        <v>142</v>
      </c>
      <c r="HD63" t="s">
        <v>142</v>
      </c>
    </row>
    <row r="64" spans="1:212" x14ac:dyDescent="0.45">
      <c r="A64">
        <v>64</v>
      </c>
      <c r="B64" t="str">
        <f>_xlfn.IFNA(VLOOKUP(Wszystkie[[#This Row],[Zakończono wypełnianie]],Zakończone[],2,0),"BRAK")</f>
        <v>BRAK</v>
      </c>
      <c r="C64" t="s">
        <v>690</v>
      </c>
      <c r="D64" t="s">
        <v>118</v>
      </c>
      <c r="E64" t="s">
        <v>359</v>
      </c>
      <c r="I64" t="s">
        <v>286</v>
      </c>
      <c r="J64" t="s">
        <v>691</v>
      </c>
      <c r="K64" t="s">
        <v>691</v>
      </c>
      <c r="L64">
        <v>0</v>
      </c>
      <c r="M64">
        <v>0</v>
      </c>
      <c r="N64" t="s">
        <v>122</v>
      </c>
      <c r="O64" s="1" t="s">
        <v>416</v>
      </c>
      <c r="AE64" s="1"/>
      <c r="AW64" s="1"/>
      <c r="CQ64" s="1"/>
      <c r="DA64" s="1"/>
      <c r="DK64" s="1"/>
      <c r="EN64" s="1"/>
      <c r="FN64" s="1"/>
    </row>
    <row r="65" spans="1:213" x14ac:dyDescent="0.45">
      <c r="A65">
        <v>65</v>
      </c>
      <c r="B65" t="str">
        <f>_xlfn.IFNA(VLOOKUP(Wszystkie[[#This Row],[Zakończono wypełnianie]],Zakończone[],2,0),"BRAK")</f>
        <v>BRAK</v>
      </c>
      <c r="C65" t="s">
        <v>692</v>
      </c>
      <c r="D65" t="s">
        <v>118</v>
      </c>
      <c r="E65" t="s">
        <v>375</v>
      </c>
      <c r="I65" t="s">
        <v>286</v>
      </c>
      <c r="J65" t="s">
        <v>693</v>
      </c>
      <c r="K65" t="s">
        <v>693</v>
      </c>
      <c r="L65">
        <v>0</v>
      </c>
      <c r="M65">
        <v>0</v>
      </c>
      <c r="N65" t="s">
        <v>122</v>
      </c>
      <c r="O65" s="1" t="s">
        <v>123</v>
      </c>
      <c r="AE65" s="1" t="s">
        <v>124</v>
      </c>
      <c r="AW65" s="1"/>
      <c r="CQ65" s="1"/>
      <c r="DA65" s="1"/>
      <c r="DK65" s="1"/>
      <c r="EN65" s="1"/>
      <c r="FN65" s="1"/>
    </row>
    <row r="66" spans="1:213" x14ac:dyDescent="0.45">
      <c r="A66">
        <v>66</v>
      </c>
      <c r="B66" t="str">
        <f>_xlfn.IFNA(VLOOKUP(Wszystkie[[#This Row],[Zakończono wypełnianie]],Zakończone[],2,0),"BRAK")</f>
        <v>BRAK</v>
      </c>
      <c r="C66" t="s">
        <v>694</v>
      </c>
      <c r="D66" t="s">
        <v>118</v>
      </c>
      <c r="E66" t="s">
        <v>359</v>
      </c>
      <c r="I66" t="s">
        <v>286</v>
      </c>
      <c r="J66" t="s">
        <v>695</v>
      </c>
      <c r="K66" t="s">
        <v>695</v>
      </c>
      <c r="L66">
        <v>0</v>
      </c>
      <c r="M66">
        <v>0</v>
      </c>
      <c r="N66" t="s">
        <v>122</v>
      </c>
      <c r="O66" s="1" t="s">
        <v>123</v>
      </c>
      <c r="AE66" s="1" t="s">
        <v>124</v>
      </c>
      <c r="AF66" t="s">
        <v>445</v>
      </c>
      <c r="AG66">
        <v>2018</v>
      </c>
      <c r="AH66" t="s">
        <v>148</v>
      </c>
      <c r="AI66" t="s">
        <v>461</v>
      </c>
      <c r="AJ66" t="s">
        <v>169</v>
      </c>
      <c r="AK66" t="s">
        <v>169</v>
      </c>
      <c r="AL66" t="s">
        <v>151</v>
      </c>
      <c r="AM66" t="s">
        <v>129</v>
      </c>
      <c r="AN66" t="s">
        <v>129</v>
      </c>
      <c r="AO66">
        <v>3</v>
      </c>
      <c r="AP66" t="s">
        <v>131</v>
      </c>
      <c r="AQ66" t="s">
        <v>302</v>
      </c>
      <c r="AS66" t="s">
        <v>696</v>
      </c>
      <c r="AT66" t="s">
        <v>697</v>
      </c>
      <c r="AU66" t="s">
        <v>157</v>
      </c>
      <c r="AW66" s="1" t="s">
        <v>123</v>
      </c>
      <c r="AX66" t="s">
        <v>132</v>
      </c>
      <c r="CQ66" s="1" t="s">
        <v>123</v>
      </c>
      <c r="DA66" s="1" t="s">
        <v>123</v>
      </c>
      <c r="DK66" s="1" t="s">
        <v>123</v>
      </c>
      <c r="EN66" s="1" t="s">
        <v>177</v>
      </c>
      <c r="EO66" t="s">
        <v>180</v>
      </c>
      <c r="EP66" t="s">
        <v>132</v>
      </c>
      <c r="FN66" s="1"/>
    </row>
    <row r="67" spans="1:213" x14ac:dyDescent="0.45">
      <c r="A67">
        <v>52</v>
      </c>
      <c r="B67">
        <f>_xlfn.IFNA(VLOOKUP(Wszystkie[[#This Row],[Zakończono wypełnianie]],Zakończone[],2,0),"BRAK")</f>
        <v>31</v>
      </c>
      <c r="C67" t="s">
        <v>598</v>
      </c>
      <c r="D67" t="s">
        <v>118</v>
      </c>
      <c r="E67" t="s">
        <v>359</v>
      </c>
      <c r="I67" t="s">
        <v>119</v>
      </c>
      <c r="J67" t="s">
        <v>599</v>
      </c>
      <c r="K67" t="s">
        <v>600</v>
      </c>
      <c r="L67">
        <v>61362</v>
      </c>
      <c r="M67">
        <v>0</v>
      </c>
      <c r="N67" t="s">
        <v>122</v>
      </c>
      <c r="O67" s="1" t="s">
        <v>123</v>
      </c>
      <c r="AE67" s="1" t="s">
        <v>124</v>
      </c>
      <c r="AF67" t="s">
        <v>445</v>
      </c>
      <c r="AG67">
        <v>2018</v>
      </c>
      <c r="AH67" t="s">
        <v>148</v>
      </c>
      <c r="AI67" t="s">
        <v>601</v>
      </c>
      <c r="AJ67" t="s">
        <v>150</v>
      </c>
      <c r="AK67" t="s">
        <v>162</v>
      </c>
      <c r="AL67" t="s">
        <v>128</v>
      </c>
      <c r="AM67" t="s">
        <v>129</v>
      </c>
      <c r="AN67" t="s">
        <v>132</v>
      </c>
      <c r="AO67" t="s">
        <v>602</v>
      </c>
      <c r="AP67" t="s">
        <v>131</v>
      </c>
      <c r="AQ67" t="s">
        <v>132</v>
      </c>
      <c r="AS67" t="s">
        <v>603</v>
      </c>
      <c r="AT67" t="s">
        <v>604</v>
      </c>
      <c r="AU67" t="s">
        <v>157</v>
      </c>
      <c r="AW67" s="1" t="s">
        <v>123</v>
      </c>
      <c r="AX67" t="s">
        <v>132</v>
      </c>
      <c r="CQ67" s="1" t="s">
        <v>123</v>
      </c>
      <c r="DA67" s="1" t="s">
        <v>123</v>
      </c>
      <c r="DK67" s="1" t="s">
        <v>123</v>
      </c>
      <c r="EN67" s="1" t="s">
        <v>123</v>
      </c>
      <c r="EO67" t="s">
        <v>180</v>
      </c>
      <c r="EP67" t="s">
        <v>132</v>
      </c>
      <c r="FN67" s="1" t="s">
        <v>123</v>
      </c>
      <c r="FO67" t="s">
        <v>132</v>
      </c>
      <c r="FQ67" t="s">
        <v>132</v>
      </c>
      <c r="GV67" t="s">
        <v>605</v>
      </c>
      <c r="GW67" t="s">
        <v>606</v>
      </c>
      <c r="GX67" t="s">
        <v>607</v>
      </c>
      <c r="GY67" t="s">
        <v>140</v>
      </c>
      <c r="GZ67">
        <v>1994</v>
      </c>
      <c r="HA67" t="s">
        <v>483</v>
      </c>
      <c r="HC67" t="s">
        <v>608</v>
      </c>
      <c r="HD67" t="s">
        <v>609</v>
      </c>
    </row>
    <row r="68" spans="1:213" x14ac:dyDescent="0.45">
      <c r="A68">
        <v>67</v>
      </c>
      <c r="B68">
        <f>_xlfn.IFNA(VLOOKUP(Wszystkie[[#This Row],[Zakończono wypełnianie]],Zakończone[],2,0),"BRAK")</f>
        <v>38</v>
      </c>
      <c r="C68" t="s">
        <v>698</v>
      </c>
      <c r="D68" t="s">
        <v>118</v>
      </c>
      <c r="E68" t="s">
        <v>359</v>
      </c>
      <c r="I68" t="s">
        <v>119</v>
      </c>
      <c r="J68" t="s">
        <v>699</v>
      </c>
      <c r="K68" t="s">
        <v>700</v>
      </c>
      <c r="L68">
        <v>1910</v>
      </c>
      <c r="M68">
        <v>0</v>
      </c>
      <c r="N68" t="s">
        <v>122</v>
      </c>
      <c r="O68" s="1" t="s">
        <v>123</v>
      </c>
      <c r="AE68" s="1" t="s">
        <v>124</v>
      </c>
      <c r="AF68" t="s">
        <v>701</v>
      </c>
      <c r="AG68">
        <v>2020</v>
      </c>
      <c r="AH68" t="s">
        <v>148</v>
      </c>
      <c r="AI68" t="s">
        <v>702</v>
      </c>
      <c r="AJ68" t="s">
        <v>162</v>
      </c>
      <c r="AK68" t="s">
        <v>162</v>
      </c>
      <c r="AL68" t="s">
        <v>236</v>
      </c>
      <c r="AM68" t="s">
        <v>236</v>
      </c>
      <c r="AN68" t="s">
        <v>132</v>
      </c>
      <c r="AO68" t="s">
        <v>703</v>
      </c>
      <c r="AP68" t="s">
        <v>131</v>
      </c>
      <c r="AQ68" t="s">
        <v>132</v>
      </c>
      <c r="AR68" t="s">
        <v>704</v>
      </c>
      <c r="AS68" t="s">
        <v>705</v>
      </c>
      <c r="AT68" t="s">
        <v>706</v>
      </c>
      <c r="AU68" t="s">
        <v>157</v>
      </c>
      <c r="AW68" s="1" t="s">
        <v>123</v>
      </c>
      <c r="AX68" t="s">
        <v>132</v>
      </c>
      <c r="CQ68" s="1" t="s">
        <v>123</v>
      </c>
      <c r="DA68" s="1" t="s">
        <v>123</v>
      </c>
      <c r="DK68" s="1" t="s">
        <v>123</v>
      </c>
      <c r="EN68" s="1" t="s">
        <v>123</v>
      </c>
      <c r="EO68" t="s">
        <v>180</v>
      </c>
      <c r="EP68" t="s">
        <v>132</v>
      </c>
      <c r="FN68" s="1" t="s">
        <v>123</v>
      </c>
      <c r="FO68" t="s">
        <v>132</v>
      </c>
      <c r="FQ68" t="s">
        <v>132</v>
      </c>
      <c r="GV68" t="s">
        <v>707</v>
      </c>
      <c r="GW68" t="s">
        <v>708</v>
      </c>
      <c r="GX68" t="s">
        <v>709</v>
      </c>
      <c r="GY68" t="s">
        <v>140</v>
      </c>
      <c r="GZ68">
        <v>1994</v>
      </c>
      <c r="HA68" t="s">
        <v>220</v>
      </c>
    </row>
    <row r="69" spans="1:213" x14ac:dyDescent="0.45">
      <c r="A69">
        <v>68</v>
      </c>
      <c r="B69" t="str">
        <f>_xlfn.IFNA(VLOOKUP(Wszystkie[[#This Row],[Zakończono wypełnianie]],Zakończone[],2,0),"BRAK")</f>
        <v>BRAK</v>
      </c>
      <c r="C69" t="s">
        <v>710</v>
      </c>
      <c r="D69" t="s">
        <v>118</v>
      </c>
      <c r="E69" t="s">
        <v>359</v>
      </c>
      <c r="I69" t="s">
        <v>286</v>
      </c>
      <c r="J69" t="s">
        <v>711</v>
      </c>
      <c r="K69" t="s">
        <v>711</v>
      </c>
      <c r="L69">
        <v>0</v>
      </c>
      <c r="M69">
        <v>0</v>
      </c>
      <c r="N69" t="s">
        <v>122</v>
      </c>
      <c r="O69" s="1" t="s">
        <v>416</v>
      </c>
      <c r="AE69" s="1"/>
      <c r="AW69" s="1"/>
      <c r="CQ69" s="1"/>
      <c r="DA69" s="1"/>
      <c r="DK69" s="1"/>
      <c r="EN69" s="1"/>
      <c r="FN69" s="1"/>
    </row>
    <row r="70" spans="1:213" x14ac:dyDescent="0.45">
      <c r="A70">
        <v>69</v>
      </c>
      <c r="B70" t="str">
        <f>_xlfn.IFNA(VLOOKUP(Wszystkie[[#This Row],[Zakończono wypełnianie]],Zakończone[],2,0),"BRAK")</f>
        <v>BRAK</v>
      </c>
      <c r="C70" t="s">
        <v>712</v>
      </c>
      <c r="D70" t="s">
        <v>118</v>
      </c>
      <c r="E70" t="s">
        <v>359</v>
      </c>
      <c r="I70" t="s">
        <v>286</v>
      </c>
      <c r="J70" t="s">
        <v>713</v>
      </c>
      <c r="K70" t="s">
        <v>713</v>
      </c>
      <c r="L70">
        <v>0</v>
      </c>
      <c r="M70">
        <v>0</v>
      </c>
      <c r="N70" t="s">
        <v>122</v>
      </c>
      <c r="O70" s="1" t="s">
        <v>123</v>
      </c>
      <c r="AE70" s="1" t="s">
        <v>124</v>
      </c>
      <c r="AW70" s="1"/>
      <c r="CQ70" s="1"/>
      <c r="DA70" s="1"/>
      <c r="DK70" s="1"/>
      <c r="EN70" s="1"/>
      <c r="FN70" s="1"/>
    </row>
    <row r="71" spans="1:213" x14ac:dyDescent="0.45">
      <c r="A71">
        <v>70</v>
      </c>
      <c r="B71">
        <f>_xlfn.IFNA(VLOOKUP(Wszystkie[[#This Row],[Zakończono wypełnianie]],Zakończone[],2,0),"BRAK")</f>
        <v>39</v>
      </c>
      <c r="C71" t="s">
        <v>714</v>
      </c>
      <c r="D71" t="s">
        <v>118</v>
      </c>
      <c r="I71" t="s">
        <v>119</v>
      </c>
      <c r="J71" t="s">
        <v>715</v>
      </c>
      <c r="K71" t="s">
        <v>716</v>
      </c>
      <c r="L71">
        <v>1868</v>
      </c>
      <c r="M71">
        <v>0</v>
      </c>
      <c r="N71" t="s">
        <v>122</v>
      </c>
      <c r="O71" s="1" t="s">
        <v>123</v>
      </c>
      <c r="AE71" s="1" t="s">
        <v>124</v>
      </c>
      <c r="AF71" t="s">
        <v>191</v>
      </c>
      <c r="AG71">
        <v>2008</v>
      </c>
      <c r="AH71" t="s">
        <v>126</v>
      </c>
      <c r="AI71" t="s">
        <v>717</v>
      </c>
      <c r="AJ71" t="s">
        <v>162</v>
      </c>
      <c r="AK71" t="s">
        <v>151</v>
      </c>
      <c r="AL71" t="s">
        <v>162</v>
      </c>
      <c r="AM71" t="s">
        <v>236</v>
      </c>
      <c r="AN71" t="s">
        <v>236</v>
      </c>
      <c r="AO71" t="s">
        <v>718</v>
      </c>
      <c r="AP71" t="s">
        <v>131</v>
      </c>
      <c r="AQ71" t="s">
        <v>302</v>
      </c>
      <c r="AR71" t="s">
        <v>719</v>
      </c>
      <c r="AS71" t="s">
        <v>720</v>
      </c>
      <c r="AT71" t="s">
        <v>721</v>
      </c>
      <c r="AU71" t="s">
        <v>172</v>
      </c>
      <c r="AW71" s="1" t="s">
        <v>123</v>
      </c>
      <c r="CQ71" s="1" t="s">
        <v>123</v>
      </c>
      <c r="DA71" s="1" t="s">
        <v>214</v>
      </c>
      <c r="DB71" t="s">
        <v>722</v>
      </c>
      <c r="DC71" t="s">
        <v>723</v>
      </c>
      <c r="DD71" t="s">
        <v>150</v>
      </c>
      <c r="DE71" t="s">
        <v>162</v>
      </c>
      <c r="DF71" t="s">
        <v>151</v>
      </c>
      <c r="DG71" t="s">
        <v>162</v>
      </c>
      <c r="DH71" t="s">
        <v>128</v>
      </c>
      <c r="DI71" t="s">
        <v>128</v>
      </c>
      <c r="DJ71" t="s">
        <v>724</v>
      </c>
      <c r="DK71" s="1" t="s">
        <v>123</v>
      </c>
      <c r="EN71" s="1" t="s">
        <v>177</v>
      </c>
      <c r="EO71" t="s">
        <v>180</v>
      </c>
      <c r="EP71">
        <v>1</v>
      </c>
      <c r="EQ71" t="s">
        <v>722</v>
      </c>
      <c r="ER71" t="s">
        <v>162</v>
      </c>
      <c r="ES71" t="s">
        <v>150</v>
      </c>
      <c r="ET71" t="s">
        <v>236</v>
      </c>
      <c r="EU71" t="s">
        <v>178</v>
      </c>
      <c r="EV71" t="s">
        <v>725</v>
      </c>
      <c r="EW71" t="s">
        <v>726</v>
      </c>
      <c r="EX71" t="s">
        <v>173</v>
      </c>
      <c r="FN71" s="1" t="s">
        <v>123</v>
      </c>
      <c r="FO71" t="s">
        <v>132</v>
      </c>
      <c r="FQ71" t="s">
        <v>132</v>
      </c>
      <c r="GV71" t="s">
        <v>727</v>
      </c>
      <c r="GW71" t="s">
        <v>728</v>
      </c>
      <c r="GX71" t="s">
        <v>729</v>
      </c>
      <c r="GY71" t="s">
        <v>186</v>
      </c>
      <c r="GZ71">
        <v>1983</v>
      </c>
      <c r="HA71" t="s">
        <v>141</v>
      </c>
      <c r="HC71" t="s">
        <v>730</v>
      </c>
      <c r="HE71" t="s">
        <v>731</v>
      </c>
    </row>
    <row r="72" spans="1:213" x14ac:dyDescent="0.45">
      <c r="A72">
        <v>71</v>
      </c>
      <c r="B72" t="str">
        <f>_xlfn.IFNA(VLOOKUP(Wszystkie[[#This Row],[Zakończono wypełnianie]],Zakończone[],2,0),"BRAK")</f>
        <v>BRAK</v>
      </c>
      <c r="C72" t="s">
        <v>732</v>
      </c>
      <c r="D72" t="s">
        <v>118</v>
      </c>
      <c r="E72" t="s">
        <v>733</v>
      </c>
      <c r="I72" t="s">
        <v>286</v>
      </c>
      <c r="J72" t="s">
        <v>734</v>
      </c>
      <c r="K72" t="s">
        <v>734</v>
      </c>
      <c r="L72">
        <v>0</v>
      </c>
      <c r="M72">
        <v>0</v>
      </c>
      <c r="N72" t="s">
        <v>122</v>
      </c>
      <c r="O72" s="1" t="s">
        <v>416</v>
      </c>
      <c r="AE72" s="1"/>
      <c r="AW72" s="1"/>
      <c r="CQ72" s="1"/>
      <c r="DA72" s="1"/>
      <c r="DK72" s="1"/>
      <c r="EN72" s="1"/>
      <c r="FN72" s="1"/>
    </row>
    <row r="73" spans="1:213" x14ac:dyDescent="0.45">
      <c r="A73">
        <v>72</v>
      </c>
      <c r="B73" t="str">
        <f>_xlfn.IFNA(VLOOKUP(Wszystkie[[#This Row],[Zakończono wypełnianie]],Zakończone[],2,0),"BRAK")</f>
        <v>BRAK</v>
      </c>
      <c r="C73" t="s">
        <v>735</v>
      </c>
      <c r="D73" t="s">
        <v>118</v>
      </c>
      <c r="I73" t="s">
        <v>286</v>
      </c>
      <c r="J73" t="s">
        <v>736</v>
      </c>
      <c r="K73" t="s">
        <v>736</v>
      </c>
      <c r="L73">
        <v>0</v>
      </c>
      <c r="M73">
        <v>0</v>
      </c>
      <c r="N73" t="s">
        <v>122</v>
      </c>
      <c r="O73" s="1" t="s">
        <v>416</v>
      </c>
      <c r="AE73" s="1"/>
      <c r="AW73" s="1"/>
      <c r="CQ73" s="1"/>
      <c r="DA73" s="1"/>
      <c r="DK73" s="1"/>
      <c r="EN73" s="1"/>
      <c r="FN73" s="1"/>
    </row>
    <row r="74" spans="1:213" x14ac:dyDescent="0.45">
      <c r="A74">
        <v>73</v>
      </c>
      <c r="B74" t="str">
        <f>_xlfn.IFNA(VLOOKUP(Wszystkie[[#This Row],[Zakończono wypełnianie]],Zakończone[],2,0),"BRAK")</f>
        <v>BRAK</v>
      </c>
      <c r="C74" t="s">
        <v>737</v>
      </c>
      <c r="D74" t="s">
        <v>118</v>
      </c>
      <c r="E74" t="s">
        <v>375</v>
      </c>
      <c r="I74" t="s">
        <v>286</v>
      </c>
      <c r="J74" t="s">
        <v>738</v>
      </c>
      <c r="K74" t="s">
        <v>738</v>
      </c>
      <c r="L74">
        <v>0</v>
      </c>
      <c r="M74">
        <v>0</v>
      </c>
      <c r="N74" t="s">
        <v>122</v>
      </c>
      <c r="O74" s="1" t="s">
        <v>123</v>
      </c>
      <c r="AE74" s="1" t="s">
        <v>124</v>
      </c>
      <c r="AW74" s="1"/>
      <c r="CQ74" s="1"/>
      <c r="DA74" s="1"/>
      <c r="DK74" s="1"/>
      <c r="EN74" s="1"/>
      <c r="FN74" s="1"/>
    </row>
    <row r="75" spans="1:213" x14ac:dyDescent="0.45">
      <c r="A75">
        <v>74</v>
      </c>
      <c r="B75">
        <f>_xlfn.IFNA(VLOOKUP(Wszystkie[[#This Row],[Zakończono wypełnianie]],Zakończone[],2,0),"BRAK")</f>
        <v>40</v>
      </c>
      <c r="C75" t="s">
        <v>739</v>
      </c>
      <c r="D75" t="s">
        <v>118</v>
      </c>
      <c r="I75" t="s">
        <v>119</v>
      </c>
      <c r="J75" t="s">
        <v>740</v>
      </c>
      <c r="K75" t="s">
        <v>741</v>
      </c>
      <c r="L75">
        <v>341</v>
      </c>
      <c r="M75">
        <v>0</v>
      </c>
      <c r="N75" t="s">
        <v>122</v>
      </c>
      <c r="O75" s="1" t="s">
        <v>123</v>
      </c>
      <c r="AE75" s="1" t="s">
        <v>124</v>
      </c>
      <c r="AF75" t="s">
        <v>742</v>
      </c>
      <c r="AG75">
        <v>2007</v>
      </c>
      <c r="AH75" t="s">
        <v>148</v>
      </c>
      <c r="AI75" t="s">
        <v>743</v>
      </c>
      <c r="AJ75" t="s">
        <v>236</v>
      </c>
      <c r="AK75" t="s">
        <v>129</v>
      </c>
      <c r="AL75" t="s">
        <v>128</v>
      </c>
      <c r="AM75" t="s">
        <v>162</v>
      </c>
      <c r="AN75" t="s">
        <v>150</v>
      </c>
      <c r="AO75" t="s">
        <v>237</v>
      </c>
      <c r="AP75" t="s">
        <v>302</v>
      </c>
      <c r="AQ75" t="s">
        <v>153</v>
      </c>
      <c r="AR75" t="s">
        <v>744</v>
      </c>
      <c r="AS75" t="s">
        <v>745</v>
      </c>
      <c r="AT75" t="s">
        <v>746</v>
      </c>
      <c r="AU75" t="s">
        <v>172</v>
      </c>
      <c r="AW75" s="1" t="s">
        <v>123</v>
      </c>
      <c r="AX75" t="s">
        <v>132</v>
      </c>
      <c r="CQ75" s="1" t="s">
        <v>387</v>
      </c>
      <c r="CR75" t="s">
        <v>747</v>
      </c>
      <c r="CS75" t="s">
        <v>748</v>
      </c>
      <c r="CT75" t="s">
        <v>150</v>
      </c>
      <c r="CU75" t="s">
        <v>150</v>
      </c>
      <c r="CV75" t="s">
        <v>169</v>
      </c>
      <c r="CW75" t="s">
        <v>169</v>
      </c>
      <c r="CX75" t="s">
        <v>150</v>
      </c>
      <c r="CY75" t="s">
        <v>150</v>
      </c>
      <c r="CZ75" t="s">
        <v>749</v>
      </c>
      <c r="DA75" s="1" t="s">
        <v>123</v>
      </c>
      <c r="DK75" s="1" t="s">
        <v>123</v>
      </c>
      <c r="EN75" s="1" t="s">
        <v>123</v>
      </c>
      <c r="EO75" t="s">
        <v>178</v>
      </c>
      <c r="EP75" t="s">
        <v>132</v>
      </c>
      <c r="FN75" s="1" t="s">
        <v>123</v>
      </c>
      <c r="FO75" t="s">
        <v>132</v>
      </c>
      <c r="FQ75" t="s">
        <v>132</v>
      </c>
      <c r="GV75" t="s">
        <v>750</v>
      </c>
      <c r="GW75" t="s">
        <v>751</v>
      </c>
      <c r="GX75" t="s">
        <v>752</v>
      </c>
      <c r="GY75" t="s">
        <v>186</v>
      </c>
      <c r="GZ75">
        <v>1983</v>
      </c>
      <c r="HA75" t="s">
        <v>398</v>
      </c>
      <c r="HC75" t="s">
        <v>753</v>
      </c>
      <c r="HD75" t="s">
        <v>532</v>
      </c>
    </row>
    <row r="76" spans="1:213" x14ac:dyDescent="0.45">
      <c r="A76">
        <v>75</v>
      </c>
      <c r="B76">
        <f>_xlfn.IFNA(VLOOKUP(Wszystkie[[#This Row],[Zakończono wypełnianie]],Zakończone[],2,0),"BRAK")</f>
        <v>41</v>
      </c>
      <c r="C76" t="s">
        <v>754</v>
      </c>
      <c r="D76" t="s">
        <v>118</v>
      </c>
      <c r="E76" t="s">
        <v>755</v>
      </c>
      <c r="I76" t="s">
        <v>119</v>
      </c>
      <c r="J76" t="s">
        <v>756</v>
      </c>
      <c r="K76" t="s">
        <v>757</v>
      </c>
      <c r="L76">
        <v>487</v>
      </c>
      <c r="M76">
        <v>0</v>
      </c>
      <c r="N76" t="s">
        <v>122</v>
      </c>
      <c r="O76" s="1" t="s">
        <v>416</v>
      </c>
      <c r="P76" t="s">
        <v>147</v>
      </c>
      <c r="Q76" t="s">
        <v>148</v>
      </c>
      <c r="R76" t="s">
        <v>758</v>
      </c>
      <c r="S76" t="s">
        <v>236</v>
      </c>
      <c r="T76" t="s">
        <v>129</v>
      </c>
      <c r="U76" t="s">
        <v>236</v>
      </c>
      <c r="V76" t="s">
        <v>718</v>
      </c>
      <c r="W76" t="s">
        <v>759</v>
      </c>
      <c r="X76" t="s">
        <v>194</v>
      </c>
      <c r="Y76" t="s">
        <v>760</v>
      </c>
      <c r="Z76" t="s">
        <v>761</v>
      </c>
      <c r="AA76" t="s">
        <v>762</v>
      </c>
      <c r="AB76" t="s">
        <v>157</v>
      </c>
      <c r="AD76" t="s">
        <v>763</v>
      </c>
      <c r="AE76" s="1" t="s">
        <v>124</v>
      </c>
      <c r="AF76" t="s">
        <v>223</v>
      </c>
      <c r="AG76">
        <v>2012</v>
      </c>
      <c r="AH76" t="s">
        <v>148</v>
      </c>
      <c r="AI76" t="s">
        <v>764</v>
      </c>
      <c r="AJ76" t="s">
        <v>236</v>
      </c>
      <c r="AK76" t="s">
        <v>236</v>
      </c>
      <c r="AL76" t="s">
        <v>236</v>
      </c>
      <c r="AM76" t="s">
        <v>129</v>
      </c>
      <c r="AN76" t="s">
        <v>236</v>
      </c>
      <c r="AO76" t="s">
        <v>237</v>
      </c>
      <c r="AP76" t="s">
        <v>302</v>
      </c>
      <c r="AQ76" t="s">
        <v>153</v>
      </c>
      <c r="AR76" t="s">
        <v>765</v>
      </c>
      <c r="AS76" t="s">
        <v>766</v>
      </c>
      <c r="AT76" t="s">
        <v>767</v>
      </c>
      <c r="AU76" t="s">
        <v>230</v>
      </c>
      <c r="AW76" s="1" t="s">
        <v>123</v>
      </c>
      <c r="AX76" t="s">
        <v>132</v>
      </c>
      <c r="CQ76" s="1" t="s">
        <v>123</v>
      </c>
      <c r="DA76" s="1" t="s">
        <v>123</v>
      </c>
      <c r="DK76" s="1" t="s">
        <v>123</v>
      </c>
      <c r="EN76" s="1" t="s">
        <v>123</v>
      </c>
      <c r="EO76" t="s">
        <v>180</v>
      </c>
      <c r="EP76" t="s">
        <v>132</v>
      </c>
      <c r="FN76" s="1" t="s">
        <v>123</v>
      </c>
      <c r="FO76" t="s">
        <v>132</v>
      </c>
      <c r="FQ76" t="s">
        <v>132</v>
      </c>
      <c r="GV76" t="s">
        <v>768</v>
      </c>
      <c r="GW76" t="s">
        <v>769</v>
      </c>
      <c r="GX76" t="s">
        <v>770</v>
      </c>
      <c r="GY76" t="s">
        <v>186</v>
      </c>
      <c r="GZ76">
        <v>1990</v>
      </c>
      <c r="HA76" t="s">
        <v>141</v>
      </c>
      <c r="HC76" t="s">
        <v>771</v>
      </c>
      <c r="HD76" t="s">
        <v>772</v>
      </c>
    </row>
    <row r="77" spans="1:213" x14ac:dyDescent="0.45">
      <c r="A77">
        <v>76</v>
      </c>
      <c r="B77">
        <f>_xlfn.IFNA(VLOOKUP(Wszystkie[[#This Row],[Zakończono wypełnianie]],Zakończone[],2,0),"BRAK")</f>
        <v>42</v>
      </c>
      <c r="C77" t="s">
        <v>773</v>
      </c>
      <c r="D77" t="s">
        <v>118</v>
      </c>
      <c r="E77" t="s">
        <v>774</v>
      </c>
      <c r="I77" t="s">
        <v>119</v>
      </c>
      <c r="J77" t="s">
        <v>775</v>
      </c>
      <c r="K77" t="s">
        <v>776</v>
      </c>
      <c r="L77">
        <v>1636</v>
      </c>
      <c r="M77">
        <v>0</v>
      </c>
      <c r="N77" t="s">
        <v>122</v>
      </c>
      <c r="O77" s="1" t="s">
        <v>123</v>
      </c>
      <c r="AE77" s="1" t="s">
        <v>124</v>
      </c>
      <c r="AF77" t="s">
        <v>777</v>
      </c>
      <c r="AG77">
        <v>2013</v>
      </c>
      <c r="AH77" t="s">
        <v>148</v>
      </c>
      <c r="AI77" t="s">
        <v>429</v>
      </c>
      <c r="AJ77" t="s">
        <v>128</v>
      </c>
      <c r="AK77" t="s">
        <v>151</v>
      </c>
      <c r="AL77" t="s">
        <v>162</v>
      </c>
      <c r="AM77" t="s">
        <v>129</v>
      </c>
      <c r="AN77" t="s">
        <v>236</v>
      </c>
      <c r="AO77">
        <v>0</v>
      </c>
      <c r="AP77" t="s">
        <v>131</v>
      </c>
      <c r="AQ77" t="s">
        <v>131</v>
      </c>
      <c r="AR77" t="s">
        <v>778</v>
      </c>
      <c r="AS77" t="s">
        <v>779</v>
      </c>
      <c r="AT77" t="s">
        <v>780</v>
      </c>
      <c r="AU77" t="s">
        <v>157</v>
      </c>
      <c r="AW77" s="1" t="s">
        <v>123</v>
      </c>
      <c r="CQ77" s="1" t="s">
        <v>123</v>
      </c>
      <c r="DA77" s="1" t="s">
        <v>214</v>
      </c>
      <c r="DB77" t="s">
        <v>777</v>
      </c>
      <c r="DC77" t="s">
        <v>781</v>
      </c>
      <c r="DD77" t="s">
        <v>129</v>
      </c>
      <c r="DE77" t="s">
        <v>150</v>
      </c>
      <c r="DF77" t="s">
        <v>129</v>
      </c>
      <c r="DG77" t="s">
        <v>236</v>
      </c>
      <c r="DH77" t="s">
        <v>151</v>
      </c>
      <c r="DI77" t="s">
        <v>151</v>
      </c>
      <c r="DJ77" t="s">
        <v>782</v>
      </c>
      <c r="DK77" s="1" t="s">
        <v>123</v>
      </c>
      <c r="EN77" s="1" t="s">
        <v>177</v>
      </c>
      <c r="EO77" t="s">
        <v>180</v>
      </c>
      <c r="EP77">
        <v>1</v>
      </c>
      <c r="EQ77" t="s">
        <v>783</v>
      </c>
      <c r="ER77" t="s">
        <v>150</v>
      </c>
      <c r="ES77" t="s">
        <v>150</v>
      </c>
      <c r="ET77" t="s">
        <v>236</v>
      </c>
      <c r="EU77" t="s">
        <v>178</v>
      </c>
      <c r="EV77" t="s">
        <v>784</v>
      </c>
      <c r="EW77" t="s">
        <v>785</v>
      </c>
      <c r="EX77" t="s">
        <v>173</v>
      </c>
      <c r="FN77" s="1" t="s">
        <v>123</v>
      </c>
      <c r="FO77" t="s">
        <v>132</v>
      </c>
      <c r="GV77" t="s">
        <v>786</v>
      </c>
      <c r="GW77" t="s">
        <v>787</v>
      </c>
      <c r="GX77" t="s">
        <v>788</v>
      </c>
      <c r="GY77" t="s">
        <v>140</v>
      </c>
      <c r="GZ77">
        <v>1988</v>
      </c>
      <c r="HA77" t="s">
        <v>246</v>
      </c>
      <c r="HC77" t="s">
        <v>789</v>
      </c>
      <c r="HE77" t="s">
        <v>790</v>
      </c>
    </row>
    <row r="78" spans="1:213" x14ac:dyDescent="0.45">
      <c r="A78">
        <v>77</v>
      </c>
      <c r="B78">
        <f>_xlfn.IFNA(VLOOKUP(Wszystkie[[#This Row],[Zakończono wypełnianie]],Zakończone[],2,0),"BRAK")</f>
        <v>43</v>
      </c>
      <c r="C78" t="s">
        <v>773</v>
      </c>
      <c r="D78" t="s">
        <v>118</v>
      </c>
      <c r="E78" t="s">
        <v>774</v>
      </c>
      <c r="I78" t="s">
        <v>119</v>
      </c>
      <c r="J78" t="s">
        <v>791</v>
      </c>
      <c r="K78" t="s">
        <v>792</v>
      </c>
      <c r="L78">
        <v>333</v>
      </c>
      <c r="M78">
        <v>0</v>
      </c>
      <c r="N78" t="s">
        <v>122</v>
      </c>
      <c r="O78" s="1" t="s">
        <v>123</v>
      </c>
      <c r="AE78" s="1" t="s">
        <v>124</v>
      </c>
      <c r="AF78" t="s">
        <v>742</v>
      </c>
      <c r="AG78">
        <v>2012</v>
      </c>
      <c r="AH78" t="s">
        <v>148</v>
      </c>
      <c r="AI78" t="s">
        <v>793</v>
      </c>
      <c r="AJ78" t="s">
        <v>151</v>
      </c>
      <c r="AK78" t="s">
        <v>151</v>
      </c>
      <c r="AL78" t="s">
        <v>129</v>
      </c>
      <c r="AM78" t="s">
        <v>129</v>
      </c>
      <c r="AN78" t="s">
        <v>128</v>
      </c>
      <c r="AO78">
        <v>3</v>
      </c>
      <c r="AP78" t="s">
        <v>131</v>
      </c>
      <c r="AQ78" t="s">
        <v>302</v>
      </c>
      <c r="AR78" t="s">
        <v>386</v>
      </c>
      <c r="AS78" t="s">
        <v>794</v>
      </c>
      <c r="AT78" t="s">
        <v>780</v>
      </c>
      <c r="AU78" t="s">
        <v>157</v>
      </c>
      <c r="AW78" s="1" t="s">
        <v>123</v>
      </c>
      <c r="AX78" t="s">
        <v>132</v>
      </c>
      <c r="CQ78" s="1" t="s">
        <v>123</v>
      </c>
      <c r="DA78" s="1" t="s">
        <v>123</v>
      </c>
      <c r="DK78" s="1" t="s">
        <v>123</v>
      </c>
      <c r="EN78" s="1" t="s">
        <v>123</v>
      </c>
      <c r="FN78" s="1" t="s">
        <v>123</v>
      </c>
      <c r="FO78" t="s">
        <v>132</v>
      </c>
      <c r="GV78" t="s">
        <v>786</v>
      </c>
      <c r="GW78" t="s">
        <v>787</v>
      </c>
      <c r="GX78" t="s">
        <v>788</v>
      </c>
      <c r="GY78" t="s">
        <v>186</v>
      </c>
      <c r="GZ78">
        <v>1987</v>
      </c>
      <c r="HA78" t="s">
        <v>141</v>
      </c>
      <c r="HC78" t="s">
        <v>795</v>
      </c>
    </row>
    <row r="79" spans="1:213" x14ac:dyDescent="0.45">
      <c r="A79">
        <v>78</v>
      </c>
      <c r="B79">
        <f>_xlfn.IFNA(VLOOKUP(Wszystkie[[#This Row],[Zakończono wypełnianie]],Zakończone[],2,0),"BRAK")</f>
        <v>44</v>
      </c>
      <c r="C79" t="s">
        <v>796</v>
      </c>
      <c r="D79" t="s">
        <v>118</v>
      </c>
      <c r="E79" t="s">
        <v>797</v>
      </c>
      <c r="I79" t="s">
        <v>119</v>
      </c>
      <c r="J79" t="s">
        <v>798</v>
      </c>
      <c r="K79" t="s">
        <v>799</v>
      </c>
      <c r="L79">
        <v>2364</v>
      </c>
      <c r="M79">
        <v>0</v>
      </c>
      <c r="N79" t="s">
        <v>122</v>
      </c>
      <c r="O79" s="1" t="s">
        <v>123</v>
      </c>
      <c r="P79" t="s">
        <v>800</v>
      </c>
      <c r="AE79" s="1" t="s">
        <v>124</v>
      </c>
      <c r="AF79" t="s">
        <v>800</v>
      </c>
      <c r="AG79">
        <v>2002</v>
      </c>
      <c r="AH79" t="s">
        <v>126</v>
      </c>
      <c r="AI79" t="s">
        <v>801</v>
      </c>
      <c r="AJ79" t="s">
        <v>150</v>
      </c>
      <c r="AK79" t="s">
        <v>162</v>
      </c>
      <c r="AL79" t="s">
        <v>151</v>
      </c>
      <c r="AM79" t="s">
        <v>129</v>
      </c>
      <c r="AN79" t="s">
        <v>236</v>
      </c>
      <c r="AO79">
        <v>3</v>
      </c>
      <c r="AP79" t="s">
        <v>152</v>
      </c>
      <c r="AQ79" t="s">
        <v>152</v>
      </c>
      <c r="AR79" t="s">
        <v>802</v>
      </c>
      <c r="AS79" t="s">
        <v>803</v>
      </c>
      <c r="AT79" t="s">
        <v>804</v>
      </c>
      <c r="AU79" t="s">
        <v>157</v>
      </c>
      <c r="AW79" s="1" t="s">
        <v>123</v>
      </c>
      <c r="CQ79" s="1" t="s">
        <v>123</v>
      </c>
      <c r="DA79" s="1" t="s">
        <v>123</v>
      </c>
      <c r="DK79" s="1" t="s">
        <v>123</v>
      </c>
      <c r="EN79" s="1" t="s">
        <v>123</v>
      </c>
      <c r="FN79" s="1" t="s">
        <v>123</v>
      </c>
      <c r="FO79" t="s">
        <v>132</v>
      </c>
      <c r="GV79" t="s">
        <v>805</v>
      </c>
      <c r="GW79" t="s">
        <v>806</v>
      </c>
      <c r="GX79" t="s">
        <v>807</v>
      </c>
      <c r="GY79" t="s">
        <v>140</v>
      </c>
      <c r="GZ79">
        <v>1978</v>
      </c>
      <c r="HA79" t="s">
        <v>141</v>
      </c>
      <c r="HC79" t="s">
        <v>386</v>
      </c>
      <c r="HD79" t="s">
        <v>386</v>
      </c>
    </row>
    <row r="80" spans="1:213" x14ac:dyDescent="0.45">
      <c r="A80">
        <v>13</v>
      </c>
      <c r="B80">
        <f>_xlfn.IFNA(VLOOKUP(Wszystkie[[#This Row],[Zakończono wypełnianie]],Zakończone[],2,0),"BRAK")</f>
        <v>12</v>
      </c>
      <c r="C80" t="s">
        <v>326</v>
      </c>
      <c r="D80" t="s">
        <v>118</v>
      </c>
      <c r="I80" t="s">
        <v>119</v>
      </c>
      <c r="J80" t="s">
        <v>327</v>
      </c>
      <c r="K80" t="s">
        <v>328</v>
      </c>
      <c r="L80">
        <v>1387173</v>
      </c>
      <c r="M80">
        <v>0</v>
      </c>
      <c r="N80" t="s">
        <v>122</v>
      </c>
      <c r="O80" s="1" t="s">
        <v>123</v>
      </c>
      <c r="AE80" s="1" t="s">
        <v>124</v>
      </c>
      <c r="AF80" t="s">
        <v>329</v>
      </c>
      <c r="AG80">
        <v>2011</v>
      </c>
      <c r="AH80" t="s">
        <v>126</v>
      </c>
      <c r="AI80" t="s">
        <v>330</v>
      </c>
      <c r="AJ80" t="s">
        <v>169</v>
      </c>
      <c r="AK80" t="s">
        <v>169</v>
      </c>
      <c r="AL80" t="s">
        <v>150</v>
      </c>
      <c r="AM80" t="s">
        <v>162</v>
      </c>
      <c r="AN80" t="s">
        <v>169</v>
      </c>
      <c r="AO80" t="s">
        <v>331</v>
      </c>
      <c r="AP80" t="s">
        <v>302</v>
      </c>
      <c r="AQ80" t="s">
        <v>226</v>
      </c>
      <c r="AR80" t="s">
        <v>332</v>
      </c>
      <c r="AS80" t="s">
        <v>333</v>
      </c>
      <c r="AT80" t="s">
        <v>334</v>
      </c>
      <c r="AU80" t="s">
        <v>157</v>
      </c>
      <c r="AV80" t="s">
        <v>335</v>
      </c>
      <c r="AW80" s="1" t="s">
        <v>123</v>
      </c>
      <c r="CQ80" s="1" t="s">
        <v>123</v>
      </c>
      <c r="DA80" s="1" t="s">
        <v>123</v>
      </c>
      <c r="DK80" s="1" t="s">
        <v>123</v>
      </c>
      <c r="EN80" s="1" t="s">
        <v>123</v>
      </c>
      <c r="FN80" s="1" t="s">
        <v>123</v>
      </c>
      <c r="FO80" t="s">
        <v>132</v>
      </c>
      <c r="GV80" t="s">
        <v>336</v>
      </c>
      <c r="GW80" t="s">
        <v>337</v>
      </c>
      <c r="GX80" t="s">
        <v>338</v>
      </c>
      <c r="GY80" t="s">
        <v>186</v>
      </c>
      <c r="GZ80">
        <v>1987</v>
      </c>
      <c r="HA80" t="s">
        <v>246</v>
      </c>
      <c r="HC80" t="s">
        <v>339</v>
      </c>
      <c r="HD80" t="s">
        <v>340</v>
      </c>
    </row>
    <row r="81" spans="1:212" x14ac:dyDescent="0.45">
      <c r="A81">
        <v>79</v>
      </c>
      <c r="B81" t="str">
        <f>_xlfn.IFNA(VLOOKUP(Wszystkie[[#This Row],[Zakończono wypełnianie]],Zakończone[],2,0),"BRAK")</f>
        <v>BRAK</v>
      </c>
      <c r="C81" t="s">
        <v>808</v>
      </c>
      <c r="D81" t="s">
        <v>118</v>
      </c>
      <c r="E81" t="s">
        <v>809</v>
      </c>
      <c r="I81" t="s">
        <v>286</v>
      </c>
      <c r="J81" t="s">
        <v>810</v>
      </c>
      <c r="K81" t="s">
        <v>810</v>
      </c>
      <c r="L81">
        <v>0</v>
      </c>
      <c r="M81">
        <v>0</v>
      </c>
      <c r="N81" t="s">
        <v>122</v>
      </c>
      <c r="O81" s="1" t="s">
        <v>416</v>
      </c>
      <c r="AE81" s="1"/>
      <c r="AW81" s="1"/>
      <c r="CQ81" s="1"/>
      <c r="DA81" s="1"/>
      <c r="DK81" s="1"/>
      <c r="EN81" s="1"/>
      <c r="FN81" s="1"/>
    </row>
    <row r="82" spans="1:212" x14ac:dyDescent="0.45">
      <c r="A82">
        <v>80</v>
      </c>
      <c r="B82">
        <f>_xlfn.IFNA(VLOOKUP(Wszystkie[[#This Row],[Zakończono wypełnianie]],Zakończone[],2,0),"BRAK")</f>
        <v>45</v>
      </c>
      <c r="C82" t="s">
        <v>370</v>
      </c>
      <c r="D82" t="s">
        <v>118</v>
      </c>
      <c r="E82" t="s">
        <v>774</v>
      </c>
      <c r="I82" t="s">
        <v>119</v>
      </c>
      <c r="J82" t="s">
        <v>811</v>
      </c>
      <c r="K82" t="s">
        <v>812</v>
      </c>
      <c r="L82">
        <v>1671</v>
      </c>
      <c r="M82">
        <v>0</v>
      </c>
      <c r="N82" t="s">
        <v>122</v>
      </c>
      <c r="O82" s="1" t="s">
        <v>123</v>
      </c>
      <c r="AE82" s="1" t="s">
        <v>124</v>
      </c>
      <c r="AF82" t="s">
        <v>813</v>
      </c>
      <c r="AG82">
        <v>1956</v>
      </c>
      <c r="AH82" t="s">
        <v>148</v>
      </c>
      <c r="AI82" t="s">
        <v>601</v>
      </c>
      <c r="AJ82" t="s">
        <v>162</v>
      </c>
      <c r="AK82" t="s">
        <v>162</v>
      </c>
      <c r="AL82" t="s">
        <v>150</v>
      </c>
      <c r="AM82" t="s">
        <v>236</v>
      </c>
      <c r="AN82" t="s">
        <v>236</v>
      </c>
      <c r="AO82" t="s">
        <v>814</v>
      </c>
      <c r="AP82" t="s">
        <v>131</v>
      </c>
      <c r="AQ82" t="s">
        <v>131</v>
      </c>
      <c r="AS82" t="s">
        <v>815</v>
      </c>
      <c r="AT82" t="s">
        <v>816</v>
      </c>
      <c r="AU82" t="s">
        <v>172</v>
      </c>
      <c r="AV82" t="s">
        <v>817</v>
      </c>
      <c r="AW82" s="1" t="s">
        <v>123</v>
      </c>
      <c r="CQ82" s="1" t="s">
        <v>123</v>
      </c>
      <c r="DA82" s="1" t="s">
        <v>123</v>
      </c>
      <c r="DK82" s="1" t="s">
        <v>123</v>
      </c>
      <c r="EN82" s="1" t="s">
        <v>123</v>
      </c>
      <c r="EO82" t="s">
        <v>180</v>
      </c>
      <c r="EP82" t="s">
        <v>132</v>
      </c>
      <c r="FN82" s="1" t="s">
        <v>123</v>
      </c>
      <c r="FO82" t="s">
        <v>132</v>
      </c>
      <c r="FQ82" t="s">
        <v>132</v>
      </c>
      <c r="GV82" t="s">
        <v>818</v>
      </c>
      <c r="GW82" t="s">
        <v>819</v>
      </c>
      <c r="GX82" t="s">
        <v>820</v>
      </c>
      <c r="GY82" t="s">
        <v>140</v>
      </c>
      <c r="GZ82">
        <v>1933</v>
      </c>
      <c r="HA82" t="s">
        <v>220</v>
      </c>
    </row>
    <row r="83" spans="1:212" x14ac:dyDescent="0.45">
      <c r="A83">
        <v>81</v>
      </c>
      <c r="B83">
        <f>_xlfn.IFNA(VLOOKUP(Wszystkie[[#This Row],[Zakończono wypełnianie]],Zakończone[],2,0),"BRAK")</f>
        <v>46</v>
      </c>
      <c r="C83" t="s">
        <v>370</v>
      </c>
      <c r="D83" t="s">
        <v>118</v>
      </c>
      <c r="E83" t="s">
        <v>774</v>
      </c>
      <c r="I83" t="s">
        <v>119</v>
      </c>
      <c r="J83" t="s">
        <v>821</v>
      </c>
      <c r="K83" t="s">
        <v>822</v>
      </c>
      <c r="L83">
        <v>3447</v>
      </c>
      <c r="M83">
        <v>0</v>
      </c>
      <c r="N83" t="s">
        <v>122</v>
      </c>
      <c r="O83" s="1" t="s">
        <v>123</v>
      </c>
      <c r="AE83" s="1" t="s">
        <v>124</v>
      </c>
      <c r="AF83" t="s">
        <v>813</v>
      </c>
      <c r="AG83">
        <v>1960</v>
      </c>
      <c r="AH83" t="s">
        <v>148</v>
      </c>
      <c r="AI83" t="s">
        <v>823</v>
      </c>
      <c r="AJ83" t="s">
        <v>150</v>
      </c>
      <c r="AK83" t="s">
        <v>150</v>
      </c>
      <c r="AL83" t="s">
        <v>151</v>
      </c>
      <c r="AM83" t="s">
        <v>236</v>
      </c>
      <c r="AN83" t="s">
        <v>236</v>
      </c>
      <c r="AO83" t="s">
        <v>814</v>
      </c>
      <c r="AP83" t="s">
        <v>131</v>
      </c>
      <c r="AQ83" t="s">
        <v>131</v>
      </c>
      <c r="AS83" t="s">
        <v>824</v>
      </c>
      <c r="AT83" t="s">
        <v>825</v>
      </c>
      <c r="AU83" t="s">
        <v>157</v>
      </c>
      <c r="AW83" s="1" t="s">
        <v>123</v>
      </c>
      <c r="CQ83" s="1" t="s">
        <v>123</v>
      </c>
      <c r="DA83" s="1" t="s">
        <v>123</v>
      </c>
      <c r="DK83" s="1" t="s">
        <v>123</v>
      </c>
      <c r="EN83" s="1" t="s">
        <v>123</v>
      </c>
      <c r="FN83" s="1" t="s">
        <v>123</v>
      </c>
      <c r="FO83" t="s">
        <v>132</v>
      </c>
      <c r="GV83" t="s">
        <v>826</v>
      </c>
      <c r="GW83" t="s">
        <v>824</v>
      </c>
      <c r="GX83" t="s">
        <v>827</v>
      </c>
      <c r="GY83" t="s">
        <v>186</v>
      </c>
      <c r="GZ83">
        <v>1934</v>
      </c>
      <c r="HA83" t="s">
        <v>220</v>
      </c>
    </row>
    <row r="84" spans="1:212" x14ac:dyDescent="0.45">
      <c r="A84">
        <v>82</v>
      </c>
      <c r="B84">
        <f>_xlfn.IFNA(VLOOKUP(Wszystkie[[#This Row],[Zakończono wypełnianie]],Zakończone[],2,0),"BRAK")</f>
        <v>47</v>
      </c>
      <c r="C84" t="s">
        <v>828</v>
      </c>
      <c r="D84" t="s">
        <v>118</v>
      </c>
      <c r="I84" t="s">
        <v>119</v>
      </c>
      <c r="J84" t="s">
        <v>829</v>
      </c>
      <c r="K84" t="s">
        <v>830</v>
      </c>
      <c r="L84">
        <v>3349</v>
      </c>
      <c r="M84">
        <v>0</v>
      </c>
      <c r="N84" t="s">
        <v>122</v>
      </c>
      <c r="O84" s="1" t="s">
        <v>123</v>
      </c>
      <c r="AE84" s="1" t="s">
        <v>123</v>
      </c>
      <c r="AW84" s="1" t="s">
        <v>123</v>
      </c>
      <c r="AX84" t="s">
        <v>132</v>
      </c>
      <c r="CQ84" s="1" t="s">
        <v>123</v>
      </c>
      <c r="DA84" s="1" t="s">
        <v>123</v>
      </c>
      <c r="DK84" s="1" t="s">
        <v>123</v>
      </c>
      <c r="EN84" s="1" t="s">
        <v>177</v>
      </c>
      <c r="EO84" t="s">
        <v>178</v>
      </c>
      <c r="EP84">
        <v>1</v>
      </c>
      <c r="EQ84" t="s">
        <v>191</v>
      </c>
      <c r="ER84" t="s">
        <v>162</v>
      </c>
      <c r="ES84" t="s">
        <v>162</v>
      </c>
      <c r="ET84" t="s">
        <v>128</v>
      </c>
      <c r="EU84" t="s">
        <v>178</v>
      </c>
      <c r="EV84" t="s">
        <v>831</v>
      </c>
      <c r="EW84" t="s">
        <v>832</v>
      </c>
      <c r="EX84" t="s">
        <v>173</v>
      </c>
      <c r="FN84" s="1" t="s">
        <v>123</v>
      </c>
      <c r="FO84" t="s">
        <v>132</v>
      </c>
      <c r="FQ84" t="s">
        <v>132</v>
      </c>
      <c r="GV84" t="s">
        <v>833</v>
      </c>
      <c r="GW84" t="s">
        <v>834</v>
      </c>
      <c r="GX84" t="s">
        <v>835</v>
      </c>
      <c r="GY84" t="s">
        <v>140</v>
      </c>
      <c r="GZ84">
        <v>1977</v>
      </c>
      <c r="HA84" t="s">
        <v>398</v>
      </c>
      <c r="HC84" t="s">
        <v>836</v>
      </c>
    </row>
    <row r="85" spans="1:212" x14ac:dyDescent="0.45">
      <c r="A85">
        <v>83</v>
      </c>
      <c r="B85">
        <f>_xlfn.IFNA(VLOOKUP(Wszystkie[[#This Row],[Zakończono wypełnianie]],Zakończone[],2,0),"BRAK")</f>
        <v>48</v>
      </c>
      <c r="C85" t="s">
        <v>837</v>
      </c>
      <c r="D85" t="s">
        <v>118</v>
      </c>
      <c r="I85" t="s">
        <v>119</v>
      </c>
      <c r="J85" t="s">
        <v>838</v>
      </c>
      <c r="K85" t="s">
        <v>839</v>
      </c>
      <c r="L85">
        <v>3312</v>
      </c>
      <c r="M85">
        <v>0</v>
      </c>
      <c r="N85" t="s">
        <v>122</v>
      </c>
      <c r="O85" s="1" t="s">
        <v>123</v>
      </c>
      <c r="AE85" s="1" t="s">
        <v>124</v>
      </c>
      <c r="AF85" t="s">
        <v>840</v>
      </c>
      <c r="AG85">
        <v>1978</v>
      </c>
      <c r="AH85" t="s">
        <v>126</v>
      </c>
      <c r="AI85" t="s">
        <v>841</v>
      </c>
      <c r="AJ85" t="s">
        <v>169</v>
      </c>
      <c r="AK85" t="s">
        <v>169</v>
      </c>
      <c r="AL85" t="s">
        <v>151</v>
      </c>
      <c r="AM85" t="s">
        <v>150</v>
      </c>
      <c r="AN85" t="s">
        <v>150</v>
      </c>
      <c r="AO85">
        <v>2</v>
      </c>
      <c r="AP85" t="s">
        <v>302</v>
      </c>
      <c r="AQ85" t="s">
        <v>226</v>
      </c>
      <c r="AR85" t="s">
        <v>842</v>
      </c>
      <c r="AS85" t="s">
        <v>843</v>
      </c>
      <c r="AT85" t="s">
        <v>386</v>
      </c>
      <c r="AU85" t="s">
        <v>157</v>
      </c>
      <c r="AW85" s="1" t="s">
        <v>159</v>
      </c>
      <c r="AX85">
        <v>2</v>
      </c>
      <c r="AY85" t="s">
        <v>191</v>
      </c>
      <c r="AZ85">
        <v>2005</v>
      </c>
      <c r="BA85" t="s">
        <v>126</v>
      </c>
      <c r="BB85" t="s">
        <v>844</v>
      </c>
      <c r="BC85" t="s">
        <v>150</v>
      </c>
      <c r="BD85" t="s">
        <v>150</v>
      </c>
      <c r="BE85" t="s">
        <v>169</v>
      </c>
      <c r="BF85" t="s">
        <v>162</v>
      </c>
      <c r="BG85" t="s">
        <v>162</v>
      </c>
      <c r="BH85">
        <v>3</v>
      </c>
      <c r="BI85" t="s">
        <v>845</v>
      </c>
      <c r="BJ85" t="s">
        <v>157</v>
      </c>
      <c r="BL85" t="s">
        <v>148</v>
      </c>
      <c r="BM85" t="s">
        <v>166</v>
      </c>
      <c r="BN85" t="s">
        <v>191</v>
      </c>
      <c r="BO85">
        <v>2007</v>
      </c>
      <c r="BP85" t="s">
        <v>126</v>
      </c>
      <c r="BQ85" t="s">
        <v>844</v>
      </c>
      <c r="BR85" t="s">
        <v>150</v>
      </c>
      <c r="BS85" t="s">
        <v>150</v>
      </c>
      <c r="BT85" t="s">
        <v>150</v>
      </c>
      <c r="BU85" t="s">
        <v>162</v>
      </c>
      <c r="BV85" t="s">
        <v>162</v>
      </c>
      <c r="BW85">
        <v>3</v>
      </c>
      <c r="BX85" t="s">
        <v>148</v>
      </c>
      <c r="BY85" t="s">
        <v>157</v>
      </c>
      <c r="CA85" t="s">
        <v>148</v>
      </c>
      <c r="CB85" t="s">
        <v>173</v>
      </c>
      <c r="CQ85" s="1" t="s">
        <v>123</v>
      </c>
      <c r="DA85" s="1" t="s">
        <v>214</v>
      </c>
      <c r="DB85" t="s">
        <v>846</v>
      </c>
      <c r="DC85" t="s">
        <v>847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162</v>
      </c>
      <c r="DJ85" t="s">
        <v>848</v>
      </c>
      <c r="DK85" s="1" t="s">
        <v>123</v>
      </c>
      <c r="EN85" s="1" t="s">
        <v>123</v>
      </c>
      <c r="EO85" t="s">
        <v>180</v>
      </c>
      <c r="EP85" t="s">
        <v>132</v>
      </c>
      <c r="FN85" s="1" t="s">
        <v>123</v>
      </c>
      <c r="FO85" t="s">
        <v>132</v>
      </c>
      <c r="FQ85" t="s">
        <v>132</v>
      </c>
      <c r="GV85" t="s">
        <v>849</v>
      </c>
      <c r="GW85" t="s">
        <v>850</v>
      </c>
      <c r="GX85" t="s">
        <v>851</v>
      </c>
      <c r="GY85" t="s">
        <v>186</v>
      </c>
      <c r="GZ85">
        <v>1954</v>
      </c>
      <c r="HA85" t="s">
        <v>141</v>
      </c>
      <c r="HC85" t="s">
        <v>852</v>
      </c>
      <c r="HD85" t="s">
        <v>853</v>
      </c>
    </row>
    <row r="86" spans="1:212" x14ac:dyDescent="0.45">
      <c r="A86">
        <v>84</v>
      </c>
      <c r="B86">
        <f>_xlfn.IFNA(VLOOKUP(Wszystkie[[#This Row],[Zakończono wypełnianie]],Zakończone[],2,0),"BRAK")</f>
        <v>49</v>
      </c>
      <c r="C86" t="s">
        <v>854</v>
      </c>
      <c r="D86" t="s">
        <v>118</v>
      </c>
      <c r="I86" t="s">
        <v>119</v>
      </c>
      <c r="J86" t="s">
        <v>855</v>
      </c>
      <c r="K86" t="s">
        <v>856</v>
      </c>
      <c r="L86">
        <v>1349</v>
      </c>
      <c r="M86">
        <v>0</v>
      </c>
      <c r="N86" t="s">
        <v>122</v>
      </c>
      <c r="O86" s="1" t="s">
        <v>416</v>
      </c>
      <c r="P86" t="s">
        <v>179</v>
      </c>
      <c r="Q86" t="s">
        <v>148</v>
      </c>
      <c r="R86" t="s">
        <v>857</v>
      </c>
      <c r="S86" t="s">
        <v>162</v>
      </c>
      <c r="T86" t="s">
        <v>162</v>
      </c>
      <c r="U86" t="s">
        <v>151</v>
      </c>
      <c r="V86" t="s">
        <v>718</v>
      </c>
      <c r="W86" t="s">
        <v>152</v>
      </c>
      <c r="X86" t="s">
        <v>759</v>
      </c>
      <c r="Y86" t="s">
        <v>858</v>
      </c>
      <c r="Z86" t="s">
        <v>859</v>
      </c>
      <c r="AA86" t="s">
        <v>860</v>
      </c>
      <c r="AC86" t="s">
        <v>861</v>
      </c>
      <c r="AD86">
        <v>2</v>
      </c>
      <c r="AE86" s="1" t="s">
        <v>124</v>
      </c>
      <c r="AF86" t="s">
        <v>862</v>
      </c>
      <c r="AG86">
        <v>2019</v>
      </c>
      <c r="AH86" t="s">
        <v>148</v>
      </c>
      <c r="AI86" t="s">
        <v>863</v>
      </c>
      <c r="AJ86" t="s">
        <v>150</v>
      </c>
      <c r="AK86" t="s">
        <v>150</v>
      </c>
      <c r="AL86" t="s">
        <v>169</v>
      </c>
      <c r="AM86" t="s">
        <v>151</v>
      </c>
      <c r="AN86" t="s">
        <v>150</v>
      </c>
      <c r="AO86" t="s">
        <v>864</v>
      </c>
      <c r="AP86" t="s">
        <v>302</v>
      </c>
      <c r="AQ86" t="s">
        <v>759</v>
      </c>
      <c r="AR86" t="s">
        <v>865</v>
      </c>
      <c r="AS86" t="s">
        <v>866</v>
      </c>
      <c r="AT86" t="s">
        <v>867</v>
      </c>
      <c r="AU86" t="s">
        <v>157</v>
      </c>
      <c r="AW86" s="1" t="s">
        <v>123</v>
      </c>
      <c r="AX86" t="s">
        <v>132</v>
      </c>
      <c r="CQ86" s="1" t="s">
        <v>123</v>
      </c>
      <c r="DA86" s="1" t="s">
        <v>123</v>
      </c>
      <c r="DK86" s="1" t="s">
        <v>123</v>
      </c>
      <c r="EN86" s="1" t="s">
        <v>123</v>
      </c>
      <c r="FN86" s="1" t="s">
        <v>123</v>
      </c>
      <c r="FO86" t="s">
        <v>132</v>
      </c>
      <c r="GV86" t="s">
        <v>868</v>
      </c>
      <c r="GW86" t="s">
        <v>869</v>
      </c>
      <c r="GX86" t="s">
        <v>870</v>
      </c>
      <c r="GY86" t="s">
        <v>186</v>
      </c>
      <c r="GZ86">
        <v>1991</v>
      </c>
      <c r="HA86" t="s">
        <v>220</v>
      </c>
      <c r="HB86" t="s">
        <v>871</v>
      </c>
      <c r="HC86" t="s">
        <v>872</v>
      </c>
      <c r="HD86" t="s">
        <v>386</v>
      </c>
    </row>
    <row r="87" spans="1:212" x14ac:dyDescent="0.45">
      <c r="A87">
        <v>85</v>
      </c>
      <c r="B87">
        <f>_xlfn.IFNA(VLOOKUP(Wszystkie[[#This Row],[Zakończono wypełnianie]],Zakończone[],2,0),"BRAK")</f>
        <v>50</v>
      </c>
      <c r="C87" t="s">
        <v>873</v>
      </c>
      <c r="D87" t="s">
        <v>118</v>
      </c>
      <c r="E87" t="s">
        <v>797</v>
      </c>
      <c r="I87" t="s">
        <v>119</v>
      </c>
      <c r="J87" t="s">
        <v>874</v>
      </c>
      <c r="K87" t="s">
        <v>875</v>
      </c>
      <c r="L87">
        <v>1971</v>
      </c>
      <c r="M87">
        <v>0</v>
      </c>
      <c r="N87" t="s">
        <v>122</v>
      </c>
      <c r="O87" s="1" t="s">
        <v>123</v>
      </c>
      <c r="AE87" s="1" t="s">
        <v>124</v>
      </c>
      <c r="AF87" t="s">
        <v>223</v>
      </c>
      <c r="AG87">
        <v>2012</v>
      </c>
      <c r="AH87" t="s">
        <v>148</v>
      </c>
      <c r="AI87" t="s">
        <v>876</v>
      </c>
      <c r="AJ87" t="s">
        <v>150</v>
      </c>
      <c r="AK87" t="s">
        <v>162</v>
      </c>
      <c r="AL87" t="s">
        <v>128</v>
      </c>
      <c r="AM87" t="s">
        <v>236</v>
      </c>
      <c r="AN87" t="s">
        <v>151</v>
      </c>
      <c r="AO87">
        <v>2</v>
      </c>
      <c r="AP87" t="s">
        <v>131</v>
      </c>
      <c r="AQ87" t="s">
        <v>153</v>
      </c>
      <c r="AR87" t="s">
        <v>877</v>
      </c>
      <c r="AS87" t="s">
        <v>532</v>
      </c>
      <c r="AT87" t="s">
        <v>532</v>
      </c>
      <c r="AU87" t="s">
        <v>157</v>
      </c>
      <c r="AV87" t="s">
        <v>878</v>
      </c>
      <c r="AW87" s="1" t="s">
        <v>123</v>
      </c>
      <c r="CQ87" s="1" t="s">
        <v>123</v>
      </c>
      <c r="DA87" s="1" t="s">
        <v>123</v>
      </c>
      <c r="DK87" s="1" t="s">
        <v>123</v>
      </c>
      <c r="EN87" s="1" t="s">
        <v>123</v>
      </c>
      <c r="FN87" s="1" t="s">
        <v>123</v>
      </c>
      <c r="FO87" t="s">
        <v>132</v>
      </c>
      <c r="GV87" t="s">
        <v>532</v>
      </c>
      <c r="GW87" t="s">
        <v>532</v>
      </c>
      <c r="GX87" t="s">
        <v>532</v>
      </c>
      <c r="GY87" t="s">
        <v>186</v>
      </c>
      <c r="GZ87">
        <v>1988</v>
      </c>
      <c r="HA87" t="s">
        <v>246</v>
      </c>
      <c r="HD87" t="s">
        <v>879</v>
      </c>
    </row>
    <row r="88" spans="1:212" x14ac:dyDescent="0.45">
      <c r="A88">
        <v>86</v>
      </c>
      <c r="B88">
        <f>_xlfn.IFNA(VLOOKUP(Wszystkie[[#This Row],[Zakończono wypełnianie]],Zakończone[],2,0),"BRAK")</f>
        <v>51</v>
      </c>
      <c r="C88" t="s">
        <v>873</v>
      </c>
      <c r="D88" t="s">
        <v>118</v>
      </c>
      <c r="E88" t="s">
        <v>797</v>
      </c>
      <c r="I88" t="s">
        <v>119</v>
      </c>
      <c r="J88" t="s">
        <v>880</v>
      </c>
      <c r="K88" t="s">
        <v>881</v>
      </c>
      <c r="L88">
        <v>2138</v>
      </c>
      <c r="M88">
        <v>0</v>
      </c>
      <c r="N88" t="s">
        <v>122</v>
      </c>
      <c r="O88" s="1" t="s">
        <v>123</v>
      </c>
      <c r="AE88" s="1" t="s">
        <v>124</v>
      </c>
      <c r="AF88" t="s">
        <v>191</v>
      </c>
      <c r="AG88">
        <v>2005</v>
      </c>
      <c r="AH88" t="s">
        <v>126</v>
      </c>
      <c r="AI88" t="s">
        <v>882</v>
      </c>
      <c r="AJ88" t="s">
        <v>162</v>
      </c>
      <c r="AK88" t="s">
        <v>162</v>
      </c>
      <c r="AL88" t="s">
        <v>162</v>
      </c>
      <c r="AM88" t="s">
        <v>236</v>
      </c>
      <c r="AN88" t="s">
        <v>128</v>
      </c>
      <c r="AO88" t="s">
        <v>883</v>
      </c>
      <c r="AP88" t="s">
        <v>131</v>
      </c>
      <c r="AQ88" t="s">
        <v>302</v>
      </c>
      <c r="AR88" t="s">
        <v>884</v>
      </c>
      <c r="AS88" t="s">
        <v>532</v>
      </c>
      <c r="AT88" t="s">
        <v>532</v>
      </c>
      <c r="AU88" t="s">
        <v>157</v>
      </c>
      <c r="AV88" t="s">
        <v>878</v>
      </c>
      <c r="AW88" s="1" t="s">
        <v>123</v>
      </c>
      <c r="CQ88" s="1" t="s">
        <v>123</v>
      </c>
      <c r="DA88" s="1" t="s">
        <v>123</v>
      </c>
      <c r="DK88" s="1" t="s">
        <v>123</v>
      </c>
      <c r="EN88" s="1" t="s">
        <v>177</v>
      </c>
      <c r="EO88" t="s">
        <v>178</v>
      </c>
      <c r="EP88">
        <v>1</v>
      </c>
      <c r="EQ88" t="s">
        <v>747</v>
      </c>
      <c r="ER88" t="s">
        <v>162</v>
      </c>
      <c r="ES88" t="s">
        <v>162</v>
      </c>
      <c r="ET88" t="s">
        <v>151</v>
      </c>
      <c r="EU88" t="s">
        <v>178</v>
      </c>
      <c r="EV88" t="s">
        <v>885</v>
      </c>
      <c r="EW88" t="s">
        <v>886</v>
      </c>
      <c r="EX88" t="s">
        <v>173</v>
      </c>
      <c r="FN88" s="1" t="s">
        <v>123</v>
      </c>
      <c r="FO88" t="s">
        <v>132</v>
      </c>
      <c r="GV88" t="s">
        <v>887</v>
      </c>
      <c r="GW88" t="s">
        <v>532</v>
      </c>
      <c r="GX88" t="s">
        <v>532</v>
      </c>
      <c r="GY88" t="s">
        <v>140</v>
      </c>
      <c r="GZ88">
        <v>1981</v>
      </c>
      <c r="HA88" t="s">
        <v>141</v>
      </c>
    </row>
    <row r="89" spans="1:212" x14ac:dyDescent="0.45">
      <c r="A89">
        <v>87</v>
      </c>
      <c r="B89">
        <f>_xlfn.IFNA(VLOOKUP(Wszystkie[[#This Row],[Zakończono wypełnianie]],Zakończone[],2,0),"BRAK")</f>
        <v>52</v>
      </c>
      <c r="C89" t="s">
        <v>873</v>
      </c>
      <c r="D89" t="s">
        <v>118</v>
      </c>
      <c r="E89" t="s">
        <v>797</v>
      </c>
      <c r="I89" t="s">
        <v>119</v>
      </c>
      <c r="J89" t="s">
        <v>888</v>
      </c>
      <c r="K89" t="s">
        <v>889</v>
      </c>
      <c r="L89">
        <v>1595</v>
      </c>
      <c r="M89">
        <v>0</v>
      </c>
      <c r="N89" t="s">
        <v>122</v>
      </c>
      <c r="O89" s="1" t="s">
        <v>123</v>
      </c>
      <c r="AE89" s="1" t="s">
        <v>124</v>
      </c>
      <c r="AF89" t="s">
        <v>191</v>
      </c>
      <c r="AG89">
        <v>1975</v>
      </c>
      <c r="AH89" t="s">
        <v>126</v>
      </c>
      <c r="AI89" t="s">
        <v>890</v>
      </c>
      <c r="AJ89" t="s">
        <v>150</v>
      </c>
      <c r="AK89" t="s">
        <v>162</v>
      </c>
      <c r="AL89" t="s">
        <v>128</v>
      </c>
      <c r="AM89" t="s">
        <v>169</v>
      </c>
      <c r="AN89" t="s">
        <v>169</v>
      </c>
      <c r="AO89" t="s">
        <v>883</v>
      </c>
      <c r="AP89" t="s">
        <v>194</v>
      </c>
      <c r="AQ89" t="s">
        <v>194</v>
      </c>
      <c r="AR89" t="s">
        <v>891</v>
      </c>
      <c r="AS89" t="s">
        <v>532</v>
      </c>
      <c r="AT89" t="s">
        <v>532</v>
      </c>
      <c r="AU89" t="s">
        <v>892</v>
      </c>
      <c r="AW89" s="1" t="s">
        <v>159</v>
      </c>
      <c r="AY89" t="s">
        <v>893</v>
      </c>
      <c r="AZ89">
        <v>2002</v>
      </c>
      <c r="BA89" t="s">
        <v>126</v>
      </c>
      <c r="BB89" t="s">
        <v>894</v>
      </c>
      <c r="BC89" t="s">
        <v>150</v>
      </c>
      <c r="BD89" t="s">
        <v>150</v>
      </c>
      <c r="BE89" t="s">
        <v>150</v>
      </c>
      <c r="BF89" t="s">
        <v>236</v>
      </c>
      <c r="BG89" t="s">
        <v>128</v>
      </c>
      <c r="BH89">
        <v>3</v>
      </c>
      <c r="BJ89" t="s">
        <v>157</v>
      </c>
      <c r="BM89" t="s">
        <v>173</v>
      </c>
      <c r="CQ89" s="1" t="s">
        <v>123</v>
      </c>
      <c r="DA89" s="1" t="s">
        <v>123</v>
      </c>
      <c r="DK89" s="1" t="s">
        <v>123</v>
      </c>
      <c r="EN89" s="1" t="s">
        <v>123</v>
      </c>
      <c r="FN89" s="1" t="s">
        <v>123</v>
      </c>
      <c r="FO89" t="s">
        <v>132</v>
      </c>
      <c r="GV89" t="s">
        <v>532</v>
      </c>
      <c r="GW89" t="s">
        <v>532</v>
      </c>
      <c r="GX89" t="s">
        <v>532</v>
      </c>
      <c r="GY89" t="s">
        <v>186</v>
      </c>
      <c r="GZ89">
        <v>1950</v>
      </c>
      <c r="HA89" t="s">
        <v>141</v>
      </c>
    </row>
    <row r="90" spans="1:212" x14ac:dyDescent="0.45">
      <c r="A90">
        <v>88</v>
      </c>
      <c r="B90">
        <f>_xlfn.IFNA(VLOOKUP(Wszystkie[[#This Row],[Zakończono wypełnianie]],Zakończone[],2,0),"BRAK")</f>
        <v>53</v>
      </c>
      <c r="C90" t="s">
        <v>873</v>
      </c>
      <c r="D90" t="s">
        <v>118</v>
      </c>
      <c r="E90" t="s">
        <v>797</v>
      </c>
      <c r="I90" t="s">
        <v>119</v>
      </c>
      <c r="J90" t="s">
        <v>895</v>
      </c>
      <c r="K90" t="s">
        <v>896</v>
      </c>
      <c r="L90">
        <v>1418</v>
      </c>
      <c r="M90">
        <v>0</v>
      </c>
      <c r="N90" t="s">
        <v>122</v>
      </c>
      <c r="O90" s="1" t="s">
        <v>123</v>
      </c>
      <c r="AE90" s="1" t="s">
        <v>124</v>
      </c>
      <c r="AF90" t="s">
        <v>191</v>
      </c>
      <c r="AG90">
        <v>1975</v>
      </c>
      <c r="AH90" t="s">
        <v>126</v>
      </c>
      <c r="AI90" t="s">
        <v>897</v>
      </c>
      <c r="AJ90" t="s">
        <v>150</v>
      </c>
      <c r="AK90" t="s">
        <v>162</v>
      </c>
      <c r="AL90" t="s">
        <v>150</v>
      </c>
      <c r="AM90" t="s">
        <v>162</v>
      </c>
      <c r="AN90" t="s">
        <v>162</v>
      </c>
      <c r="AO90" t="s">
        <v>898</v>
      </c>
      <c r="AP90" t="s">
        <v>153</v>
      </c>
      <c r="AQ90" t="s">
        <v>153</v>
      </c>
      <c r="AS90" t="s">
        <v>532</v>
      </c>
      <c r="AT90" t="s">
        <v>532</v>
      </c>
      <c r="AU90" t="s">
        <v>157</v>
      </c>
      <c r="AW90" s="1" t="s">
        <v>159</v>
      </c>
      <c r="AX90">
        <v>1</v>
      </c>
      <c r="AY90" t="s">
        <v>191</v>
      </c>
      <c r="AZ90">
        <v>2011</v>
      </c>
      <c r="BA90" t="s">
        <v>126</v>
      </c>
      <c r="BB90" t="s">
        <v>899</v>
      </c>
      <c r="BC90" t="s">
        <v>162</v>
      </c>
      <c r="BD90" t="s">
        <v>150</v>
      </c>
      <c r="BE90" t="s">
        <v>236</v>
      </c>
      <c r="BF90" t="s">
        <v>132</v>
      </c>
      <c r="BG90" t="s">
        <v>132</v>
      </c>
      <c r="BH90" t="s">
        <v>900</v>
      </c>
      <c r="BI90" t="s">
        <v>901</v>
      </c>
      <c r="BJ90" t="s">
        <v>157</v>
      </c>
      <c r="BK90" t="s">
        <v>878</v>
      </c>
      <c r="BM90" t="s">
        <v>173</v>
      </c>
      <c r="CQ90" s="1" t="s">
        <v>123</v>
      </c>
      <c r="DA90" s="1" t="s">
        <v>123</v>
      </c>
      <c r="DK90" s="1" t="s">
        <v>123</v>
      </c>
      <c r="EN90" s="1" t="s">
        <v>123</v>
      </c>
      <c r="FN90" s="1" t="s">
        <v>123</v>
      </c>
      <c r="FO90" t="s">
        <v>132</v>
      </c>
      <c r="GV90" t="s">
        <v>532</v>
      </c>
      <c r="GW90" t="s">
        <v>532</v>
      </c>
      <c r="GX90" t="s">
        <v>532</v>
      </c>
      <c r="GY90" t="s">
        <v>140</v>
      </c>
      <c r="GZ90">
        <v>1950</v>
      </c>
      <c r="HA90" t="s">
        <v>141</v>
      </c>
    </row>
    <row r="91" spans="1:212" x14ac:dyDescent="0.45">
      <c r="A91">
        <v>89</v>
      </c>
      <c r="B91">
        <f>_xlfn.IFNA(VLOOKUP(Wszystkie[[#This Row],[Zakończono wypełnianie]],Zakończone[],2,0),"BRAK")</f>
        <v>54</v>
      </c>
      <c r="C91" t="s">
        <v>902</v>
      </c>
      <c r="D91" t="s">
        <v>118</v>
      </c>
      <c r="I91" t="s">
        <v>119</v>
      </c>
      <c r="J91" t="s">
        <v>903</v>
      </c>
      <c r="K91" t="s">
        <v>904</v>
      </c>
      <c r="L91">
        <v>255</v>
      </c>
      <c r="M91">
        <v>0</v>
      </c>
      <c r="N91" t="s">
        <v>122</v>
      </c>
      <c r="O91" s="1" t="s">
        <v>123</v>
      </c>
      <c r="AE91" s="1" t="s">
        <v>124</v>
      </c>
      <c r="AF91" t="s">
        <v>905</v>
      </c>
      <c r="AG91">
        <v>2009</v>
      </c>
      <c r="AH91" t="s">
        <v>126</v>
      </c>
      <c r="AI91" t="s">
        <v>906</v>
      </c>
      <c r="AJ91" t="s">
        <v>151</v>
      </c>
      <c r="AK91" t="s">
        <v>151</v>
      </c>
      <c r="AL91" t="s">
        <v>150</v>
      </c>
      <c r="AM91" t="s">
        <v>128</v>
      </c>
      <c r="AN91" t="s">
        <v>162</v>
      </c>
      <c r="AO91" t="s">
        <v>907</v>
      </c>
      <c r="AP91" t="s">
        <v>131</v>
      </c>
      <c r="AQ91" t="s">
        <v>759</v>
      </c>
      <c r="AR91" t="s">
        <v>908</v>
      </c>
      <c r="AS91" t="s">
        <v>908</v>
      </c>
      <c r="AT91" t="s">
        <v>909</v>
      </c>
      <c r="AU91" t="s">
        <v>172</v>
      </c>
      <c r="AW91" s="1" t="s">
        <v>123</v>
      </c>
      <c r="AX91" t="s">
        <v>132</v>
      </c>
      <c r="CQ91" s="1" t="s">
        <v>123</v>
      </c>
      <c r="DA91" s="1" t="s">
        <v>123</v>
      </c>
      <c r="DK91" s="1" t="s">
        <v>123</v>
      </c>
      <c r="EN91" s="1" t="s">
        <v>123</v>
      </c>
      <c r="EO91" t="s">
        <v>180</v>
      </c>
      <c r="EP91" t="s">
        <v>132</v>
      </c>
      <c r="FN91" s="1" t="s">
        <v>123</v>
      </c>
      <c r="FO91" t="s">
        <v>132</v>
      </c>
      <c r="FQ91" t="s">
        <v>132</v>
      </c>
      <c r="GV91" t="s">
        <v>910</v>
      </c>
      <c r="GW91" t="s">
        <v>911</v>
      </c>
      <c r="GX91" t="s">
        <v>912</v>
      </c>
      <c r="GY91" t="s">
        <v>186</v>
      </c>
      <c r="GZ91">
        <v>1983</v>
      </c>
      <c r="HA91" t="s">
        <v>141</v>
      </c>
    </row>
    <row r="92" spans="1:212" x14ac:dyDescent="0.45">
      <c r="A92">
        <v>90</v>
      </c>
      <c r="B92" t="str">
        <f>_xlfn.IFNA(VLOOKUP(Wszystkie[[#This Row],[Zakończono wypełnianie]],Zakończone[],2,0),"BRAK")</f>
        <v>BRAK</v>
      </c>
      <c r="C92" t="s">
        <v>913</v>
      </c>
      <c r="D92" t="s">
        <v>118</v>
      </c>
      <c r="I92" t="s">
        <v>286</v>
      </c>
      <c r="J92" t="s">
        <v>914</v>
      </c>
      <c r="K92" t="s">
        <v>914</v>
      </c>
      <c r="L92">
        <v>0</v>
      </c>
      <c r="M92">
        <v>0</v>
      </c>
      <c r="N92" t="s">
        <v>122</v>
      </c>
      <c r="O92" s="1" t="s">
        <v>123</v>
      </c>
      <c r="AE92" s="1" t="s">
        <v>124</v>
      </c>
      <c r="AW92" s="1"/>
      <c r="CQ92" s="1"/>
      <c r="DA92" s="1"/>
      <c r="DK92" s="1"/>
      <c r="EN92" s="1"/>
      <c r="FN92" s="1"/>
    </row>
    <row r="93" spans="1:212" x14ac:dyDescent="0.45">
      <c r="A93">
        <v>91</v>
      </c>
      <c r="B93">
        <f>_xlfn.IFNA(VLOOKUP(Wszystkie[[#This Row],[Zakończono wypełnianie]],Zakończone[],2,0),"BRAK")</f>
        <v>55</v>
      </c>
      <c r="C93" t="s">
        <v>915</v>
      </c>
      <c r="D93" t="s">
        <v>118</v>
      </c>
      <c r="I93" t="s">
        <v>119</v>
      </c>
      <c r="J93" t="s">
        <v>916</v>
      </c>
      <c r="K93" t="s">
        <v>917</v>
      </c>
      <c r="L93">
        <v>76609</v>
      </c>
      <c r="M93">
        <v>0</v>
      </c>
      <c r="N93" t="s">
        <v>122</v>
      </c>
      <c r="O93" s="1" t="s">
        <v>123</v>
      </c>
      <c r="AE93" s="1" t="s">
        <v>124</v>
      </c>
      <c r="AF93" t="s">
        <v>223</v>
      </c>
      <c r="AG93" t="s">
        <v>918</v>
      </c>
      <c r="AH93" t="s">
        <v>148</v>
      </c>
      <c r="AI93" t="s">
        <v>919</v>
      </c>
      <c r="AJ93" t="s">
        <v>169</v>
      </c>
      <c r="AK93" t="s">
        <v>169</v>
      </c>
      <c r="AL93" t="s">
        <v>150</v>
      </c>
      <c r="AM93" t="s">
        <v>128</v>
      </c>
      <c r="AN93" t="s">
        <v>128</v>
      </c>
      <c r="AO93" t="s">
        <v>920</v>
      </c>
      <c r="AP93" t="s">
        <v>302</v>
      </c>
      <c r="AQ93" t="s">
        <v>302</v>
      </c>
      <c r="AR93" t="s">
        <v>921</v>
      </c>
      <c r="AS93" t="s">
        <v>922</v>
      </c>
      <c r="AT93" t="s">
        <v>923</v>
      </c>
      <c r="AU93" t="s">
        <v>157</v>
      </c>
      <c r="AW93" s="1" t="s">
        <v>159</v>
      </c>
      <c r="AX93">
        <v>2</v>
      </c>
      <c r="AY93" t="s">
        <v>223</v>
      </c>
      <c r="AZ93">
        <v>2009</v>
      </c>
      <c r="BA93" t="s">
        <v>148</v>
      </c>
      <c r="BB93" t="s">
        <v>924</v>
      </c>
      <c r="BC93" t="s">
        <v>169</v>
      </c>
      <c r="BD93" t="s">
        <v>169</v>
      </c>
      <c r="BE93" t="s">
        <v>169</v>
      </c>
      <c r="BF93" t="s">
        <v>128</v>
      </c>
      <c r="BG93" t="s">
        <v>128</v>
      </c>
      <c r="BH93" t="s">
        <v>925</v>
      </c>
      <c r="BI93" t="s">
        <v>926</v>
      </c>
      <c r="BJ93" t="s">
        <v>157</v>
      </c>
      <c r="BL93" t="s">
        <v>927</v>
      </c>
      <c r="BM93" t="s">
        <v>173</v>
      </c>
      <c r="CQ93" s="1" t="s">
        <v>387</v>
      </c>
      <c r="CR93" t="s">
        <v>223</v>
      </c>
      <c r="CS93" t="s">
        <v>928</v>
      </c>
      <c r="CT93" t="s">
        <v>169</v>
      </c>
      <c r="CU93" t="s">
        <v>162</v>
      </c>
      <c r="CV93" t="s">
        <v>128</v>
      </c>
      <c r="CW93" t="s">
        <v>169</v>
      </c>
      <c r="CX93" t="s">
        <v>169</v>
      </c>
      <c r="CY93" t="s">
        <v>169</v>
      </c>
      <c r="CZ93" t="s">
        <v>929</v>
      </c>
      <c r="DA93" s="1" t="s">
        <v>214</v>
      </c>
      <c r="DB93" t="s">
        <v>223</v>
      </c>
      <c r="DC93" t="s">
        <v>928</v>
      </c>
      <c r="DD93" t="s">
        <v>169</v>
      </c>
      <c r="DE93" t="s">
        <v>162</v>
      </c>
      <c r="DF93" t="s">
        <v>128</v>
      </c>
      <c r="DG93" t="s">
        <v>169</v>
      </c>
      <c r="DH93" t="s">
        <v>169</v>
      </c>
      <c r="DI93" t="s">
        <v>150</v>
      </c>
      <c r="DJ93" t="s">
        <v>930</v>
      </c>
      <c r="DK93" s="1" t="s">
        <v>123</v>
      </c>
      <c r="EN93" s="1" t="s">
        <v>177</v>
      </c>
      <c r="EO93" t="s">
        <v>180</v>
      </c>
      <c r="EP93">
        <v>1</v>
      </c>
      <c r="EQ93" t="s">
        <v>223</v>
      </c>
      <c r="ER93" t="s">
        <v>169</v>
      </c>
      <c r="ES93" t="s">
        <v>169</v>
      </c>
      <c r="ET93" t="s">
        <v>236</v>
      </c>
      <c r="EU93" t="s">
        <v>180</v>
      </c>
      <c r="EV93" t="s">
        <v>931</v>
      </c>
      <c r="EW93" t="s">
        <v>932</v>
      </c>
      <c r="EX93" t="s">
        <v>173</v>
      </c>
      <c r="FN93" s="1" t="s">
        <v>123</v>
      </c>
      <c r="FO93" t="s">
        <v>132</v>
      </c>
      <c r="FQ93" t="s">
        <v>132</v>
      </c>
      <c r="GV93" t="s">
        <v>933</v>
      </c>
      <c r="GW93" t="s">
        <v>934</v>
      </c>
      <c r="GX93" t="s">
        <v>935</v>
      </c>
      <c r="GY93" t="s">
        <v>140</v>
      </c>
      <c r="GZ93">
        <v>1957</v>
      </c>
      <c r="HA93" t="s">
        <v>141</v>
      </c>
      <c r="HC93" t="s">
        <v>936</v>
      </c>
    </row>
    <row r="94" spans="1:212" x14ac:dyDescent="0.45">
      <c r="A94">
        <v>92</v>
      </c>
      <c r="B94" t="str">
        <f>_xlfn.IFNA(VLOOKUP(Wszystkie[[#This Row],[Zakończono wypełnianie]],Zakończone[],2,0),"BRAK")</f>
        <v>BRAK</v>
      </c>
      <c r="C94" t="s">
        <v>739</v>
      </c>
      <c r="D94" t="s">
        <v>118</v>
      </c>
      <c r="I94" t="s">
        <v>286</v>
      </c>
      <c r="J94" t="s">
        <v>937</v>
      </c>
      <c r="K94" t="s">
        <v>937</v>
      </c>
      <c r="L94">
        <v>0</v>
      </c>
      <c r="M94">
        <v>0</v>
      </c>
      <c r="N94" t="s">
        <v>122</v>
      </c>
      <c r="O94" s="1" t="s">
        <v>123</v>
      </c>
      <c r="AE94" s="1" t="s">
        <v>124</v>
      </c>
      <c r="AW94" s="1"/>
      <c r="CQ94" s="1"/>
      <c r="DA94" s="1"/>
      <c r="DK94" s="1"/>
      <c r="EN94" s="1"/>
      <c r="FN94" s="1"/>
    </row>
    <row r="95" spans="1:212" x14ac:dyDescent="0.45">
      <c r="A95">
        <v>93</v>
      </c>
      <c r="B95">
        <f>_xlfn.IFNA(VLOOKUP(Wszystkie[[#This Row],[Zakończono wypełnianie]],Zakończone[],2,0),"BRAK")</f>
        <v>56</v>
      </c>
      <c r="C95" t="s">
        <v>938</v>
      </c>
      <c r="D95" t="s">
        <v>118</v>
      </c>
      <c r="I95" t="s">
        <v>119</v>
      </c>
      <c r="J95" t="s">
        <v>939</v>
      </c>
      <c r="K95" t="s">
        <v>940</v>
      </c>
      <c r="L95">
        <v>451</v>
      </c>
      <c r="M95">
        <v>0</v>
      </c>
      <c r="N95" t="s">
        <v>122</v>
      </c>
      <c r="O95" s="1" t="s">
        <v>123</v>
      </c>
      <c r="AE95" s="1" t="s">
        <v>124</v>
      </c>
      <c r="AF95" t="s">
        <v>941</v>
      </c>
      <c r="AG95">
        <v>2004</v>
      </c>
      <c r="AH95" t="s">
        <v>148</v>
      </c>
      <c r="AI95" t="s">
        <v>942</v>
      </c>
      <c r="AJ95" t="s">
        <v>150</v>
      </c>
      <c r="AK95" t="s">
        <v>150</v>
      </c>
      <c r="AL95" t="s">
        <v>150</v>
      </c>
      <c r="AM95" t="s">
        <v>150</v>
      </c>
      <c r="AN95" t="s">
        <v>169</v>
      </c>
      <c r="AO95" t="s">
        <v>237</v>
      </c>
      <c r="AP95" t="s">
        <v>302</v>
      </c>
      <c r="AQ95" t="s">
        <v>943</v>
      </c>
      <c r="AR95" t="s">
        <v>944</v>
      </c>
      <c r="AS95" t="s">
        <v>945</v>
      </c>
      <c r="AT95" t="s">
        <v>946</v>
      </c>
      <c r="AU95" t="s">
        <v>157</v>
      </c>
      <c r="AW95" s="1" t="s">
        <v>123</v>
      </c>
      <c r="AX95" t="s">
        <v>132</v>
      </c>
      <c r="CQ95" s="1" t="s">
        <v>123</v>
      </c>
      <c r="DA95" s="1" t="s">
        <v>123</v>
      </c>
      <c r="DK95" s="1" t="s">
        <v>123</v>
      </c>
      <c r="EN95" s="1" t="s">
        <v>177</v>
      </c>
      <c r="EO95" t="s">
        <v>178</v>
      </c>
      <c r="EP95">
        <v>1</v>
      </c>
      <c r="EQ95" t="s">
        <v>747</v>
      </c>
      <c r="ER95" t="s">
        <v>169</v>
      </c>
      <c r="ES95" t="s">
        <v>169</v>
      </c>
      <c r="ET95" t="s">
        <v>169</v>
      </c>
      <c r="EU95" t="s">
        <v>178</v>
      </c>
      <c r="EV95" t="s">
        <v>947</v>
      </c>
      <c r="EW95" t="s">
        <v>948</v>
      </c>
      <c r="EX95" t="s">
        <v>173</v>
      </c>
      <c r="FN95" s="1" t="s">
        <v>123</v>
      </c>
      <c r="FO95" t="s">
        <v>132</v>
      </c>
      <c r="FQ95" t="s">
        <v>132</v>
      </c>
      <c r="GV95" t="s">
        <v>949</v>
      </c>
      <c r="GW95" t="s">
        <v>950</v>
      </c>
      <c r="GX95" t="s">
        <v>951</v>
      </c>
      <c r="GY95" t="s">
        <v>186</v>
      </c>
      <c r="GZ95">
        <v>1984</v>
      </c>
      <c r="HA95" t="s">
        <v>141</v>
      </c>
      <c r="HB95" t="s">
        <v>952</v>
      </c>
      <c r="HC95" t="s">
        <v>953</v>
      </c>
      <c r="HD95" t="s">
        <v>954</v>
      </c>
    </row>
    <row r="96" spans="1:212" x14ac:dyDescent="0.45">
      <c r="A96">
        <v>94</v>
      </c>
      <c r="B96">
        <f>_xlfn.IFNA(VLOOKUP(Wszystkie[[#This Row],[Zakończono wypełnianie]],Zakończone[],2,0),"BRAK")</f>
        <v>57</v>
      </c>
      <c r="C96" t="s">
        <v>955</v>
      </c>
      <c r="D96" t="s">
        <v>118</v>
      </c>
      <c r="E96" t="s">
        <v>774</v>
      </c>
      <c r="I96" t="s">
        <v>119</v>
      </c>
      <c r="J96" t="s">
        <v>956</v>
      </c>
      <c r="K96" t="s">
        <v>957</v>
      </c>
      <c r="L96">
        <v>1186</v>
      </c>
      <c r="M96">
        <v>0</v>
      </c>
      <c r="N96" t="s">
        <v>122</v>
      </c>
      <c r="O96" s="1" t="s">
        <v>416</v>
      </c>
      <c r="P96" t="s">
        <v>223</v>
      </c>
      <c r="Q96" t="s">
        <v>148</v>
      </c>
      <c r="R96" t="s">
        <v>958</v>
      </c>
      <c r="S96" t="s">
        <v>151</v>
      </c>
      <c r="T96" t="s">
        <v>128</v>
      </c>
      <c r="U96" t="s">
        <v>236</v>
      </c>
      <c r="V96" t="s">
        <v>959</v>
      </c>
      <c r="W96" t="s">
        <v>302</v>
      </c>
      <c r="X96" t="s">
        <v>153</v>
      </c>
      <c r="Y96" t="s">
        <v>960</v>
      </c>
      <c r="Z96" t="s">
        <v>961</v>
      </c>
      <c r="AA96" t="s">
        <v>962</v>
      </c>
      <c r="AB96" t="s">
        <v>157</v>
      </c>
      <c r="AD96">
        <v>4</v>
      </c>
      <c r="AE96" s="1" t="s">
        <v>123</v>
      </c>
      <c r="AW96" s="1" t="s">
        <v>123</v>
      </c>
      <c r="AX96" t="s">
        <v>132</v>
      </c>
      <c r="CQ96" s="1" t="s">
        <v>123</v>
      </c>
      <c r="DA96" s="1" t="s">
        <v>123</v>
      </c>
      <c r="DK96" s="1" t="s">
        <v>123</v>
      </c>
      <c r="EN96" s="1" t="s">
        <v>123</v>
      </c>
      <c r="EO96" t="s">
        <v>180</v>
      </c>
      <c r="EP96" t="s">
        <v>132</v>
      </c>
      <c r="FN96" s="1" t="s">
        <v>123</v>
      </c>
      <c r="FO96" t="s">
        <v>132</v>
      </c>
      <c r="GV96" t="s">
        <v>826</v>
      </c>
      <c r="GW96" t="s">
        <v>824</v>
      </c>
      <c r="GX96" t="s">
        <v>820</v>
      </c>
      <c r="GY96" t="s">
        <v>140</v>
      </c>
      <c r="GZ96">
        <v>1993</v>
      </c>
      <c r="HA96" t="s">
        <v>483</v>
      </c>
    </row>
    <row r="97" spans="1:212" x14ac:dyDescent="0.45">
      <c r="A97">
        <v>95</v>
      </c>
      <c r="B97">
        <f>_xlfn.IFNA(VLOOKUP(Wszystkie[[#This Row],[Zakończono wypełnianie]],Zakończone[],2,0),"BRAK")</f>
        <v>58</v>
      </c>
      <c r="C97" t="s">
        <v>955</v>
      </c>
      <c r="D97" t="s">
        <v>118</v>
      </c>
      <c r="E97" t="s">
        <v>774</v>
      </c>
      <c r="I97" t="s">
        <v>119</v>
      </c>
      <c r="J97" t="s">
        <v>963</v>
      </c>
      <c r="K97" t="s">
        <v>964</v>
      </c>
      <c r="L97">
        <v>456</v>
      </c>
      <c r="M97">
        <v>0</v>
      </c>
      <c r="N97" t="s">
        <v>122</v>
      </c>
      <c r="O97" s="1" t="s">
        <v>123</v>
      </c>
      <c r="AE97" s="1" t="s">
        <v>123</v>
      </c>
      <c r="AW97" s="1" t="s">
        <v>123</v>
      </c>
      <c r="CQ97" s="1" t="s">
        <v>123</v>
      </c>
      <c r="DA97" s="1" t="s">
        <v>123</v>
      </c>
      <c r="DK97" s="1" t="s">
        <v>123</v>
      </c>
      <c r="EN97" s="1" t="s">
        <v>123</v>
      </c>
      <c r="EO97" t="s">
        <v>178</v>
      </c>
      <c r="FN97" s="1" t="s">
        <v>123</v>
      </c>
      <c r="FO97" t="s">
        <v>132</v>
      </c>
      <c r="GV97" t="s">
        <v>818</v>
      </c>
      <c r="GW97" t="s">
        <v>824</v>
      </c>
      <c r="GX97" t="s">
        <v>788</v>
      </c>
      <c r="GY97" t="s">
        <v>186</v>
      </c>
      <c r="GZ97">
        <v>1992</v>
      </c>
      <c r="HA97" t="s">
        <v>141</v>
      </c>
      <c r="HC97" t="s">
        <v>965</v>
      </c>
      <c r="HD97" t="s">
        <v>966</v>
      </c>
    </row>
    <row r="98" spans="1:212" x14ac:dyDescent="0.45">
      <c r="A98">
        <v>96</v>
      </c>
      <c r="B98">
        <f>_xlfn.IFNA(VLOOKUP(Wszystkie[[#This Row],[Zakończono wypełnianie]],Zakończone[],2,0),"BRAK")</f>
        <v>59</v>
      </c>
      <c r="C98" t="s">
        <v>370</v>
      </c>
      <c r="D98" t="s">
        <v>118</v>
      </c>
      <c r="E98" t="s">
        <v>774</v>
      </c>
      <c r="I98" t="s">
        <v>119</v>
      </c>
      <c r="J98" t="s">
        <v>967</v>
      </c>
      <c r="K98" t="s">
        <v>968</v>
      </c>
      <c r="L98">
        <v>5160</v>
      </c>
      <c r="M98">
        <v>0</v>
      </c>
      <c r="N98" t="s">
        <v>122</v>
      </c>
      <c r="O98" s="1" t="s">
        <v>123</v>
      </c>
      <c r="AE98" s="1" t="s">
        <v>124</v>
      </c>
      <c r="AF98" t="s">
        <v>191</v>
      </c>
      <c r="AG98">
        <v>2000</v>
      </c>
      <c r="AH98" t="s">
        <v>148</v>
      </c>
      <c r="AI98" t="s">
        <v>969</v>
      </c>
      <c r="AJ98" t="s">
        <v>151</v>
      </c>
      <c r="AK98" t="s">
        <v>151</v>
      </c>
      <c r="AL98" t="s">
        <v>162</v>
      </c>
      <c r="AM98" t="s">
        <v>162</v>
      </c>
      <c r="AN98" t="s">
        <v>150</v>
      </c>
      <c r="AO98">
        <v>0</v>
      </c>
      <c r="AP98" t="s">
        <v>153</v>
      </c>
      <c r="AQ98" t="s">
        <v>226</v>
      </c>
      <c r="AR98" t="s">
        <v>802</v>
      </c>
      <c r="AS98" t="s">
        <v>824</v>
      </c>
      <c r="AT98" t="s">
        <v>780</v>
      </c>
      <c r="AU98" t="s">
        <v>230</v>
      </c>
      <c r="AV98" t="s">
        <v>970</v>
      </c>
      <c r="AW98" s="1" t="s">
        <v>123</v>
      </c>
      <c r="AX98" t="s">
        <v>132</v>
      </c>
      <c r="CQ98" s="1" t="s">
        <v>123</v>
      </c>
      <c r="DA98" s="1" t="s">
        <v>123</v>
      </c>
      <c r="DK98" s="1" t="s">
        <v>123</v>
      </c>
      <c r="EN98" s="1" t="s">
        <v>123</v>
      </c>
      <c r="FN98" s="1" t="s">
        <v>123</v>
      </c>
      <c r="FO98" t="s">
        <v>132</v>
      </c>
      <c r="FQ98" t="s">
        <v>132</v>
      </c>
      <c r="GV98" t="s">
        <v>786</v>
      </c>
      <c r="GW98" t="s">
        <v>787</v>
      </c>
      <c r="GX98" t="s">
        <v>807</v>
      </c>
      <c r="GY98" t="s">
        <v>186</v>
      </c>
      <c r="GZ98">
        <v>1968</v>
      </c>
      <c r="HA98" t="s">
        <v>398</v>
      </c>
      <c r="HB98" t="s">
        <v>971</v>
      </c>
      <c r="HC98" t="s">
        <v>972</v>
      </c>
    </row>
    <row r="99" spans="1:212" x14ac:dyDescent="0.45">
      <c r="A99">
        <v>97</v>
      </c>
      <c r="B99">
        <f>_xlfn.IFNA(VLOOKUP(Wszystkie[[#This Row],[Zakończono wypełnianie]],Zakończone[],2,0),"BRAK")</f>
        <v>60</v>
      </c>
      <c r="C99" t="s">
        <v>370</v>
      </c>
      <c r="D99" t="s">
        <v>118</v>
      </c>
      <c r="E99" t="s">
        <v>774</v>
      </c>
      <c r="I99" t="s">
        <v>119</v>
      </c>
      <c r="J99" t="s">
        <v>973</v>
      </c>
      <c r="K99" t="s">
        <v>974</v>
      </c>
      <c r="L99">
        <v>1963</v>
      </c>
      <c r="M99">
        <v>0</v>
      </c>
      <c r="N99" t="s">
        <v>122</v>
      </c>
      <c r="O99" s="1" t="s">
        <v>123</v>
      </c>
      <c r="AE99" s="1" t="s">
        <v>124</v>
      </c>
      <c r="AF99" t="s">
        <v>975</v>
      </c>
      <c r="AG99">
        <v>1996</v>
      </c>
      <c r="AH99" t="s">
        <v>148</v>
      </c>
      <c r="AI99" t="s">
        <v>601</v>
      </c>
      <c r="AJ99" t="s">
        <v>128</v>
      </c>
      <c r="AK99" t="s">
        <v>151</v>
      </c>
      <c r="AL99" t="s">
        <v>169</v>
      </c>
      <c r="AM99" t="s">
        <v>129</v>
      </c>
      <c r="AN99" t="s">
        <v>129</v>
      </c>
      <c r="AO99" t="s">
        <v>976</v>
      </c>
      <c r="AP99" t="s">
        <v>131</v>
      </c>
      <c r="AQ99" t="s">
        <v>131</v>
      </c>
      <c r="AR99" t="s">
        <v>802</v>
      </c>
      <c r="AS99" t="s">
        <v>824</v>
      </c>
      <c r="AT99" t="s">
        <v>977</v>
      </c>
      <c r="AU99" t="s">
        <v>230</v>
      </c>
      <c r="AW99" s="1" t="s">
        <v>123</v>
      </c>
      <c r="AX99" t="s">
        <v>132</v>
      </c>
      <c r="CQ99" s="1" t="s">
        <v>123</v>
      </c>
      <c r="DA99" s="1" t="s">
        <v>123</v>
      </c>
      <c r="DK99" s="1" t="s">
        <v>123</v>
      </c>
      <c r="EN99" s="1" t="s">
        <v>123</v>
      </c>
      <c r="EO99" t="s">
        <v>178</v>
      </c>
      <c r="EP99" t="s">
        <v>132</v>
      </c>
      <c r="FN99" s="1" t="s">
        <v>123</v>
      </c>
      <c r="FO99" t="s">
        <v>132</v>
      </c>
      <c r="FQ99" t="s">
        <v>132</v>
      </c>
      <c r="GV99" t="s">
        <v>978</v>
      </c>
      <c r="GW99" t="s">
        <v>819</v>
      </c>
      <c r="GX99" t="s">
        <v>979</v>
      </c>
      <c r="GY99" t="s">
        <v>140</v>
      </c>
      <c r="GZ99">
        <v>1962</v>
      </c>
      <c r="HA99" t="s">
        <v>220</v>
      </c>
      <c r="HC99" t="s">
        <v>980</v>
      </c>
      <c r="HD99" t="s">
        <v>386</v>
      </c>
    </row>
    <row r="100" spans="1:212" x14ac:dyDescent="0.45">
      <c r="A100">
        <v>98</v>
      </c>
      <c r="B100" t="str">
        <f>_xlfn.IFNA(VLOOKUP(Wszystkie[[#This Row],[Zakończono wypełnianie]],Zakończone[],2,0),"BRAK")</f>
        <v>BRAK</v>
      </c>
      <c r="C100" t="s">
        <v>981</v>
      </c>
      <c r="D100" t="s">
        <v>118</v>
      </c>
      <c r="E100" t="s">
        <v>982</v>
      </c>
      <c r="I100" t="s">
        <v>286</v>
      </c>
      <c r="J100" t="s">
        <v>983</v>
      </c>
      <c r="K100" t="s">
        <v>983</v>
      </c>
      <c r="L100">
        <v>0</v>
      </c>
      <c r="M100">
        <v>0</v>
      </c>
      <c r="N100" t="s">
        <v>122</v>
      </c>
      <c r="O100" s="1"/>
      <c r="AE100" s="1"/>
      <c r="AW100" s="1"/>
      <c r="CQ100" s="1"/>
      <c r="DA100" s="1"/>
      <c r="DK100" s="1"/>
      <c r="EN100" s="1"/>
      <c r="FN100" s="1"/>
    </row>
    <row r="101" spans="1:212" x14ac:dyDescent="0.45">
      <c r="A101">
        <v>99</v>
      </c>
      <c r="B101">
        <f>_xlfn.IFNA(VLOOKUP(Wszystkie[[#This Row],[Zakończono wypełnianie]],Zakończone[],2,0),"BRAK")</f>
        <v>61</v>
      </c>
      <c r="C101" t="s">
        <v>984</v>
      </c>
      <c r="D101" t="s">
        <v>118</v>
      </c>
      <c r="E101" t="s">
        <v>774</v>
      </c>
      <c r="I101" t="s">
        <v>119</v>
      </c>
      <c r="J101" t="s">
        <v>985</v>
      </c>
      <c r="K101" t="s">
        <v>986</v>
      </c>
      <c r="L101">
        <v>1348</v>
      </c>
      <c r="M101">
        <v>0</v>
      </c>
      <c r="N101" t="s">
        <v>122</v>
      </c>
      <c r="O101" s="1" t="s">
        <v>123</v>
      </c>
      <c r="AE101" s="1" t="s">
        <v>124</v>
      </c>
      <c r="AF101" t="s">
        <v>987</v>
      </c>
      <c r="AG101">
        <v>2015</v>
      </c>
      <c r="AH101" t="s">
        <v>148</v>
      </c>
      <c r="AI101" t="s">
        <v>988</v>
      </c>
      <c r="AJ101" t="s">
        <v>169</v>
      </c>
      <c r="AK101" t="s">
        <v>150</v>
      </c>
      <c r="AL101" t="s">
        <v>151</v>
      </c>
      <c r="AM101" t="s">
        <v>151</v>
      </c>
      <c r="AN101" t="s">
        <v>151</v>
      </c>
      <c r="AO101" t="s">
        <v>883</v>
      </c>
      <c r="AP101" t="s">
        <v>131</v>
      </c>
      <c r="AQ101" t="s">
        <v>302</v>
      </c>
      <c r="AS101" t="s">
        <v>989</v>
      </c>
      <c r="AT101" t="s">
        <v>990</v>
      </c>
      <c r="AU101" t="s">
        <v>157</v>
      </c>
      <c r="AW101" s="1" t="s">
        <v>123</v>
      </c>
      <c r="CQ101" s="1" t="s">
        <v>123</v>
      </c>
      <c r="DA101" s="1" t="s">
        <v>123</v>
      </c>
      <c r="DK101" s="1" t="s">
        <v>123</v>
      </c>
      <c r="EN101" s="1" t="s">
        <v>123</v>
      </c>
      <c r="FN101" s="1" t="s">
        <v>123</v>
      </c>
      <c r="FO101" t="s">
        <v>132</v>
      </c>
      <c r="GV101" t="s">
        <v>786</v>
      </c>
      <c r="GW101" t="s">
        <v>991</v>
      </c>
      <c r="GX101" t="s">
        <v>820</v>
      </c>
      <c r="GY101" t="s">
        <v>140</v>
      </c>
      <c r="GZ101">
        <v>1991</v>
      </c>
      <c r="HA101" t="s">
        <v>220</v>
      </c>
    </row>
    <row r="102" spans="1:212" x14ac:dyDescent="0.45">
      <c r="A102">
        <v>100</v>
      </c>
      <c r="B102">
        <f>_xlfn.IFNA(VLOOKUP(Wszystkie[[#This Row],[Zakończono wypełnianie]],Zakończone[],2,0),"BRAK")</f>
        <v>62</v>
      </c>
      <c r="C102" t="s">
        <v>984</v>
      </c>
      <c r="D102" t="s">
        <v>118</v>
      </c>
      <c r="E102" t="s">
        <v>992</v>
      </c>
      <c r="I102" t="s">
        <v>119</v>
      </c>
      <c r="J102" t="s">
        <v>993</v>
      </c>
      <c r="K102" t="s">
        <v>994</v>
      </c>
      <c r="L102">
        <v>1026</v>
      </c>
      <c r="M102">
        <v>0</v>
      </c>
      <c r="N102" t="s">
        <v>122</v>
      </c>
      <c r="O102" s="1" t="s">
        <v>123</v>
      </c>
      <c r="AE102" s="1" t="s">
        <v>124</v>
      </c>
      <c r="AF102" t="s">
        <v>995</v>
      </c>
      <c r="AG102">
        <v>2010</v>
      </c>
      <c r="AH102" t="s">
        <v>148</v>
      </c>
      <c r="AI102" t="s">
        <v>429</v>
      </c>
      <c r="AJ102" t="s">
        <v>169</v>
      </c>
      <c r="AK102" t="s">
        <v>169</v>
      </c>
      <c r="AL102" t="s">
        <v>150</v>
      </c>
      <c r="AM102" t="s">
        <v>236</v>
      </c>
      <c r="AN102" t="s">
        <v>128</v>
      </c>
      <c r="AO102" t="s">
        <v>883</v>
      </c>
      <c r="AP102" t="s">
        <v>152</v>
      </c>
      <c r="AQ102" t="s">
        <v>131</v>
      </c>
      <c r="AR102" t="s">
        <v>996</v>
      </c>
      <c r="AS102" t="s">
        <v>794</v>
      </c>
      <c r="AT102" t="s">
        <v>780</v>
      </c>
      <c r="AU102" t="s">
        <v>230</v>
      </c>
      <c r="AW102" s="1" t="s">
        <v>123</v>
      </c>
      <c r="AX102" t="s">
        <v>132</v>
      </c>
      <c r="CQ102" s="1" t="s">
        <v>123</v>
      </c>
      <c r="DA102" s="1" t="s">
        <v>123</v>
      </c>
      <c r="DK102" s="1" t="s">
        <v>123</v>
      </c>
      <c r="EN102" s="1" t="s">
        <v>123</v>
      </c>
      <c r="EO102" t="s">
        <v>180</v>
      </c>
      <c r="EP102" t="s">
        <v>132</v>
      </c>
      <c r="FN102" s="1" t="s">
        <v>123</v>
      </c>
      <c r="FO102" t="s">
        <v>132</v>
      </c>
      <c r="FQ102" t="s">
        <v>132</v>
      </c>
      <c r="GV102" t="s">
        <v>786</v>
      </c>
      <c r="GW102" t="s">
        <v>819</v>
      </c>
      <c r="GX102" t="s">
        <v>820</v>
      </c>
      <c r="GY102" t="s">
        <v>186</v>
      </c>
      <c r="GZ102">
        <v>1986</v>
      </c>
      <c r="HA102" t="s">
        <v>483</v>
      </c>
      <c r="HC102" t="s">
        <v>386</v>
      </c>
      <c r="HD102" t="s">
        <v>386</v>
      </c>
    </row>
    <row r="103" spans="1:212" x14ac:dyDescent="0.45">
      <c r="A103">
        <v>101</v>
      </c>
      <c r="B103" t="str">
        <f>_xlfn.IFNA(VLOOKUP(Wszystkie[[#This Row],[Zakończono wypełnianie]],Zakończone[],2,0),"BRAK")</f>
        <v>BRAK</v>
      </c>
      <c r="C103" t="s">
        <v>997</v>
      </c>
      <c r="D103" t="s">
        <v>118</v>
      </c>
      <c r="I103" t="s">
        <v>286</v>
      </c>
      <c r="J103" t="s">
        <v>998</v>
      </c>
      <c r="K103" t="s">
        <v>998</v>
      </c>
      <c r="L103">
        <v>0</v>
      </c>
      <c r="M103">
        <v>0</v>
      </c>
      <c r="N103" t="s">
        <v>122</v>
      </c>
      <c r="O103" s="1" t="s">
        <v>123</v>
      </c>
      <c r="AE103" s="1" t="s">
        <v>124</v>
      </c>
      <c r="AW103" s="1"/>
      <c r="CQ103" s="1"/>
      <c r="DA103" s="1"/>
      <c r="DK103" s="1"/>
      <c r="EN103" s="1"/>
      <c r="FN103" s="1"/>
    </row>
    <row r="104" spans="1:212" x14ac:dyDescent="0.45">
      <c r="A104">
        <v>102</v>
      </c>
      <c r="B104">
        <f>_xlfn.IFNA(VLOOKUP(Wszystkie[[#This Row],[Zakończono wypełnianie]],Zakończone[],2,0),"BRAK")</f>
        <v>63</v>
      </c>
      <c r="C104" t="s">
        <v>999</v>
      </c>
      <c r="D104" t="s">
        <v>118</v>
      </c>
      <c r="E104" t="s">
        <v>260</v>
      </c>
      <c r="I104" t="s">
        <v>119</v>
      </c>
      <c r="J104" t="s">
        <v>1000</v>
      </c>
      <c r="K104" t="s">
        <v>1001</v>
      </c>
      <c r="L104">
        <v>18013</v>
      </c>
      <c r="M104">
        <v>0</v>
      </c>
      <c r="N104" t="s">
        <v>122</v>
      </c>
      <c r="O104" s="1" t="s">
        <v>123</v>
      </c>
      <c r="AE104" s="1" t="s">
        <v>124</v>
      </c>
      <c r="AF104" t="s">
        <v>1002</v>
      </c>
      <c r="AG104">
        <v>1996</v>
      </c>
      <c r="AH104" t="s">
        <v>148</v>
      </c>
      <c r="AI104" t="s">
        <v>1003</v>
      </c>
      <c r="AJ104" t="s">
        <v>150</v>
      </c>
      <c r="AK104" t="s">
        <v>150</v>
      </c>
      <c r="AL104" t="s">
        <v>162</v>
      </c>
      <c r="AM104" t="s">
        <v>129</v>
      </c>
      <c r="AN104" t="s">
        <v>236</v>
      </c>
      <c r="AO104">
        <v>1</v>
      </c>
      <c r="AP104" t="s">
        <v>131</v>
      </c>
      <c r="AQ104" t="s">
        <v>153</v>
      </c>
      <c r="AR104" t="s">
        <v>1004</v>
      </c>
      <c r="AS104" t="s">
        <v>1005</v>
      </c>
      <c r="AT104" t="s">
        <v>532</v>
      </c>
      <c r="AU104" t="s">
        <v>157</v>
      </c>
      <c r="AV104" t="s">
        <v>1006</v>
      </c>
      <c r="AW104" s="1" t="s">
        <v>123</v>
      </c>
      <c r="AX104" t="s">
        <v>132</v>
      </c>
      <c r="CQ104" s="1" t="s">
        <v>123</v>
      </c>
      <c r="DA104" s="1" t="s">
        <v>123</v>
      </c>
      <c r="DK104" s="1" t="s">
        <v>123</v>
      </c>
      <c r="EN104" s="1" t="s">
        <v>177</v>
      </c>
      <c r="EO104" t="s">
        <v>178</v>
      </c>
      <c r="EP104" t="s">
        <v>132</v>
      </c>
      <c r="EQ104" t="s">
        <v>1002</v>
      </c>
      <c r="ER104" t="s">
        <v>236</v>
      </c>
      <c r="ES104" t="s">
        <v>236</v>
      </c>
      <c r="ET104" t="s">
        <v>151</v>
      </c>
      <c r="EU104" t="s">
        <v>178</v>
      </c>
      <c r="EV104" t="s">
        <v>1007</v>
      </c>
      <c r="EW104" t="s">
        <v>1008</v>
      </c>
      <c r="EX104" t="s">
        <v>173</v>
      </c>
      <c r="FN104" s="1" t="s">
        <v>123</v>
      </c>
      <c r="FO104" t="s">
        <v>132</v>
      </c>
      <c r="FQ104" t="s">
        <v>132</v>
      </c>
      <c r="GV104" t="s">
        <v>1009</v>
      </c>
      <c r="GW104" t="s">
        <v>1007</v>
      </c>
      <c r="GX104" t="s">
        <v>1009</v>
      </c>
      <c r="GY104" t="s">
        <v>186</v>
      </c>
      <c r="GZ104">
        <v>1966</v>
      </c>
      <c r="HA104" t="s">
        <v>141</v>
      </c>
    </row>
    <row r="105" spans="1:212" x14ac:dyDescent="0.45">
      <c r="A105">
        <v>103</v>
      </c>
      <c r="B105" t="str">
        <f>_xlfn.IFNA(VLOOKUP(Wszystkie[[#This Row],[Zakończono wypełnianie]],Zakończone[],2,0),"BRAK")</f>
        <v>BRAK</v>
      </c>
      <c r="C105" t="s">
        <v>1010</v>
      </c>
      <c r="D105" t="s">
        <v>118</v>
      </c>
      <c r="I105" t="s">
        <v>286</v>
      </c>
      <c r="J105" t="s">
        <v>1011</v>
      </c>
      <c r="K105" t="s">
        <v>1011</v>
      </c>
      <c r="L105">
        <v>0</v>
      </c>
      <c r="M105">
        <v>0</v>
      </c>
      <c r="N105" t="s">
        <v>122</v>
      </c>
      <c r="O105" s="1" t="s">
        <v>123</v>
      </c>
      <c r="AE105" s="1" t="s">
        <v>123</v>
      </c>
      <c r="AW105" s="1"/>
      <c r="CQ105" s="1"/>
      <c r="DA105" s="1"/>
      <c r="DK105" s="1"/>
      <c r="EN105" s="1"/>
      <c r="FN105" s="1"/>
    </row>
    <row r="106" spans="1:212" x14ac:dyDescent="0.45">
      <c r="A106">
        <v>104</v>
      </c>
      <c r="B106" t="str">
        <f>_xlfn.IFNA(VLOOKUP(Wszystkie[[#This Row],[Zakończono wypełnianie]],Zakończone[],2,0),"BRAK")</f>
        <v>BRAK</v>
      </c>
      <c r="C106" t="s">
        <v>1012</v>
      </c>
      <c r="D106" t="s">
        <v>118</v>
      </c>
      <c r="I106" t="s">
        <v>286</v>
      </c>
      <c r="J106" t="s">
        <v>1013</v>
      </c>
      <c r="K106" t="s">
        <v>1013</v>
      </c>
      <c r="L106">
        <v>0</v>
      </c>
      <c r="M106">
        <v>0</v>
      </c>
      <c r="N106" t="s">
        <v>122</v>
      </c>
      <c r="O106" s="1" t="s">
        <v>123</v>
      </c>
      <c r="AE106" s="1" t="s">
        <v>124</v>
      </c>
      <c r="AW106" s="1"/>
      <c r="CQ106" s="1"/>
      <c r="DA106" s="1"/>
      <c r="DK106" s="1"/>
      <c r="EN106" s="1"/>
      <c r="FN106" s="1"/>
    </row>
    <row r="107" spans="1:212" x14ac:dyDescent="0.45">
      <c r="A107">
        <v>105</v>
      </c>
      <c r="B107">
        <f>_xlfn.IFNA(VLOOKUP(Wszystkie[[#This Row],[Zakończono wypełnianie]],Zakończone[],2,0),"BRAK")</f>
        <v>64</v>
      </c>
      <c r="C107" t="s">
        <v>1014</v>
      </c>
      <c r="D107" t="s">
        <v>118</v>
      </c>
      <c r="I107" t="s">
        <v>119</v>
      </c>
      <c r="J107" t="s">
        <v>1015</v>
      </c>
      <c r="K107" t="s">
        <v>1016</v>
      </c>
      <c r="L107">
        <v>1293</v>
      </c>
      <c r="M107">
        <v>0</v>
      </c>
      <c r="N107" t="s">
        <v>122</v>
      </c>
      <c r="O107" s="1" t="s">
        <v>123</v>
      </c>
      <c r="AE107" s="1" t="s">
        <v>124</v>
      </c>
      <c r="AF107" t="s">
        <v>742</v>
      </c>
      <c r="AG107">
        <v>2003</v>
      </c>
      <c r="AH107" t="s">
        <v>148</v>
      </c>
      <c r="AI107" t="s">
        <v>1017</v>
      </c>
      <c r="AJ107" t="s">
        <v>128</v>
      </c>
      <c r="AK107" t="s">
        <v>128</v>
      </c>
      <c r="AL107" t="s">
        <v>128</v>
      </c>
      <c r="AM107" t="s">
        <v>236</v>
      </c>
      <c r="AN107" t="s">
        <v>132</v>
      </c>
      <c r="AO107" t="s">
        <v>1018</v>
      </c>
      <c r="AP107" t="s">
        <v>131</v>
      </c>
      <c r="AQ107" t="s">
        <v>131</v>
      </c>
      <c r="AS107" t="s">
        <v>1019</v>
      </c>
      <c r="AT107" t="s">
        <v>1020</v>
      </c>
      <c r="AU107" t="s">
        <v>157</v>
      </c>
      <c r="AW107" s="1" t="s">
        <v>123</v>
      </c>
      <c r="AX107" t="s">
        <v>132</v>
      </c>
      <c r="CQ107" s="1" t="s">
        <v>123</v>
      </c>
      <c r="DA107" s="1" t="s">
        <v>123</v>
      </c>
      <c r="DK107" s="1" t="s">
        <v>123</v>
      </c>
      <c r="EN107" s="1" t="s">
        <v>123</v>
      </c>
      <c r="EO107" t="s">
        <v>180</v>
      </c>
      <c r="EP107" t="s">
        <v>132</v>
      </c>
      <c r="FN107" s="1" t="s">
        <v>123</v>
      </c>
      <c r="FO107" t="s">
        <v>132</v>
      </c>
      <c r="FQ107" t="s">
        <v>132</v>
      </c>
      <c r="GV107" t="s">
        <v>276</v>
      </c>
      <c r="GW107" t="s">
        <v>1021</v>
      </c>
      <c r="GX107" t="s">
        <v>1022</v>
      </c>
      <c r="GY107" t="s">
        <v>140</v>
      </c>
      <c r="GZ107">
        <v>1980</v>
      </c>
      <c r="HA107" t="s">
        <v>483</v>
      </c>
      <c r="HC107" t="s">
        <v>1023</v>
      </c>
    </row>
    <row r="108" spans="1:212" x14ac:dyDescent="0.45">
      <c r="A108">
        <v>106</v>
      </c>
      <c r="B108" t="str">
        <f>_xlfn.IFNA(VLOOKUP(Wszystkie[[#This Row],[Zakończono wypełnianie]],Zakończone[],2,0),"BRAK")</f>
        <v>BRAK</v>
      </c>
      <c r="C108" t="s">
        <v>1024</v>
      </c>
      <c r="D108" t="s">
        <v>118</v>
      </c>
      <c r="I108" t="s">
        <v>286</v>
      </c>
      <c r="J108" t="s">
        <v>1025</v>
      </c>
      <c r="K108" t="s">
        <v>1025</v>
      </c>
      <c r="L108">
        <v>0</v>
      </c>
      <c r="M108">
        <v>0</v>
      </c>
      <c r="N108" t="s">
        <v>122</v>
      </c>
      <c r="O108" s="1" t="s">
        <v>123</v>
      </c>
      <c r="AE108" s="1" t="s">
        <v>124</v>
      </c>
      <c r="AW108" s="1"/>
      <c r="CQ108" s="1"/>
      <c r="DA108" s="1"/>
      <c r="DK108" s="1"/>
      <c r="EN108" s="1"/>
      <c r="FN108" s="1"/>
    </row>
    <row r="109" spans="1:212" x14ac:dyDescent="0.45">
      <c r="A109">
        <v>107</v>
      </c>
      <c r="B109" t="str">
        <f>_xlfn.IFNA(VLOOKUP(Wszystkie[[#This Row],[Zakończono wypełnianie]],Zakończone[],2,0),"BRAK")</f>
        <v>BRAK</v>
      </c>
      <c r="C109" t="s">
        <v>1026</v>
      </c>
      <c r="D109" t="s">
        <v>118</v>
      </c>
      <c r="E109" t="s">
        <v>1027</v>
      </c>
      <c r="I109" t="s">
        <v>286</v>
      </c>
      <c r="J109" t="s">
        <v>1028</v>
      </c>
      <c r="K109" t="s">
        <v>1028</v>
      </c>
      <c r="L109">
        <v>0</v>
      </c>
      <c r="M109">
        <v>0</v>
      </c>
      <c r="N109" t="s">
        <v>122</v>
      </c>
      <c r="O109" s="1" t="s">
        <v>123</v>
      </c>
      <c r="AE109" s="1" t="s">
        <v>124</v>
      </c>
      <c r="AW109" s="1"/>
      <c r="CQ109" s="1"/>
      <c r="DA109" s="1"/>
      <c r="DK109" s="1"/>
      <c r="EN109" s="1"/>
      <c r="FN109" s="1"/>
    </row>
    <row r="110" spans="1:212" x14ac:dyDescent="0.45">
      <c r="A110">
        <v>108</v>
      </c>
      <c r="B110" t="str">
        <f>_xlfn.IFNA(VLOOKUP(Wszystkie[[#This Row],[Zakończono wypełnianie]],Zakończone[],2,0),"BRAK")</f>
        <v>BRAK</v>
      </c>
      <c r="C110" t="s">
        <v>1029</v>
      </c>
      <c r="D110" t="s">
        <v>118</v>
      </c>
      <c r="I110" t="s">
        <v>286</v>
      </c>
      <c r="J110" t="s">
        <v>1030</v>
      </c>
      <c r="K110" t="s">
        <v>1030</v>
      </c>
      <c r="L110">
        <v>0</v>
      </c>
      <c r="M110">
        <v>0</v>
      </c>
      <c r="N110" t="s">
        <v>122</v>
      </c>
      <c r="O110" s="1" t="s">
        <v>123</v>
      </c>
      <c r="AE110" s="1" t="s">
        <v>124</v>
      </c>
      <c r="AW110" s="1"/>
      <c r="CQ110" s="1"/>
      <c r="DA110" s="1"/>
      <c r="DK110" s="1"/>
      <c r="EN110" s="1"/>
      <c r="FN110" s="1"/>
    </row>
    <row r="111" spans="1:212" x14ac:dyDescent="0.45">
      <c r="A111">
        <v>109</v>
      </c>
      <c r="B111" t="str">
        <f>_xlfn.IFNA(VLOOKUP(Wszystkie[[#This Row],[Zakończono wypełnianie]],Zakończone[],2,0),"BRAK")</f>
        <v>BRAK</v>
      </c>
      <c r="C111" t="s">
        <v>1031</v>
      </c>
      <c r="D111" t="s">
        <v>118</v>
      </c>
      <c r="I111" t="s">
        <v>286</v>
      </c>
      <c r="J111" t="s">
        <v>1032</v>
      </c>
      <c r="K111" t="s">
        <v>1032</v>
      </c>
      <c r="L111">
        <v>0</v>
      </c>
      <c r="M111">
        <v>0</v>
      </c>
      <c r="N111" t="s">
        <v>122</v>
      </c>
      <c r="O111" s="1" t="s">
        <v>123</v>
      </c>
      <c r="AE111" s="1" t="s">
        <v>124</v>
      </c>
      <c r="AW111" s="1"/>
      <c r="CQ111" s="1"/>
      <c r="DA111" s="1"/>
      <c r="DK111" s="1"/>
      <c r="EN111" s="1"/>
      <c r="FN111" s="1"/>
    </row>
    <row r="112" spans="1:212" x14ac:dyDescent="0.45">
      <c r="A112">
        <v>110</v>
      </c>
      <c r="B112">
        <f>_xlfn.IFNA(VLOOKUP(Wszystkie[[#This Row],[Zakończono wypełnianie]],Zakończone[],2,0),"BRAK")</f>
        <v>65</v>
      </c>
      <c r="C112" t="s">
        <v>1033</v>
      </c>
      <c r="D112" t="s">
        <v>118</v>
      </c>
      <c r="E112" t="s">
        <v>1034</v>
      </c>
      <c r="I112" t="s">
        <v>119</v>
      </c>
      <c r="J112" t="s">
        <v>1035</v>
      </c>
      <c r="K112" t="s">
        <v>1036</v>
      </c>
      <c r="L112">
        <v>1167</v>
      </c>
      <c r="M112">
        <v>0</v>
      </c>
      <c r="N112" t="s">
        <v>122</v>
      </c>
      <c r="O112" s="1" t="s">
        <v>123</v>
      </c>
      <c r="AE112" s="1" t="s">
        <v>124</v>
      </c>
      <c r="AF112" t="s">
        <v>1037</v>
      </c>
      <c r="AG112" t="s">
        <v>1038</v>
      </c>
      <c r="AH112" t="s">
        <v>126</v>
      </c>
      <c r="AI112" t="s">
        <v>1039</v>
      </c>
      <c r="AJ112" t="s">
        <v>128</v>
      </c>
      <c r="AK112" t="s">
        <v>151</v>
      </c>
      <c r="AL112" t="s">
        <v>236</v>
      </c>
      <c r="AM112" t="s">
        <v>129</v>
      </c>
      <c r="AN112" t="s">
        <v>129</v>
      </c>
      <c r="AO112">
        <v>5</v>
      </c>
      <c r="AP112" t="s">
        <v>302</v>
      </c>
      <c r="AQ112" t="s">
        <v>302</v>
      </c>
      <c r="AS112" t="s">
        <v>1040</v>
      </c>
      <c r="AT112" t="s">
        <v>1041</v>
      </c>
      <c r="AU112" t="s">
        <v>892</v>
      </c>
      <c r="AV112" t="s">
        <v>1042</v>
      </c>
      <c r="AW112" s="1" t="s">
        <v>123</v>
      </c>
      <c r="AX112" t="s">
        <v>132</v>
      </c>
      <c r="CQ112" s="1" t="s">
        <v>123</v>
      </c>
      <c r="DA112" s="1" t="s">
        <v>123</v>
      </c>
      <c r="DK112" s="1" t="s">
        <v>123</v>
      </c>
      <c r="EN112" s="1" t="s">
        <v>123</v>
      </c>
      <c r="EO112" t="s">
        <v>180</v>
      </c>
      <c r="EP112" t="s">
        <v>132</v>
      </c>
      <c r="FN112" s="1" t="s">
        <v>123</v>
      </c>
      <c r="FO112" t="s">
        <v>132</v>
      </c>
      <c r="FQ112" t="s">
        <v>132</v>
      </c>
      <c r="GV112" t="s">
        <v>1043</v>
      </c>
      <c r="GW112" t="s">
        <v>1044</v>
      </c>
      <c r="GX112" t="s">
        <v>1045</v>
      </c>
      <c r="GY112" t="s">
        <v>186</v>
      </c>
      <c r="GZ112">
        <v>1982</v>
      </c>
      <c r="HA112" t="s">
        <v>246</v>
      </c>
    </row>
    <row r="113" spans="1:212" x14ac:dyDescent="0.45">
      <c r="A113">
        <v>111</v>
      </c>
      <c r="B113">
        <f>_xlfn.IFNA(VLOOKUP(Wszystkie[[#This Row],[Zakończono wypełnianie]],Zakończone[],2,0),"BRAK")</f>
        <v>66</v>
      </c>
      <c r="C113" t="s">
        <v>1046</v>
      </c>
      <c r="D113" t="s">
        <v>118</v>
      </c>
      <c r="I113" t="s">
        <v>119</v>
      </c>
      <c r="J113" t="s">
        <v>1047</v>
      </c>
      <c r="K113" t="s">
        <v>1048</v>
      </c>
      <c r="L113">
        <v>1978</v>
      </c>
      <c r="M113">
        <v>0</v>
      </c>
      <c r="N113" t="s">
        <v>122</v>
      </c>
      <c r="O113" s="1" t="s">
        <v>123</v>
      </c>
      <c r="AE113" s="1" t="s">
        <v>124</v>
      </c>
      <c r="AF113" t="s">
        <v>1049</v>
      </c>
      <c r="AG113">
        <v>2009</v>
      </c>
      <c r="AH113" t="s">
        <v>148</v>
      </c>
      <c r="AI113" t="s">
        <v>1050</v>
      </c>
      <c r="AJ113" t="s">
        <v>150</v>
      </c>
      <c r="AK113" t="s">
        <v>162</v>
      </c>
      <c r="AL113" t="s">
        <v>169</v>
      </c>
      <c r="AM113" t="s">
        <v>162</v>
      </c>
      <c r="AN113" t="s">
        <v>150</v>
      </c>
      <c r="AO113" t="s">
        <v>1051</v>
      </c>
      <c r="AP113" t="s">
        <v>302</v>
      </c>
      <c r="AQ113" t="s">
        <v>153</v>
      </c>
      <c r="AR113" t="s">
        <v>1052</v>
      </c>
      <c r="AS113" t="s">
        <v>1053</v>
      </c>
      <c r="AT113" t="s">
        <v>1054</v>
      </c>
      <c r="AU113" t="s">
        <v>230</v>
      </c>
      <c r="AV113" t="s">
        <v>1050</v>
      </c>
      <c r="AW113" s="1" t="s">
        <v>123</v>
      </c>
      <c r="AX113" t="s">
        <v>132</v>
      </c>
      <c r="CQ113" s="1" t="s">
        <v>123</v>
      </c>
      <c r="DA113" s="1" t="s">
        <v>123</v>
      </c>
      <c r="DK113" s="1" t="s">
        <v>123</v>
      </c>
      <c r="EN113" s="1" t="s">
        <v>123</v>
      </c>
      <c r="EO113" t="s">
        <v>180</v>
      </c>
      <c r="EP113" t="s">
        <v>132</v>
      </c>
      <c r="FN113" s="1" t="s">
        <v>123</v>
      </c>
      <c r="FO113" t="s">
        <v>132</v>
      </c>
      <c r="FQ113" t="s">
        <v>132</v>
      </c>
      <c r="GV113" t="s">
        <v>1055</v>
      </c>
      <c r="GW113" t="s">
        <v>1056</v>
      </c>
      <c r="GX113" t="s">
        <v>1057</v>
      </c>
      <c r="GY113" t="s">
        <v>186</v>
      </c>
      <c r="GZ113">
        <v>1978</v>
      </c>
      <c r="HA113" t="s">
        <v>141</v>
      </c>
      <c r="HC113" t="s">
        <v>1058</v>
      </c>
    </row>
    <row r="114" spans="1:212" x14ac:dyDescent="0.45">
      <c r="A114">
        <v>112</v>
      </c>
      <c r="B114" t="str">
        <f>_xlfn.IFNA(VLOOKUP(Wszystkie[[#This Row],[Zakończono wypełnianie]],Zakończone[],2,0),"BRAK")</f>
        <v>BRAK</v>
      </c>
      <c r="C114" t="s">
        <v>1059</v>
      </c>
      <c r="D114" t="s">
        <v>118</v>
      </c>
      <c r="I114" t="s">
        <v>286</v>
      </c>
      <c r="J114" t="s">
        <v>1060</v>
      </c>
      <c r="K114" t="s">
        <v>1060</v>
      </c>
      <c r="L114">
        <v>0</v>
      </c>
      <c r="M114">
        <v>0</v>
      </c>
      <c r="N114" t="s">
        <v>122</v>
      </c>
      <c r="O114" s="1" t="s">
        <v>123</v>
      </c>
      <c r="AE114" s="1" t="s">
        <v>124</v>
      </c>
      <c r="AF114" t="s">
        <v>1061</v>
      </c>
      <c r="AG114">
        <v>2009</v>
      </c>
      <c r="AH114" t="s">
        <v>148</v>
      </c>
      <c r="AI114" t="s">
        <v>1062</v>
      </c>
      <c r="AJ114" t="s">
        <v>169</v>
      </c>
      <c r="AK114" t="s">
        <v>169</v>
      </c>
      <c r="AL114" t="s">
        <v>151</v>
      </c>
      <c r="AM114" t="s">
        <v>150</v>
      </c>
      <c r="AN114" t="s">
        <v>169</v>
      </c>
      <c r="AO114" t="s">
        <v>237</v>
      </c>
      <c r="AP114" t="s">
        <v>131</v>
      </c>
      <c r="AQ114" t="s">
        <v>302</v>
      </c>
      <c r="AS114" t="s">
        <v>1063</v>
      </c>
      <c r="AT114" t="s">
        <v>1064</v>
      </c>
      <c r="AU114" t="s">
        <v>230</v>
      </c>
      <c r="AW114" s="1" t="s">
        <v>123</v>
      </c>
      <c r="CQ114" s="1" t="s">
        <v>123</v>
      </c>
      <c r="DA114" s="1" t="s">
        <v>123</v>
      </c>
      <c r="DK114" s="1" t="s">
        <v>123</v>
      </c>
      <c r="EN114" s="1" t="s">
        <v>123</v>
      </c>
      <c r="FN114" s="1" t="s">
        <v>123</v>
      </c>
      <c r="FO114" t="s">
        <v>132</v>
      </c>
    </row>
    <row r="115" spans="1:212" x14ac:dyDescent="0.45">
      <c r="A115">
        <v>114</v>
      </c>
      <c r="B115">
        <f>_xlfn.IFNA(VLOOKUP(Wszystkie[[#This Row],[Zakończono wypełnianie]],Zakończone[],2,0),"BRAK")</f>
        <v>68</v>
      </c>
      <c r="C115" t="s">
        <v>1077</v>
      </c>
      <c r="D115" t="s">
        <v>118</v>
      </c>
      <c r="I115" t="s">
        <v>119</v>
      </c>
      <c r="J115" t="s">
        <v>1078</v>
      </c>
      <c r="K115" t="s">
        <v>1079</v>
      </c>
      <c r="L115">
        <v>862</v>
      </c>
      <c r="M115">
        <v>0</v>
      </c>
      <c r="N115" t="s">
        <v>122</v>
      </c>
      <c r="O115" s="1" t="s">
        <v>123</v>
      </c>
      <c r="AE115" s="1" t="s">
        <v>124</v>
      </c>
      <c r="AF115" t="s">
        <v>223</v>
      </c>
      <c r="AG115">
        <v>2007</v>
      </c>
      <c r="AH115" t="s">
        <v>148</v>
      </c>
      <c r="AI115" t="s">
        <v>969</v>
      </c>
      <c r="AJ115" t="s">
        <v>151</v>
      </c>
      <c r="AK115" t="s">
        <v>151</v>
      </c>
      <c r="AL115" t="s">
        <v>150</v>
      </c>
      <c r="AM115" t="s">
        <v>162</v>
      </c>
      <c r="AN115" t="s">
        <v>150</v>
      </c>
      <c r="AO115" t="s">
        <v>237</v>
      </c>
      <c r="AP115" t="s">
        <v>131</v>
      </c>
      <c r="AQ115" t="s">
        <v>302</v>
      </c>
      <c r="AS115" t="s">
        <v>1080</v>
      </c>
      <c r="AT115" t="s">
        <v>1081</v>
      </c>
      <c r="AU115" t="s">
        <v>230</v>
      </c>
      <c r="AW115" s="1" t="s">
        <v>123</v>
      </c>
      <c r="AX115" t="s">
        <v>132</v>
      </c>
      <c r="CQ115" s="1" t="s">
        <v>123</v>
      </c>
      <c r="DA115" s="1" t="s">
        <v>123</v>
      </c>
      <c r="DK115" s="1" t="s">
        <v>123</v>
      </c>
      <c r="EN115" s="1" t="s">
        <v>123</v>
      </c>
      <c r="EO115" t="s">
        <v>178</v>
      </c>
      <c r="EP115" t="s">
        <v>132</v>
      </c>
      <c r="EQ115" t="s">
        <v>1082</v>
      </c>
      <c r="ER115" t="s">
        <v>151</v>
      </c>
      <c r="ES115" t="s">
        <v>151</v>
      </c>
      <c r="ET115" t="s">
        <v>151</v>
      </c>
      <c r="EU115" t="s">
        <v>178</v>
      </c>
      <c r="EW115" t="s">
        <v>1083</v>
      </c>
      <c r="EX115" t="s">
        <v>173</v>
      </c>
      <c r="FN115" s="1" t="s">
        <v>123</v>
      </c>
      <c r="FO115" t="s">
        <v>132</v>
      </c>
      <c r="FQ115" t="s">
        <v>132</v>
      </c>
      <c r="GV115" t="s">
        <v>1084</v>
      </c>
      <c r="GW115" t="s">
        <v>1085</v>
      </c>
      <c r="GX115" t="s">
        <v>1086</v>
      </c>
      <c r="GY115" t="s">
        <v>140</v>
      </c>
      <c r="GZ115">
        <v>1982</v>
      </c>
      <c r="HA115" t="s">
        <v>141</v>
      </c>
    </row>
    <row r="116" spans="1:212" x14ac:dyDescent="0.45">
      <c r="A116">
        <v>113</v>
      </c>
      <c r="B116">
        <f>_xlfn.IFNA(VLOOKUP(Wszystkie[[#This Row],[Zakończono wypełnianie]],Zakończone[],2,0),"BRAK")</f>
        <v>67</v>
      </c>
      <c r="C116" t="s">
        <v>1065</v>
      </c>
      <c r="D116" t="s">
        <v>118</v>
      </c>
      <c r="I116" t="s">
        <v>119</v>
      </c>
      <c r="J116" t="s">
        <v>1066</v>
      </c>
      <c r="K116" t="s">
        <v>1067</v>
      </c>
      <c r="L116">
        <v>2803</v>
      </c>
      <c r="M116">
        <v>0</v>
      </c>
      <c r="N116" t="s">
        <v>122</v>
      </c>
      <c r="O116" s="1" t="s">
        <v>123</v>
      </c>
      <c r="AE116" s="1" t="s">
        <v>124</v>
      </c>
      <c r="AF116" t="s">
        <v>1068</v>
      </c>
      <c r="AG116">
        <v>2019</v>
      </c>
      <c r="AH116" t="s">
        <v>148</v>
      </c>
      <c r="AI116" t="s">
        <v>1069</v>
      </c>
      <c r="AJ116" t="s">
        <v>128</v>
      </c>
      <c r="AK116" t="s">
        <v>151</v>
      </c>
      <c r="AL116" t="s">
        <v>128</v>
      </c>
      <c r="AM116" t="s">
        <v>129</v>
      </c>
      <c r="AN116" t="s">
        <v>132</v>
      </c>
      <c r="AO116" t="s">
        <v>1070</v>
      </c>
      <c r="AP116" t="s">
        <v>153</v>
      </c>
      <c r="AQ116" t="s">
        <v>132</v>
      </c>
      <c r="AS116" t="s">
        <v>1071</v>
      </c>
      <c r="AT116" t="s">
        <v>1072</v>
      </c>
      <c r="AU116" t="s">
        <v>892</v>
      </c>
      <c r="AW116" s="1" t="s">
        <v>123</v>
      </c>
      <c r="CQ116" s="1" t="s">
        <v>123</v>
      </c>
      <c r="DA116" s="1" t="s">
        <v>123</v>
      </c>
      <c r="DK116" s="1" t="s">
        <v>123</v>
      </c>
      <c r="EN116" s="1" t="s">
        <v>123</v>
      </c>
      <c r="FN116" s="1" t="s">
        <v>123</v>
      </c>
      <c r="FO116" t="s">
        <v>132</v>
      </c>
      <c r="GV116" t="s">
        <v>1073</v>
      </c>
      <c r="GW116" t="s">
        <v>1074</v>
      </c>
      <c r="GX116" t="s">
        <v>1075</v>
      </c>
      <c r="GY116" t="s">
        <v>140</v>
      </c>
      <c r="GZ116">
        <v>1991</v>
      </c>
      <c r="HA116" t="s">
        <v>398</v>
      </c>
      <c r="HD116" t="s">
        <v>1076</v>
      </c>
    </row>
    <row r="117" spans="1:212" x14ac:dyDescent="0.45">
      <c r="A117">
        <v>115</v>
      </c>
      <c r="B117">
        <f>_xlfn.IFNA(VLOOKUP(Wszystkie[[#This Row],[Zakończono wypełnianie]],Zakończone[],2,0),"BRAK")</f>
        <v>69</v>
      </c>
      <c r="C117" t="s">
        <v>1087</v>
      </c>
      <c r="D117" t="s">
        <v>118</v>
      </c>
      <c r="I117" t="s">
        <v>119</v>
      </c>
      <c r="J117" t="s">
        <v>1088</v>
      </c>
      <c r="K117" t="s">
        <v>1089</v>
      </c>
      <c r="L117">
        <v>1206</v>
      </c>
      <c r="M117">
        <v>0</v>
      </c>
      <c r="N117" t="s">
        <v>122</v>
      </c>
      <c r="O117" s="1" t="s">
        <v>123</v>
      </c>
      <c r="AE117" s="1" t="s">
        <v>124</v>
      </c>
      <c r="AF117" t="s">
        <v>1090</v>
      </c>
      <c r="AG117">
        <v>2004</v>
      </c>
      <c r="AH117" t="s">
        <v>126</v>
      </c>
      <c r="AI117" t="s">
        <v>844</v>
      </c>
      <c r="AJ117" t="s">
        <v>162</v>
      </c>
      <c r="AK117" t="s">
        <v>162</v>
      </c>
      <c r="AL117" t="s">
        <v>150</v>
      </c>
      <c r="AM117" t="s">
        <v>151</v>
      </c>
      <c r="AN117" t="s">
        <v>150</v>
      </c>
      <c r="AO117" t="s">
        <v>237</v>
      </c>
      <c r="AP117" t="s">
        <v>302</v>
      </c>
      <c r="AQ117" t="s">
        <v>226</v>
      </c>
      <c r="AR117" t="s">
        <v>1091</v>
      </c>
      <c r="AS117" t="s">
        <v>1092</v>
      </c>
      <c r="AT117" t="s">
        <v>1093</v>
      </c>
      <c r="AU117" t="s">
        <v>157</v>
      </c>
      <c r="AW117" s="1" t="s">
        <v>123</v>
      </c>
      <c r="CQ117" s="1" t="s">
        <v>123</v>
      </c>
      <c r="DA117" s="1" t="s">
        <v>123</v>
      </c>
      <c r="DK117" s="1" t="s">
        <v>123</v>
      </c>
      <c r="EN117" s="1" t="s">
        <v>123</v>
      </c>
      <c r="FN117" s="1" t="s">
        <v>123</v>
      </c>
      <c r="FO117" t="s">
        <v>132</v>
      </c>
      <c r="GV117" t="s">
        <v>1094</v>
      </c>
      <c r="GW117" t="s">
        <v>1095</v>
      </c>
      <c r="GX117" t="s">
        <v>1096</v>
      </c>
      <c r="GY117" t="s">
        <v>140</v>
      </c>
      <c r="GZ117">
        <v>1976</v>
      </c>
      <c r="HA117" t="s">
        <v>141</v>
      </c>
    </row>
    <row r="118" spans="1:212" x14ac:dyDescent="0.45">
      <c r="A118">
        <v>116</v>
      </c>
      <c r="B118" t="str">
        <f>_xlfn.IFNA(VLOOKUP(Wszystkie[[#This Row],[Zakończono wypełnianie]],Zakończone[],2,0),"BRAK")</f>
        <v>BRAK</v>
      </c>
      <c r="C118" t="s">
        <v>1087</v>
      </c>
      <c r="D118" t="s">
        <v>118</v>
      </c>
      <c r="I118" t="s">
        <v>286</v>
      </c>
      <c r="J118" t="s">
        <v>1097</v>
      </c>
      <c r="K118" t="s">
        <v>1097</v>
      </c>
      <c r="L118">
        <v>0</v>
      </c>
      <c r="M118">
        <v>0</v>
      </c>
      <c r="N118" t="s">
        <v>122</v>
      </c>
      <c r="O118" s="1" t="s">
        <v>123</v>
      </c>
      <c r="AE118" s="1" t="s">
        <v>124</v>
      </c>
      <c r="AW118" s="1" t="s">
        <v>123</v>
      </c>
      <c r="CQ118" s="1" t="s">
        <v>123</v>
      </c>
      <c r="DA118" s="1" t="s">
        <v>123</v>
      </c>
      <c r="DK118" s="1" t="s">
        <v>123</v>
      </c>
      <c r="EN118" s="1" t="s">
        <v>123</v>
      </c>
      <c r="FN118" s="1"/>
    </row>
    <row r="119" spans="1:212" x14ac:dyDescent="0.45">
      <c r="A119">
        <v>118</v>
      </c>
      <c r="B119" t="str">
        <f>_xlfn.IFNA(VLOOKUP(Wszystkie[[#This Row],[Zakończono wypełnianie]],Zakończone[],2,0),"BRAK")</f>
        <v>BRAK</v>
      </c>
      <c r="C119" t="s">
        <v>1098</v>
      </c>
      <c r="D119" t="s">
        <v>118</v>
      </c>
      <c r="I119" t="s">
        <v>286</v>
      </c>
      <c r="J119" t="s">
        <v>1106</v>
      </c>
      <c r="K119" t="s">
        <v>1106</v>
      </c>
      <c r="L119">
        <v>0</v>
      </c>
      <c r="M119">
        <v>0</v>
      </c>
      <c r="N119" t="s">
        <v>122</v>
      </c>
      <c r="O119" s="1" t="s">
        <v>416</v>
      </c>
      <c r="P119" t="s">
        <v>1107</v>
      </c>
      <c r="Q119" t="s">
        <v>126</v>
      </c>
      <c r="R119" t="s">
        <v>844</v>
      </c>
      <c r="S119" t="s">
        <v>150</v>
      </c>
      <c r="T119" t="s">
        <v>162</v>
      </c>
      <c r="U119" t="s">
        <v>129</v>
      </c>
      <c r="V119">
        <v>12</v>
      </c>
      <c r="W119" t="s">
        <v>302</v>
      </c>
      <c r="X119" t="s">
        <v>209</v>
      </c>
      <c r="Y119" t="s">
        <v>1108</v>
      </c>
      <c r="Z119" t="s">
        <v>1109</v>
      </c>
      <c r="AA119" t="s">
        <v>1110</v>
      </c>
      <c r="AB119" t="s">
        <v>172</v>
      </c>
      <c r="AD119">
        <v>7</v>
      </c>
      <c r="AE119" s="1" t="s">
        <v>123</v>
      </c>
      <c r="AW119" s="1" t="s">
        <v>159</v>
      </c>
      <c r="AX119">
        <v>3</v>
      </c>
      <c r="CQ119" s="1"/>
      <c r="DA119" s="1"/>
      <c r="DK119" s="1"/>
      <c r="EN119" s="1"/>
      <c r="FN119" s="1"/>
    </row>
    <row r="120" spans="1:212" x14ac:dyDescent="0.45">
      <c r="A120">
        <v>117</v>
      </c>
      <c r="B120">
        <f>_xlfn.IFNA(VLOOKUP(Wszystkie[[#This Row],[Zakończono wypełnianie]],Zakończone[],2,0),"BRAK")</f>
        <v>70</v>
      </c>
      <c r="C120" t="s">
        <v>1098</v>
      </c>
      <c r="D120" t="s">
        <v>118</v>
      </c>
      <c r="I120" t="s">
        <v>119</v>
      </c>
      <c r="J120" t="s">
        <v>1099</v>
      </c>
      <c r="K120" t="s">
        <v>1100</v>
      </c>
      <c r="L120">
        <v>358</v>
      </c>
      <c r="M120">
        <v>0</v>
      </c>
      <c r="N120" t="s">
        <v>122</v>
      </c>
      <c r="O120" s="1" t="s">
        <v>123</v>
      </c>
      <c r="AE120" s="1" t="s">
        <v>124</v>
      </c>
      <c r="AF120" t="s">
        <v>1090</v>
      </c>
      <c r="AG120">
        <v>2018</v>
      </c>
      <c r="AH120" t="s">
        <v>126</v>
      </c>
      <c r="AI120" t="s">
        <v>844</v>
      </c>
      <c r="AJ120" t="s">
        <v>150</v>
      </c>
      <c r="AK120" t="s">
        <v>151</v>
      </c>
      <c r="AL120" t="s">
        <v>162</v>
      </c>
      <c r="AM120" t="s">
        <v>150</v>
      </c>
      <c r="AN120" t="s">
        <v>132</v>
      </c>
      <c r="AO120">
        <v>1</v>
      </c>
      <c r="AP120" t="s">
        <v>153</v>
      </c>
      <c r="AQ120" t="s">
        <v>132</v>
      </c>
      <c r="AS120" t="s">
        <v>1101</v>
      </c>
      <c r="AT120" t="s">
        <v>1102</v>
      </c>
      <c r="AU120" t="s">
        <v>157</v>
      </c>
      <c r="AW120" s="1" t="s">
        <v>123</v>
      </c>
      <c r="AX120" t="s">
        <v>132</v>
      </c>
      <c r="CQ120" s="1" t="s">
        <v>123</v>
      </c>
      <c r="DA120" s="1" t="s">
        <v>123</v>
      </c>
      <c r="DK120" s="1" t="s">
        <v>123</v>
      </c>
      <c r="EN120" s="1" t="s">
        <v>123</v>
      </c>
      <c r="FN120" s="1" t="s">
        <v>123</v>
      </c>
      <c r="GV120" t="s">
        <v>1103</v>
      </c>
      <c r="GW120" t="s">
        <v>1104</v>
      </c>
      <c r="GX120" t="s">
        <v>1105</v>
      </c>
      <c r="GY120" t="s">
        <v>140</v>
      </c>
      <c r="GZ120">
        <v>1991</v>
      </c>
      <c r="HA120" t="s">
        <v>141</v>
      </c>
    </row>
    <row r="121" spans="1:212" x14ac:dyDescent="0.45">
      <c r="A121">
        <v>119</v>
      </c>
      <c r="B121" t="str">
        <f>_xlfn.IFNA(VLOOKUP(Wszystkie[[#This Row],[Zakończono wypełnianie]],Zakończone[],2,0),"BRAK")</f>
        <v>BRAK</v>
      </c>
      <c r="C121" t="s">
        <v>1098</v>
      </c>
      <c r="D121" t="s">
        <v>118</v>
      </c>
      <c r="I121" t="s">
        <v>286</v>
      </c>
      <c r="J121" t="s">
        <v>1111</v>
      </c>
      <c r="K121" t="s">
        <v>1111</v>
      </c>
      <c r="L121">
        <v>0</v>
      </c>
      <c r="M121">
        <v>0</v>
      </c>
      <c r="N121" t="s">
        <v>122</v>
      </c>
      <c r="O121" s="1" t="s">
        <v>123</v>
      </c>
      <c r="AE121" s="1" t="s">
        <v>124</v>
      </c>
      <c r="AF121" t="s">
        <v>1090</v>
      </c>
      <c r="AG121">
        <v>2001</v>
      </c>
      <c r="AH121" t="s">
        <v>126</v>
      </c>
      <c r="AI121" t="s">
        <v>844</v>
      </c>
      <c r="AJ121" t="s">
        <v>162</v>
      </c>
      <c r="AK121" t="s">
        <v>162</v>
      </c>
      <c r="AL121" t="s">
        <v>151</v>
      </c>
      <c r="AM121" t="s">
        <v>162</v>
      </c>
      <c r="AN121" t="s">
        <v>151</v>
      </c>
      <c r="AO121">
        <v>1</v>
      </c>
      <c r="AP121" t="s">
        <v>302</v>
      </c>
      <c r="AQ121" t="s">
        <v>153</v>
      </c>
      <c r="AU121" t="s">
        <v>172</v>
      </c>
      <c r="AW121" s="1"/>
      <c r="CQ121" s="1"/>
      <c r="DA121" s="1"/>
      <c r="DK121" s="1"/>
      <c r="EN121" s="1"/>
      <c r="FN121" s="1"/>
    </row>
    <row r="122" spans="1:212" x14ac:dyDescent="0.45">
      <c r="A122">
        <v>120</v>
      </c>
      <c r="B122" t="str">
        <f>_xlfn.IFNA(VLOOKUP(Wszystkie[[#This Row],[Zakończono wypełnianie]],Zakończone[],2,0),"BRAK")</f>
        <v>BRAK</v>
      </c>
      <c r="C122" t="s">
        <v>1098</v>
      </c>
      <c r="D122" t="s">
        <v>118</v>
      </c>
      <c r="I122" t="s">
        <v>286</v>
      </c>
      <c r="J122" t="s">
        <v>1112</v>
      </c>
      <c r="K122" t="s">
        <v>1112</v>
      </c>
      <c r="L122">
        <v>0</v>
      </c>
      <c r="M122">
        <v>0</v>
      </c>
      <c r="N122" t="s">
        <v>122</v>
      </c>
      <c r="O122" s="1"/>
      <c r="AE122" s="1"/>
      <c r="AW122" s="1"/>
      <c r="CQ122" s="1"/>
      <c r="DA122" s="1"/>
      <c r="DK122" s="1"/>
      <c r="EN122" s="1"/>
      <c r="FN122" s="1"/>
    </row>
    <row r="123" spans="1:212" x14ac:dyDescent="0.45">
      <c r="A123">
        <v>121</v>
      </c>
      <c r="B123" t="str">
        <f>_xlfn.IFNA(VLOOKUP(Wszystkie[[#This Row],[Zakończono wypełnianie]],Zakończone[],2,0),"BRAK")</f>
        <v>BRAK</v>
      </c>
      <c r="C123" t="s">
        <v>1098</v>
      </c>
      <c r="D123" t="s">
        <v>118</v>
      </c>
      <c r="I123" t="s">
        <v>286</v>
      </c>
      <c r="J123" t="s">
        <v>1113</v>
      </c>
      <c r="K123" t="s">
        <v>1113</v>
      </c>
      <c r="L123">
        <v>0</v>
      </c>
      <c r="M123">
        <v>0</v>
      </c>
      <c r="N123" t="s">
        <v>122</v>
      </c>
      <c r="O123" s="1" t="s">
        <v>123</v>
      </c>
      <c r="AE123" s="1" t="s">
        <v>124</v>
      </c>
      <c r="AF123" t="s">
        <v>1114</v>
      </c>
      <c r="AG123">
        <v>1977</v>
      </c>
      <c r="AH123" t="s">
        <v>126</v>
      </c>
      <c r="AI123" t="s">
        <v>1115</v>
      </c>
      <c r="AJ123" t="s">
        <v>169</v>
      </c>
      <c r="AK123" t="s">
        <v>150</v>
      </c>
      <c r="AL123" t="s">
        <v>151</v>
      </c>
      <c r="AM123" t="s">
        <v>236</v>
      </c>
      <c r="AN123" t="s">
        <v>236</v>
      </c>
      <c r="AO123" t="s">
        <v>1116</v>
      </c>
      <c r="AP123" t="s">
        <v>131</v>
      </c>
      <c r="AQ123" t="s">
        <v>302</v>
      </c>
      <c r="AR123" t="s">
        <v>1117</v>
      </c>
      <c r="AS123" t="s">
        <v>1118</v>
      </c>
      <c r="AT123" t="s">
        <v>1119</v>
      </c>
      <c r="AU123" t="s">
        <v>157</v>
      </c>
      <c r="AW123" s="1" t="s">
        <v>159</v>
      </c>
      <c r="AX123">
        <v>2</v>
      </c>
      <c r="AY123" t="s">
        <v>1120</v>
      </c>
      <c r="AZ123">
        <v>2002</v>
      </c>
      <c r="BA123" t="s">
        <v>148</v>
      </c>
      <c r="BB123" t="s">
        <v>1121</v>
      </c>
      <c r="BC123" t="s">
        <v>150</v>
      </c>
      <c r="BD123" t="s">
        <v>150</v>
      </c>
      <c r="BE123" t="s">
        <v>150</v>
      </c>
      <c r="BF123" t="s">
        <v>129</v>
      </c>
      <c r="BG123" t="s">
        <v>129</v>
      </c>
      <c r="BH123" t="s">
        <v>1122</v>
      </c>
      <c r="BI123" t="s">
        <v>1123</v>
      </c>
      <c r="BJ123" t="s">
        <v>157</v>
      </c>
      <c r="BM123" t="s">
        <v>166</v>
      </c>
      <c r="BN123" t="s">
        <v>1124</v>
      </c>
      <c r="BO123">
        <v>2012</v>
      </c>
      <c r="BP123" t="s">
        <v>148</v>
      </c>
      <c r="BQ123" t="s">
        <v>1125</v>
      </c>
      <c r="BR123" t="s">
        <v>150</v>
      </c>
      <c r="BS123" t="s">
        <v>169</v>
      </c>
      <c r="BT123" t="s">
        <v>151</v>
      </c>
      <c r="BU123" t="s">
        <v>236</v>
      </c>
      <c r="BV123" t="s">
        <v>151</v>
      </c>
      <c r="BW123" t="s">
        <v>1126</v>
      </c>
      <c r="BX123" t="s">
        <v>1127</v>
      </c>
      <c r="BY123" t="s">
        <v>230</v>
      </c>
      <c r="CB123" t="s">
        <v>173</v>
      </c>
      <c r="CQ123" s="1" t="s">
        <v>123</v>
      </c>
      <c r="DA123" s="1" t="s">
        <v>214</v>
      </c>
      <c r="DB123" t="s">
        <v>1114</v>
      </c>
      <c r="DC123" t="s">
        <v>1128</v>
      </c>
      <c r="DD123" t="s">
        <v>150</v>
      </c>
      <c r="DE123" t="s">
        <v>162</v>
      </c>
      <c r="DF123" t="s">
        <v>151</v>
      </c>
      <c r="DG123" t="s">
        <v>150</v>
      </c>
      <c r="DH123" t="s">
        <v>150</v>
      </c>
      <c r="DI123" t="s">
        <v>150</v>
      </c>
      <c r="DJ123" t="s">
        <v>1129</v>
      </c>
      <c r="DK123" s="1" t="s">
        <v>174</v>
      </c>
      <c r="DO123" t="s">
        <v>175</v>
      </c>
      <c r="DP123" t="s">
        <v>1130</v>
      </c>
      <c r="DQ123" t="s">
        <v>162</v>
      </c>
      <c r="DR123" t="s">
        <v>150</v>
      </c>
      <c r="DS123" t="s">
        <v>151</v>
      </c>
      <c r="DT123" t="s">
        <v>151</v>
      </c>
      <c r="DU123" t="s">
        <v>150</v>
      </c>
      <c r="DV123" t="s">
        <v>162</v>
      </c>
      <c r="DW123" t="s">
        <v>162</v>
      </c>
      <c r="EN123" s="1"/>
      <c r="FN123" s="1"/>
    </row>
    <row r="124" spans="1:212" x14ac:dyDescent="0.45">
      <c r="A124">
        <v>122</v>
      </c>
      <c r="B124">
        <f>_xlfn.IFNA(VLOOKUP(Wszystkie[[#This Row],[Zakończono wypełnianie]],Zakończone[],2,0),"BRAK")</f>
        <v>71</v>
      </c>
      <c r="C124" t="s">
        <v>1131</v>
      </c>
      <c r="D124" t="s">
        <v>118</v>
      </c>
      <c r="I124" t="s">
        <v>119</v>
      </c>
      <c r="J124" t="s">
        <v>1132</v>
      </c>
      <c r="K124" t="s">
        <v>1133</v>
      </c>
      <c r="L124">
        <v>3215</v>
      </c>
      <c r="M124">
        <v>0</v>
      </c>
      <c r="N124" t="s">
        <v>122</v>
      </c>
      <c r="O124" s="1" t="s">
        <v>123</v>
      </c>
      <c r="AE124" s="1" t="s">
        <v>124</v>
      </c>
      <c r="AF124" t="s">
        <v>191</v>
      </c>
      <c r="AG124">
        <v>2015</v>
      </c>
      <c r="AH124" t="s">
        <v>126</v>
      </c>
      <c r="AI124" t="s">
        <v>1134</v>
      </c>
      <c r="AJ124" t="s">
        <v>128</v>
      </c>
      <c r="AK124" t="s">
        <v>151</v>
      </c>
      <c r="AL124" t="s">
        <v>169</v>
      </c>
      <c r="AM124" t="s">
        <v>162</v>
      </c>
      <c r="AN124" t="s">
        <v>150</v>
      </c>
      <c r="AO124">
        <v>1</v>
      </c>
      <c r="AP124" t="s">
        <v>302</v>
      </c>
      <c r="AQ124" t="s">
        <v>226</v>
      </c>
      <c r="AR124" t="s">
        <v>1135</v>
      </c>
      <c r="AS124" t="s">
        <v>1136</v>
      </c>
      <c r="AT124" t="s">
        <v>1137</v>
      </c>
      <c r="AU124" t="s">
        <v>172</v>
      </c>
      <c r="AW124" s="1" t="s">
        <v>123</v>
      </c>
      <c r="AX124" t="s">
        <v>132</v>
      </c>
      <c r="CQ124" s="1" t="s">
        <v>123</v>
      </c>
      <c r="DA124" s="1" t="s">
        <v>123</v>
      </c>
      <c r="DK124" s="1" t="s">
        <v>123</v>
      </c>
      <c r="EN124" s="1" t="s">
        <v>123</v>
      </c>
      <c r="FN124" s="1" t="s">
        <v>123</v>
      </c>
      <c r="GV124" t="s">
        <v>1138</v>
      </c>
      <c r="GW124" t="s">
        <v>1139</v>
      </c>
      <c r="GX124" t="s">
        <v>1140</v>
      </c>
      <c r="GY124" t="s">
        <v>186</v>
      </c>
      <c r="GZ124">
        <v>1991</v>
      </c>
      <c r="HA124" t="s">
        <v>141</v>
      </c>
      <c r="HC124" t="s">
        <v>1141</v>
      </c>
    </row>
    <row r="125" spans="1:212" x14ac:dyDescent="0.45">
      <c r="A125">
        <v>123</v>
      </c>
      <c r="B125">
        <f>_xlfn.IFNA(VLOOKUP(Wszystkie[[#This Row],[Zakończono wypełnianie]],Zakończone[],2,0),"BRAK")</f>
        <v>72</v>
      </c>
      <c r="C125" t="s">
        <v>1142</v>
      </c>
      <c r="D125" t="s">
        <v>118</v>
      </c>
      <c r="I125" t="s">
        <v>119</v>
      </c>
      <c r="J125" t="s">
        <v>1143</v>
      </c>
      <c r="K125" t="s">
        <v>1144</v>
      </c>
      <c r="L125">
        <v>258</v>
      </c>
      <c r="M125">
        <v>0</v>
      </c>
      <c r="N125" t="s">
        <v>122</v>
      </c>
      <c r="O125" s="1" t="s">
        <v>123</v>
      </c>
      <c r="AE125" s="1" t="s">
        <v>124</v>
      </c>
      <c r="AF125" t="s">
        <v>1145</v>
      </c>
      <c r="AG125">
        <v>2016</v>
      </c>
      <c r="AH125" t="s">
        <v>126</v>
      </c>
      <c r="AI125" t="s">
        <v>1146</v>
      </c>
      <c r="AJ125" t="s">
        <v>150</v>
      </c>
      <c r="AK125" t="s">
        <v>150</v>
      </c>
      <c r="AL125" t="s">
        <v>169</v>
      </c>
      <c r="AM125" t="s">
        <v>169</v>
      </c>
      <c r="AN125" t="s">
        <v>169</v>
      </c>
      <c r="AO125">
        <v>3</v>
      </c>
      <c r="AP125" t="s">
        <v>302</v>
      </c>
      <c r="AQ125" t="s">
        <v>943</v>
      </c>
      <c r="AS125" t="s">
        <v>1147</v>
      </c>
      <c r="AT125" t="s">
        <v>1148</v>
      </c>
      <c r="AU125" t="s">
        <v>892</v>
      </c>
      <c r="AW125" s="1" t="s">
        <v>123</v>
      </c>
      <c r="AX125" t="s">
        <v>132</v>
      </c>
      <c r="CQ125" s="1" t="s">
        <v>123</v>
      </c>
      <c r="DA125" s="1" t="s">
        <v>123</v>
      </c>
      <c r="DK125" s="1" t="s">
        <v>123</v>
      </c>
      <c r="EN125" s="1" t="s">
        <v>123</v>
      </c>
      <c r="EO125" t="s">
        <v>178</v>
      </c>
      <c r="EP125">
        <v>1</v>
      </c>
      <c r="FN125" s="1" t="s">
        <v>123</v>
      </c>
      <c r="GV125" t="s">
        <v>1149</v>
      </c>
      <c r="GW125" t="s">
        <v>1149</v>
      </c>
      <c r="GX125" t="s">
        <v>1150</v>
      </c>
      <c r="GY125" t="s">
        <v>186</v>
      </c>
      <c r="GZ125">
        <v>1986</v>
      </c>
      <c r="HA125" t="s">
        <v>398</v>
      </c>
    </row>
    <row r="126" spans="1:212" x14ac:dyDescent="0.45">
      <c r="A126">
        <v>124</v>
      </c>
      <c r="B126">
        <f>_xlfn.IFNA(VLOOKUP(Wszystkie[[#This Row],[Zakończono wypełnianie]],Zakończone[],2,0),"BRAK")</f>
        <v>73</v>
      </c>
      <c r="C126" t="s">
        <v>1151</v>
      </c>
      <c r="D126" t="s">
        <v>118</v>
      </c>
      <c r="E126" t="s">
        <v>1152</v>
      </c>
      <c r="I126" t="s">
        <v>119</v>
      </c>
      <c r="J126" t="s">
        <v>1153</v>
      </c>
      <c r="K126" t="s">
        <v>1154</v>
      </c>
      <c r="L126">
        <v>1159</v>
      </c>
      <c r="M126">
        <v>0</v>
      </c>
      <c r="N126" t="s">
        <v>122</v>
      </c>
      <c r="O126" s="1" t="s">
        <v>123</v>
      </c>
      <c r="AE126" s="1" t="s">
        <v>124</v>
      </c>
      <c r="AF126" t="s">
        <v>191</v>
      </c>
      <c r="AG126">
        <v>2018</v>
      </c>
      <c r="AH126" t="s">
        <v>126</v>
      </c>
      <c r="AI126" t="s">
        <v>969</v>
      </c>
      <c r="AJ126" t="s">
        <v>150</v>
      </c>
      <c r="AK126" t="s">
        <v>150</v>
      </c>
      <c r="AL126" t="s">
        <v>162</v>
      </c>
      <c r="AM126" t="s">
        <v>128</v>
      </c>
      <c r="AN126" t="s">
        <v>151</v>
      </c>
      <c r="AO126" t="s">
        <v>530</v>
      </c>
      <c r="AP126" t="s">
        <v>131</v>
      </c>
      <c r="AQ126" t="s">
        <v>302</v>
      </c>
      <c r="AR126" t="s">
        <v>1155</v>
      </c>
      <c r="AS126" t="s">
        <v>1156</v>
      </c>
      <c r="AT126" t="s">
        <v>1157</v>
      </c>
      <c r="AU126" t="s">
        <v>230</v>
      </c>
      <c r="AV126" t="s">
        <v>1158</v>
      </c>
      <c r="AW126" s="1" t="s">
        <v>123</v>
      </c>
      <c r="CQ126" s="1" t="s">
        <v>123</v>
      </c>
      <c r="DA126" s="1" t="s">
        <v>123</v>
      </c>
      <c r="DK126" s="1" t="s">
        <v>123</v>
      </c>
      <c r="EN126" s="1" t="s">
        <v>123</v>
      </c>
      <c r="FN126" s="1" t="s">
        <v>123</v>
      </c>
      <c r="GV126" t="s">
        <v>1159</v>
      </c>
      <c r="GW126" t="s">
        <v>1160</v>
      </c>
      <c r="GX126" t="s">
        <v>1161</v>
      </c>
      <c r="GY126" t="s">
        <v>140</v>
      </c>
      <c r="GZ126">
        <v>1991</v>
      </c>
      <c r="HA126" t="s">
        <v>483</v>
      </c>
      <c r="HC126" t="s">
        <v>1162</v>
      </c>
      <c r="HD126" t="s">
        <v>142</v>
      </c>
    </row>
    <row r="127" spans="1:212" x14ac:dyDescent="0.45">
      <c r="A127">
        <v>125</v>
      </c>
      <c r="B127">
        <f>_xlfn.IFNA(VLOOKUP(Wszystkie[[#This Row],[Zakończono wypełnianie]],Zakończone[],2,0),"BRAK")</f>
        <v>74</v>
      </c>
      <c r="C127" t="s">
        <v>1163</v>
      </c>
      <c r="D127" t="s">
        <v>118</v>
      </c>
      <c r="I127" t="s">
        <v>119</v>
      </c>
      <c r="J127" t="s">
        <v>1164</v>
      </c>
      <c r="K127" t="s">
        <v>1165</v>
      </c>
      <c r="L127">
        <v>982</v>
      </c>
      <c r="M127">
        <v>0</v>
      </c>
      <c r="N127" t="s">
        <v>122</v>
      </c>
      <c r="O127" s="1" t="s">
        <v>123</v>
      </c>
      <c r="AE127" s="1" t="s">
        <v>124</v>
      </c>
      <c r="AF127" t="s">
        <v>191</v>
      </c>
      <c r="AG127" t="s">
        <v>1166</v>
      </c>
      <c r="AH127" t="s">
        <v>148</v>
      </c>
      <c r="AI127" t="s">
        <v>1167</v>
      </c>
      <c r="AJ127" t="s">
        <v>169</v>
      </c>
      <c r="AK127" t="s">
        <v>169</v>
      </c>
      <c r="AL127" t="s">
        <v>169</v>
      </c>
      <c r="AM127" t="s">
        <v>150</v>
      </c>
      <c r="AN127" t="s">
        <v>150</v>
      </c>
      <c r="AO127" t="s">
        <v>1168</v>
      </c>
      <c r="AP127" t="s">
        <v>132</v>
      </c>
      <c r="AQ127" t="s">
        <v>132</v>
      </c>
      <c r="AR127" t="s">
        <v>1169</v>
      </c>
      <c r="AS127" t="s">
        <v>1170</v>
      </c>
      <c r="AT127" t="s">
        <v>132</v>
      </c>
      <c r="AV127" t="s">
        <v>1171</v>
      </c>
      <c r="AW127" s="1" t="s">
        <v>159</v>
      </c>
      <c r="AX127">
        <v>1</v>
      </c>
      <c r="AY127" t="s">
        <v>1172</v>
      </c>
      <c r="AZ127">
        <v>2020</v>
      </c>
      <c r="BA127" t="s">
        <v>148</v>
      </c>
      <c r="BB127" t="s">
        <v>927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1173</v>
      </c>
      <c r="BI127" t="s">
        <v>1174</v>
      </c>
      <c r="BJ127" t="s">
        <v>230</v>
      </c>
      <c r="BL127" t="s">
        <v>1175</v>
      </c>
      <c r="BM127" t="s">
        <v>173</v>
      </c>
      <c r="CQ127" s="1" t="s">
        <v>123</v>
      </c>
      <c r="DA127" s="1" t="s">
        <v>214</v>
      </c>
      <c r="DB127" t="s">
        <v>747</v>
      </c>
      <c r="DC127" t="s">
        <v>1176</v>
      </c>
      <c r="DD127" t="s">
        <v>169</v>
      </c>
      <c r="DE127" t="s">
        <v>162</v>
      </c>
      <c r="DF127" t="s">
        <v>150</v>
      </c>
      <c r="DG127" t="s">
        <v>169</v>
      </c>
      <c r="DH127" t="s">
        <v>150</v>
      </c>
      <c r="DI127" t="s">
        <v>150</v>
      </c>
      <c r="DJ127" t="s">
        <v>1177</v>
      </c>
      <c r="DK127" s="1" t="s">
        <v>174</v>
      </c>
      <c r="DN127" t="s">
        <v>1178</v>
      </c>
      <c r="DP127" t="s">
        <v>747</v>
      </c>
      <c r="DQ127" t="s">
        <v>150</v>
      </c>
      <c r="DR127" t="s">
        <v>150</v>
      </c>
      <c r="DS127" t="s">
        <v>150</v>
      </c>
      <c r="DT127" t="s">
        <v>150</v>
      </c>
      <c r="DU127" t="s">
        <v>162</v>
      </c>
      <c r="DV127" t="s">
        <v>162</v>
      </c>
      <c r="DW127" t="s">
        <v>162</v>
      </c>
      <c r="DX127">
        <v>25</v>
      </c>
      <c r="DY127">
        <v>10</v>
      </c>
      <c r="DZ127">
        <v>0</v>
      </c>
      <c r="EA127">
        <v>10</v>
      </c>
      <c r="EB127">
        <v>25</v>
      </c>
      <c r="EC127">
        <v>15</v>
      </c>
      <c r="ED127">
        <v>15</v>
      </c>
      <c r="EF127">
        <v>10</v>
      </c>
      <c r="EG127">
        <v>10</v>
      </c>
      <c r="EH127">
        <v>0</v>
      </c>
      <c r="EI127">
        <v>10</v>
      </c>
      <c r="EJ127">
        <v>50</v>
      </c>
      <c r="EK127">
        <v>10</v>
      </c>
      <c r="EL127">
        <v>10</v>
      </c>
      <c r="EN127" s="1" t="s">
        <v>123</v>
      </c>
      <c r="FN127" s="1" t="s">
        <v>123</v>
      </c>
      <c r="GV127" t="s">
        <v>1179</v>
      </c>
      <c r="GW127" t="s">
        <v>1180</v>
      </c>
      <c r="GX127" t="s">
        <v>1181</v>
      </c>
      <c r="GY127" t="s">
        <v>186</v>
      </c>
      <c r="GZ127" t="s">
        <v>1182</v>
      </c>
      <c r="HA127" t="s">
        <v>141</v>
      </c>
      <c r="HC127" t="s">
        <v>1183</v>
      </c>
    </row>
    <row r="128" spans="1:212" x14ac:dyDescent="0.45">
      <c r="A128">
        <v>126</v>
      </c>
      <c r="B128">
        <f>_xlfn.IFNA(VLOOKUP(Wszystkie[[#This Row],[Zakończono wypełnianie]],Zakończone[],2,0),"BRAK")</f>
        <v>75</v>
      </c>
      <c r="C128" t="s">
        <v>1151</v>
      </c>
      <c r="D128" t="s">
        <v>118</v>
      </c>
      <c r="E128" t="s">
        <v>359</v>
      </c>
      <c r="I128" t="s">
        <v>119</v>
      </c>
      <c r="J128" t="s">
        <v>1184</v>
      </c>
      <c r="K128" t="s">
        <v>1185</v>
      </c>
      <c r="L128">
        <v>739</v>
      </c>
      <c r="M128">
        <v>0</v>
      </c>
      <c r="N128" t="s">
        <v>122</v>
      </c>
      <c r="O128" s="1" t="s">
        <v>123</v>
      </c>
      <c r="AE128" s="1" t="s">
        <v>124</v>
      </c>
      <c r="AF128" t="s">
        <v>191</v>
      </c>
      <c r="AG128">
        <v>2018</v>
      </c>
      <c r="AH128" t="s">
        <v>126</v>
      </c>
      <c r="AI128" t="s">
        <v>1186</v>
      </c>
      <c r="AJ128" t="s">
        <v>151</v>
      </c>
      <c r="AK128" t="s">
        <v>162</v>
      </c>
      <c r="AL128" t="s">
        <v>169</v>
      </c>
      <c r="AM128" t="s">
        <v>150</v>
      </c>
      <c r="AN128" t="s">
        <v>132</v>
      </c>
      <c r="AO128" t="s">
        <v>959</v>
      </c>
      <c r="AP128" t="s">
        <v>302</v>
      </c>
      <c r="AQ128" t="s">
        <v>226</v>
      </c>
      <c r="AR128" t="s">
        <v>1187</v>
      </c>
      <c r="AS128" t="s">
        <v>1188</v>
      </c>
      <c r="AT128" t="s">
        <v>1189</v>
      </c>
      <c r="AU128" t="s">
        <v>172</v>
      </c>
      <c r="AW128" s="1" t="s">
        <v>123</v>
      </c>
      <c r="AX128" t="s">
        <v>132</v>
      </c>
      <c r="CQ128" s="1" t="s">
        <v>123</v>
      </c>
      <c r="DA128" s="1" t="s">
        <v>123</v>
      </c>
      <c r="DK128" s="1" t="s">
        <v>123</v>
      </c>
      <c r="EN128" s="1" t="s">
        <v>123</v>
      </c>
      <c r="FN128" s="1" t="s">
        <v>123</v>
      </c>
      <c r="GV128" t="s">
        <v>276</v>
      </c>
      <c r="GW128" t="s">
        <v>1190</v>
      </c>
      <c r="GX128" t="s">
        <v>1191</v>
      </c>
      <c r="GY128" t="s">
        <v>186</v>
      </c>
      <c r="GZ128">
        <v>1991</v>
      </c>
      <c r="HA128" t="s">
        <v>141</v>
      </c>
    </row>
    <row r="129" spans="1:212" x14ac:dyDescent="0.45">
      <c r="A129">
        <v>127</v>
      </c>
      <c r="B129">
        <f>_xlfn.IFNA(VLOOKUP(Wszystkie[[#This Row],[Zakończono wypełnianie]],Zakończone[],2,0),"BRAK")</f>
        <v>76</v>
      </c>
      <c r="C129" t="s">
        <v>1192</v>
      </c>
      <c r="D129" t="s">
        <v>118</v>
      </c>
      <c r="I129" t="s">
        <v>119</v>
      </c>
      <c r="J129" t="s">
        <v>1193</v>
      </c>
      <c r="K129" t="s">
        <v>1194</v>
      </c>
      <c r="L129">
        <v>1676</v>
      </c>
      <c r="M129">
        <v>0</v>
      </c>
      <c r="N129" t="s">
        <v>122</v>
      </c>
      <c r="O129" s="1" t="s">
        <v>123</v>
      </c>
      <c r="AE129" s="1" t="s">
        <v>124</v>
      </c>
      <c r="AF129" t="s">
        <v>223</v>
      </c>
      <c r="AG129">
        <v>1998</v>
      </c>
      <c r="AH129" t="s">
        <v>148</v>
      </c>
      <c r="AI129" t="s">
        <v>1195</v>
      </c>
      <c r="AJ129" t="s">
        <v>162</v>
      </c>
      <c r="AK129" t="s">
        <v>151</v>
      </c>
      <c r="AL129" t="s">
        <v>151</v>
      </c>
      <c r="AM129" t="s">
        <v>236</v>
      </c>
      <c r="AN129" t="s">
        <v>151</v>
      </c>
      <c r="AO129">
        <v>0</v>
      </c>
      <c r="AP129" t="s">
        <v>131</v>
      </c>
      <c r="AQ129" t="s">
        <v>302</v>
      </c>
      <c r="AR129" t="s">
        <v>1196</v>
      </c>
      <c r="AS129" t="s">
        <v>1196</v>
      </c>
      <c r="AT129" t="s">
        <v>1197</v>
      </c>
      <c r="AU129" t="s">
        <v>157</v>
      </c>
      <c r="AW129" s="1" t="s">
        <v>123</v>
      </c>
      <c r="CQ129" s="1" t="s">
        <v>123</v>
      </c>
      <c r="DA129" s="1" t="s">
        <v>123</v>
      </c>
      <c r="DK129" s="1" t="s">
        <v>123</v>
      </c>
      <c r="EN129" s="1" t="s">
        <v>177</v>
      </c>
      <c r="EO129" t="s">
        <v>180</v>
      </c>
      <c r="EP129" t="s">
        <v>132</v>
      </c>
      <c r="EQ129" t="s">
        <v>132</v>
      </c>
      <c r="ER129" t="s">
        <v>151</v>
      </c>
      <c r="ES129" t="s">
        <v>151</v>
      </c>
      <c r="ET129" t="s">
        <v>151</v>
      </c>
      <c r="EU129" t="s">
        <v>178</v>
      </c>
      <c r="EV129" t="s">
        <v>132</v>
      </c>
      <c r="EW129" t="s">
        <v>132</v>
      </c>
      <c r="EX129" t="s">
        <v>173</v>
      </c>
      <c r="FN129" s="1" t="s">
        <v>123</v>
      </c>
      <c r="GV129" t="s">
        <v>1198</v>
      </c>
      <c r="GW129" t="s">
        <v>1199</v>
      </c>
      <c r="GX129" t="s">
        <v>1198</v>
      </c>
      <c r="GY129" t="s">
        <v>186</v>
      </c>
      <c r="GZ129">
        <v>1974</v>
      </c>
      <c r="HA129" t="s">
        <v>141</v>
      </c>
      <c r="HB129" t="s">
        <v>313</v>
      </c>
    </row>
    <row r="130" spans="1:212" x14ac:dyDescent="0.45">
      <c r="A130">
        <v>128</v>
      </c>
      <c r="B130">
        <f>_xlfn.IFNA(VLOOKUP(Wszystkie[[#This Row],[Zakończono wypełnianie]],Zakończone[],2,0),"BRAK")</f>
        <v>77</v>
      </c>
      <c r="C130" t="s">
        <v>1200</v>
      </c>
      <c r="D130" t="s">
        <v>118</v>
      </c>
      <c r="I130" t="s">
        <v>119</v>
      </c>
      <c r="J130" t="s">
        <v>1201</v>
      </c>
      <c r="K130" t="s">
        <v>1202</v>
      </c>
      <c r="L130">
        <v>658</v>
      </c>
      <c r="M130">
        <v>0</v>
      </c>
      <c r="N130" t="s">
        <v>122</v>
      </c>
      <c r="O130" s="1" t="s">
        <v>123</v>
      </c>
      <c r="AE130" s="1" t="s">
        <v>123</v>
      </c>
      <c r="AW130" s="1" t="s">
        <v>123</v>
      </c>
      <c r="AX130" t="s">
        <v>132</v>
      </c>
      <c r="CQ130" s="1" t="s">
        <v>123</v>
      </c>
      <c r="DA130" s="1" t="s">
        <v>214</v>
      </c>
      <c r="DB130" t="s">
        <v>191</v>
      </c>
      <c r="DC130" t="s">
        <v>308</v>
      </c>
      <c r="DD130" t="s">
        <v>162</v>
      </c>
      <c r="DE130" t="s">
        <v>162</v>
      </c>
      <c r="DF130" t="s">
        <v>150</v>
      </c>
      <c r="DG130" t="s">
        <v>150</v>
      </c>
      <c r="DH130" t="s">
        <v>150</v>
      </c>
      <c r="DI130" t="s">
        <v>169</v>
      </c>
      <c r="DJ130" t="s">
        <v>1203</v>
      </c>
      <c r="DK130" s="1" t="s">
        <v>123</v>
      </c>
      <c r="EN130" s="1" t="s">
        <v>177</v>
      </c>
      <c r="EO130" t="s">
        <v>178</v>
      </c>
      <c r="EP130">
        <v>2</v>
      </c>
      <c r="EQ130" t="s">
        <v>191</v>
      </c>
      <c r="ER130" t="s">
        <v>169</v>
      </c>
      <c r="ES130" t="s">
        <v>169</v>
      </c>
      <c r="ET130" t="s">
        <v>169</v>
      </c>
      <c r="EU130" t="s">
        <v>178</v>
      </c>
      <c r="EV130" t="s">
        <v>1204</v>
      </c>
      <c r="EW130" t="s">
        <v>1205</v>
      </c>
      <c r="EX130" t="s">
        <v>1206</v>
      </c>
      <c r="EY130" t="s">
        <v>223</v>
      </c>
      <c r="EZ130" t="s">
        <v>128</v>
      </c>
      <c r="FA130" t="s">
        <v>236</v>
      </c>
      <c r="FB130" t="s">
        <v>129</v>
      </c>
      <c r="FC130" t="s">
        <v>178</v>
      </c>
      <c r="FD130" t="s">
        <v>960</v>
      </c>
      <c r="FE130" t="s">
        <v>1207</v>
      </c>
      <c r="FF130" t="s">
        <v>173</v>
      </c>
      <c r="FN130" s="1" t="s">
        <v>123</v>
      </c>
      <c r="GV130" t="s">
        <v>1208</v>
      </c>
      <c r="GW130" t="s">
        <v>1209</v>
      </c>
      <c r="GX130" t="s">
        <v>1210</v>
      </c>
      <c r="GY130" t="s">
        <v>186</v>
      </c>
      <c r="GZ130">
        <v>1987</v>
      </c>
      <c r="HA130" t="s">
        <v>141</v>
      </c>
      <c r="HC130" t="s">
        <v>191</v>
      </c>
    </row>
    <row r="131" spans="1:212" x14ac:dyDescent="0.45">
      <c r="A131">
        <v>129</v>
      </c>
      <c r="B131">
        <f>_xlfn.IFNA(VLOOKUP(Wszystkie[[#This Row],[Zakończono wypełnianie]],Zakończone[],2,0),"BRAK")</f>
        <v>78</v>
      </c>
      <c r="C131" t="s">
        <v>1211</v>
      </c>
      <c r="D131" t="s">
        <v>118</v>
      </c>
      <c r="E131" t="s">
        <v>1152</v>
      </c>
      <c r="I131" t="s">
        <v>119</v>
      </c>
      <c r="J131" t="s">
        <v>1212</v>
      </c>
      <c r="K131" t="s">
        <v>1213</v>
      </c>
      <c r="L131">
        <v>808</v>
      </c>
      <c r="M131">
        <v>0</v>
      </c>
      <c r="N131" t="s">
        <v>122</v>
      </c>
      <c r="O131" s="1" t="s">
        <v>123</v>
      </c>
      <c r="AE131" s="1" t="s">
        <v>124</v>
      </c>
      <c r="AF131" t="s">
        <v>1214</v>
      </c>
      <c r="AG131">
        <v>1998</v>
      </c>
      <c r="AH131" t="s">
        <v>148</v>
      </c>
      <c r="AI131" t="s">
        <v>1215</v>
      </c>
      <c r="AJ131" t="s">
        <v>150</v>
      </c>
      <c r="AK131" t="s">
        <v>150</v>
      </c>
      <c r="AL131" t="s">
        <v>151</v>
      </c>
      <c r="AM131" t="s">
        <v>129</v>
      </c>
      <c r="AN131" t="s">
        <v>128</v>
      </c>
      <c r="AO131" t="s">
        <v>1216</v>
      </c>
      <c r="AP131" t="s">
        <v>131</v>
      </c>
      <c r="AQ131" t="s">
        <v>131</v>
      </c>
      <c r="AR131" t="s">
        <v>1217</v>
      </c>
      <c r="AS131" t="s">
        <v>1218</v>
      </c>
      <c r="AT131" t="s">
        <v>1219</v>
      </c>
      <c r="AV131" t="s">
        <v>1220</v>
      </c>
      <c r="AW131" s="1" t="s">
        <v>123</v>
      </c>
      <c r="CQ131" s="1" t="s">
        <v>123</v>
      </c>
      <c r="DA131" s="1" t="s">
        <v>123</v>
      </c>
      <c r="DK131" s="1" t="s">
        <v>123</v>
      </c>
      <c r="EN131" s="1" t="s">
        <v>123</v>
      </c>
      <c r="FN131" s="1" t="s">
        <v>123</v>
      </c>
      <c r="GV131" t="s">
        <v>1221</v>
      </c>
      <c r="GW131" t="s">
        <v>1222</v>
      </c>
      <c r="GX131" t="s">
        <v>1223</v>
      </c>
      <c r="GY131" t="s">
        <v>186</v>
      </c>
      <c r="GZ131">
        <v>1973</v>
      </c>
      <c r="HA131" t="s">
        <v>141</v>
      </c>
    </row>
    <row r="132" spans="1:212" x14ac:dyDescent="0.45">
      <c r="A132">
        <v>130</v>
      </c>
      <c r="B132">
        <f>_xlfn.IFNA(VLOOKUP(Wszystkie[[#This Row],[Zakończono wypełnianie]],Zakończone[],2,0),"BRAK")</f>
        <v>79</v>
      </c>
      <c r="C132" t="s">
        <v>1224</v>
      </c>
      <c r="D132" t="s">
        <v>118</v>
      </c>
      <c r="E132" t="s">
        <v>797</v>
      </c>
      <c r="I132" t="s">
        <v>119</v>
      </c>
      <c r="J132" t="s">
        <v>1225</v>
      </c>
      <c r="K132" t="s">
        <v>1226</v>
      </c>
      <c r="L132">
        <v>4209</v>
      </c>
      <c r="M132">
        <v>0</v>
      </c>
      <c r="N132" t="s">
        <v>122</v>
      </c>
      <c r="O132" s="1" t="s">
        <v>123</v>
      </c>
      <c r="AE132" s="1" t="s">
        <v>124</v>
      </c>
      <c r="AF132" t="s">
        <v>1227</v>
      </c>
      <c r="AG132">
        <v>1985</v>
      </c>
      <c r="AH132" t="s">
        <v>148</v>
      </c>
      <c r="AI132" t="s">
        <v>391</v>
      </c>
      <c r="AJ132" t="s">
        <v>150</v>
      </c>
      <c r="AK132" t="s">
        <v>150</v>
      </c>
      <c r="AL132" t="s">
        <v>169</v>
      </c>
      <c r="AM132" t="s">
        <v>236</v>
      </c>
      <c r="AN132" t="s">
        <v>236</v>
      </c>
      <c r="AO132">
        <v>0</v>
      </c>
      <c r="AP132" t="s">
        <v>152</v>
      </c>
      <c r="AQ132" t="s">
        <v>152</v>
      </c>
      <c r="AR132" t="s">
        <v>1228</v>
      </c>
      <c r="AS132" t="s">
        <v>1229</v>
      </c>
      <c r="AT132" t="s">
        <v>1229</v>
      </c>
      <c r="AU132" t="s">
        <v>157</v>
      </c>
      <c r="AW132" s="1" t="s">
        <v>159</v>
      </c>
      <c r="AX132">
        <v>2</v>
      </c>
      <c r="AY132" t="s">
        <v>1230</v>
      </c>
      <c r="AZ132">
        <v>2005</v>
      </c>
      <c r="BA132" t="s">
        <v>148</v>
      </c>
      <c r="BB132" t="s">
        <v>1231</v>
      </c>
      <c r="BC132" t="s">
        <v>169</v>
      </c>
      <c r="BD132" t="s">
        <v>169</v>
      </c>
      <c r="BE132" t="s">
        <v>169</v>
      </c>
      <c r="BF132" t="s">
        <v>236</v>
      </c>
      <c r="BG132" t="s">
        <v>236</v>
      </c>
      <c r="BH132">
        <v>0</v>
      </c>
      <c r="BI132" t="s">
        <v>1232</v>
      </c>
      <c r="BJ132" t="s">
        <v>157</v>
      </c>
      <c r="BM132" t="s">
        <v>166</v>
      </c>
      <c r="BN132" t="s">
        <v>1233</v>
      </c>
      <c r="BO132">
        <v>2008</v>
      </c>
      <c r="BP132" t="s">
        <v>148</v>
      </c>
      <c r="BQ132" t="s">
        <v>1234</v>
      </c>
      <c r="BR132" t="s">
        <v>169</v>
      </c>
      <c r="BS132" t="s">
        <v>169</v>
      </c>
      <c r="BT132" t="s">
        <v>169</v>
      </c>
      <c r="BU132" t="s">
        <v>128</v>
      </c>
      <c r="BV132" t="s">
        <v>162</v>
      </c>
      <c r="BW132" t="s">
        <v>1235</v>
      </c>
      <c r="BX132" t="s">
        <v>1236</v>
      </c>
      <c r="BY132" t="s">
        <v>157</v>
      </c>
      <c r="CB132" t="s">
        <v>173</v>
      </c>
      <c r="CQ132" s="1" t="s">
        <v>123</v>
      </c>
      <c r="DA132" s="1" t="s">
        <v>123</v>
      </c>
      <c r="DK132" s="1" t="s">
        <v>174</v>
      </c>
      <c r="DL132" t="s">
        <v>394</v>
      </c>
      <c r="DP132" t="s">
        <v>1230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169</v>
      </c>
      <c r="DW132" t="s">
        <v>150</v>
      </c>
      <c r="DX132">
        <v>20</v>
      </c>
      <c r="DY132">
        <v>5</v>
      </c>
      <c r="DZ132">
        <v>0</v>
      </c>
      <c r="EA132">
        <v>30</v>
      </c>
      <c r="EB132">
        <v>25</v>
      </c>
      <c r="EC132">
        <v>10</v>
      </c>
      <c r="ED132">
        <v>10</v>
      </c>
      <c r="EF132">
        <v>10</v>
      </c>
      <c r="EG132">
        <v>5</v>
      </c>
      <c r="EH132">
        <v>0</v>
      </c>
      <c r="EI132">
        <v>25</v>
      </c>
      <c r="EJ132">
        <v>25</v>
      </c>
      <c r="EK132">
        <v>5</v>
      </c>
      <c r="EL132">
        <v>30</v>
      </c>
      <c r="EN132" s="1" t="s">
        <v>123</v>
      </c>
      <c r="FN132" s="1" t="s">
        <v>123</v>
      </c>
      <c r="GV132" t="s">
        <v>1237</v>
      </c>
      <c r="GW132" t="s">
        <v>1229</v>
      </c>
      <c r="GX132" t="s">
        <v>1229</v>
      </c>
      <c r="GY132" t="s">
        <v>140</v>
      </c>
      <c r="GZ132">
        <v>1958</v>
      </c>
      <c r="HA132" t="s">
        <v>141</v>
      </c>
    </row>
    <row r="133" spans="1:212" x14ac:dyDescent="0.45">
      <c r="A133">
        <v>131</v>
      </c>
      <c r="B133">
        <f>_xlfn.IFNA(VLOOKUP(Wszystkie[[#This Row],[Zakończono wypełnianie]],Zakończone[],2,0),"BRAK")</f>
        <v>80</v>
      </c>
      <c r="C133" t="s">
        <v>1238</v>
      </c>
      <c r="D133" t="s">
        <v>118</v>
      </c>
      <c r="I133" t="s">
        <v>119</v>
      </c>
      <c r="J133" t="s">
        <v>1239</v>
      </c>
      <c r="K133" t="s">
        <v>1240</v>
      </c>
      <c r="L133">
        <v>356</v>
      </c>
      <c r="M133">
        <v>0</v>
      </c>
      <c r="N133" t="s">
        <v>122</v>
      </c>
      <c r="O133" s="1" t="s">
        <v>123</v>
      </c>
      <c r="AE133" s="1" t="s">
        <v>124</v>
      </c>
      <c r="AF133" t="s">
        <v>223</v>
      </c>
      <c r="AG133">
        <v>1997</v>
      </c>
      <c r="AH133" t="s">
        <v>148</v>
      </c>
      <c r="AI133" t="s">
        <v>161</v>
      </c>
      <c r="AJ133" t="s">
        <v>128</v>
      </c>
      <c r="AK133" t="s">
        <v>128</v>
      </c>
      <c r="AL133" t="s">
        <v>162</v>
      </c>
      <c r="AM133" t="s">
        <v>162</v>
      </c>
      <c r="AN133" t="s">
        <v>162</v>
      </c>
      <c r="AO133">
        <v>1</v>
      </c>
      <c r="AP133" t="s">
        <v>131</v>
      </c>
      <c r="AQ133" t="s">
        <v>131</v>
      </c>
      <c r="AR133" t="s">
        <v>1241</v>
      </c>
      <c r="AS133" t="s">
        <v>1242</v>
      </c>
      <c r="AT133" t="s">
        <v>1243</v>
      </c>
      <c r="AU133" t="s">
        <v>157</v>
      </c>
      <c r="AV133" t="s">
        <v>1244</v>
      </c>
      <c r="AW133" s="1" t="s">
        <v>123</v>
      </c>
      <c r="AX133" t="s">
        <v>132</v>
      </c>
      <c r="CQ133" s="1" t="s">
        <v>123</v>
      </c>
      <c r="DA133" s="1" t="s">
        <v>123</v>
      </c>
      <c r="DK133" s="1" t="s">
        <v>123</v>
      </c>
      <c r="EN133" s="1" t="s">
        <v>123</v>
      </c>
      <c r="EO133" t="s">
        <v>178</v>
      </c>
      <c r="EP133" t="s">
        <v>132</v>
      </c>
      <c r="FN133" s="1" t="s">
        <v>123</v>
      </c>
      <c r="GV133" t="s">
        <v>1245</v>
      </c>
      <c r="GW133" t="s">
        <v>1246</v>
      </c>
      <c r="GX133" t="s">
        <v>1247</v>
      </c>
      <c r="GY133" t="s">
        <v>186</v>
      </c>
      <c r="GZ133">
        <v>1974</v>
      </c>
      <c r="HA133" t="s">
        <v>398</v>
      </c>
      <c r="HC133" t="s">
        <v>1248</v>
      </c>
    </row>
    <row r="134" spans="1:212" x14ac:dyDescent="0.45">
      <c r="A134">
        <v>132</v>
      </c>
      <c r="B134" t="str">
        <f>_xlfn.IFNA(VLOOKUP(Wszystkie[[#This Row],[Zakończono wypełnianie]],Zakończone[],2,0),"BRAK")</f>
        <v>BRAK</v>
      </c>
      <c r="C134" t="s">
        <v>1249</v>
      </c>
      <c r="D134" t="s">
        <v>118</v>
      </c>
      <c r="I134" t="s">
        <v>286</v>
      </c>
      <c r="J134" t="s">
        <v>1250</v>
      </c>
      <c r="K134" t="s">
        <v>1250</v>
      </c>
      <c r="L134">
        <v>0</v>
      </c>
      <c r="M134">
        <v>0</v>
      </c>
      <c r="N134" t="s">
        <v>122</v>
      </c>
      <c r="O134" s="1" t="s">
        <v>123</v>
      </c>
      <c r="AE134" s="1" t="s">
        <v>124</v>
      </c>
      <c r="AW134" s="1"/>
      <c r="CQ134" s="1"/>
      <c r="DA134" s="1"/>
      <c r="DK134" s="1"/>
      <c r="EN134" s="1"/>
      <c r="FN134" s="1"/>
    </row>
    <row r="135" spans="1:212" x14ac:dyDescent="0.45">
      <c r="A135">
        <v>133</v>
      </c>
      <c r="B135">
        <f>_xlfn.IFNA(VLOOKUP(Wszystkie[[#This Row],[Zakończono wypełnianie]],Zakończone[],2,0),"BRAK")</f>
        <v>81</v>
      </c>
      <c r="C135" t="s">
        <v>1251</v>
      </c>
      <c r="D135" t="s">
        <v>118</v>
      </c>
      <c r="I135" t="s">
        <v>119</v>
      </c>
      <c r="J135" t="s">
        <v>1252</v>
      </c>
      <c r="K135" t="s">
        <v>1253</v>
      </c>
      <c r="L135">
        <v>367</v>
      </c>
      <c r="M135">
        <v>0</v>
      </c>
      <c r="N135" t="s">
        <v>122</v>
      </c>
      <c r="O135" s="1" t="s">
        <v>123</v>
      </c>
      <c r="AE135" s="1" t="s">
        <v>124</v>
      </c>
      <c r="AF135" t="s">
        <v>223</v>
      </c>
      <c r="AG135">
        <v>2006</v>
      </c>
      <c r="AH135" t="s">
        <v>148</v>
      </c>
      <c r="AI135" t="s">
        <v>1050</v>
      </c>
      <c r="AJ135" t="s">
        <v>162</v>
      </c>
      <c r="AK135" t="s">
        <v>162</v>
      </c>
      <c r="AL135" t="s">
        <v>169</v>
      </c>
      <c r="AM135" t="s">
        <v>236</v>
      </c>
      <c r="AN135" t="s">
        <v>151</v>
      </c>
      <c r="AO135">
        <v>3</v>
      </c>
      <c r="AP135" t="s">
        <v>131</v>
      </c>
      <c r="AQ135" t="s">
        <v>302</v>
      </c>
      <c r="AR135" t="s">
        <v>1254</v>
      </c>
      <c r="AS135" t="s">
        <v>1255</v>
      </c>
      <c r="AT135" t="s">
        <v>1256</v>
      </c>
      <c r="AU135" t="s">
        <v>157</v>
      </c>
      <c r="AV135" t="s">
        <v>1257</v>
      </c>
      <c r="AW135" s="1" t="s">
        <v>123</v>
      </c>
      <c r="AX135" t="s">
        <v>132</v>
      </c>
      <c r="CQ135" s="1" t="s">
        <v>123</v>
      </c>
      <c r="DA135" s="1" t="s">
        <v>214</v>
      </c>
      <c r="DB135" t="s">
        <v>747</v>
      </c>
      <c r="DC135" t="s">
        <v>1176</v>
      </c>
      <c r="DD135" t="s">
        <v>169</v>
      </c>
      <c r="DE135" t="s">
        <v>150</v>
      </c>
      <c r="DF135" t="s">
        <v>150</v>
      </c>
      <c r="DG135" t="s">
        <v>169</v>
      </c>
      <c r="DH135" t="s">
        <v>162</v>
      </c>
      <c r="DI135" t="s">
        <v>162</v>
      </c>
      <c r="DJ135" t="s">
        <v>1258</v>
      </c>
      <c r="DK135" s="1" t="s">
        <v>123</v>
      </c>
      <c r="EN135" s="1" t="s">
        <v>123</v>
      </c>
      <c r="FN135" s="1" t="s">
        <v>123</v>
      </c>
      <c r="GV135" t="s">
        <v>1259</v>
      </c>
      <c r="GW135" t="s">
        <v>1260</v>
      </c>
      <c r="GX135" t="s">
        <v>1261</v>
      </c>
      <c r="GY135" t="s">
        <v>186</v>
      </c>
      <c r="GZ135">
        <v>1982</v>
      </c>
      <c r="HA135" t="s">
        <v>141</v>
      </c>
    </row>
    <row r="136" spans="1:212" x14ac:dyDescent="0.45">
      <c r="A136">
        <v>134</v>
      </c>
      <c r="B136" t="str">
        <f>_xlfn.IFNA(VLOOKUP(Wszystkie[[#This Row],[Zakończono wypełnianie]],Zakończone[],2,0),"BRAK")</f>
        <v>BRAK</v>
      </c>
      <c r="C136" t="s">
        <v>1262</v>
      </c>
      <c r="D136" t="s">
        <v>118</v>
      </c>
      <c r="I136" t="s">
        <v>286</v>
      </c>
      <c r="J136" t="s">
        <v>1263</v>
      </c>
      <c r="K136" t="s">
        <v>1263</v>
      </c>
      <c r="L136">
        <v>0</v>
      </c>
      <c r="M136">
        <v>0</v>
      </c>
      <c r="N136" t="s">
        <v>122</v>
      </c>
      <c r="O136" s="1" t="s">
        <v>123</v>
      </c>
      <c r="AE136" s="1" t="s">
        <v>124</v>
      </c>
      <c r="AW136" s="1"/>
      <c r="CQ136" s="1"/>
      <c r="DA136" s="1"/>
      <c r="DK136" s="1"/>
      <c r="EN136" s="1"/>
      <c r="FN136" s="1"/>
    </row>
    <row r="137" spans="1:212" x14ac:dyDescent="0.45">
      <c r="A137">
        <v>135</v>
      </c>
      <c r="B137">
        <f>_xlfn.IFNA(VLOOKUP(Wszystkie[[#This Row],[Zakończono wypełnianie]],Zakończone[],2,0),"BRAK")</f>
        <v>82</v>
      </c>
      <c r="C137" t="s">
        <v>1264</v>
      </c>
      <c r="D137" t="s">
        <v>118</v>
      </c>
      <c r="E137" t="s">
        <v>1265</v>
      </c>
      <c r="I137" t="s">
        <v>119</v>
      </c>
      <c r="J137" t="s">
        <v>1266</v>
      </c>
      <c r="K137" t="s">
        <v>1267</v>
      </c>
      <c r="L137">
        <v>2127</v>
      </c>
      <c r="M137">
        <v>0</v>
      </c>
      <c r="N137" t="s">
        <v>122</v>
      </c>
      <c r="O137" s="1" t="s">
        <v>123</v>
      </c>
      <c r="AE137" s="1" t="s">
        <v>124</v>
      </c>
      <c r="AF137" t="s">
        <v>747</v>
      </c>
      <c r="AG137">
        <v>1982</v>
      </c>
      <c r="AH137" t="s">
        <v>126</v>
      </c>
      <c r="AI137" t="s">
        <v>1268</v>
      </c>
      <c r="AJ137" t="s">
        <v>169</v>
      </c>
      <c r="AK137" t="s">
        <v>169</v>
      </c>
      <c r="AL137" t="s">
        <v>169</v>
      </c>
      <c r="AM137" t="s">
        <v>169</v>
      </c>
      <c r="AN137" t="s">
        <v>169</v>
      </c>
      <c r="AO137">
        <v>0</v>
      </c>
      <c r="AP137" t="s">
        <v>153</v>
      </c>
      <c r="AQ137" t="s">
        <v>759</v>
      </c>
      <c r="AR137" t="s">
        <v>1269</v>
      </c>
      <c r="AS137" t="s">
        <v>1270</v>
      </c>
      <c r="AT137" t="s">
        <v>386</v>
      </c>
      <c r="AV137" t="s">
        <v>1271</v>
      </c>
      <c r="AW137" s="1" t="s">
        <v>159</v>
      </c>
      <c r="AX137">
        <v>1</v>
      </c>
      <c r="AY137" t="s">
        <v>1272</v>
      </c>
      <c r="AZ137">
        <v>2011</v>
      </c>
      <c r="BA137" t="s">
        <v>148</v>
      </c>
      <c r="BB137" t="s">
        <v>927</v>
      </c>
      <c r="BC137" t="s">
        <v>169</v>
      </c>
      <c r="BD137" t="s">
        <v>169</v>
      </c>
      <c r="BE137" t="s">
        <v>169</v>
      </c>
      <c r="BF137" t="s">
        <v>169</v>
      </c>
      <c r="BG137" t="s">
        <v>169</v>
      </c>
      <c r="BH137" t="s">
        <v>1273</v>
      </c>
      <c r="BI137" t="s">
        <v>1274</v>
      </c>
      <c r="BJ137" t="s">
        <v>157</v>
      </c>
      <c r="BL137" t="s">
        <v>1275</v>
      </c>
      <c r="BM137" t="s">
        <v>173</v>
      </c>
      <c r="CQ137" s="1" t="s">
        <v>123</v>
      </c>
      <c r="DA137" s="1" t="s">
        <v>214</v>
      </c>
      <c r="DB137" t="s">
        <v>191</v>
      </c>
      <c r="DC137" t="s">
        <v>1276</v>
      </c>
      <c r="DD137" t="s">
        <v>169</v>
      </c>
      <c r="DE137" t="s">
        <v>169</v>
      </c>
      <c r="DF137" t="s">
        <v>169</v>
      </c>
      <c r="DG137" t="s">
        <v>150</v>
      </c>
      <c r="DH137" t="s">
        <v>169</v>
      </c>
      <c r="DI137" t="s">
        <v>169</v>
      </c>
      <c r="DJ137" t="s">
        <v>1277</v>
      </c>
      <c r="DK137" s="1" t="s">
        <v>123</v>
      </c>
      <c r="EN137" s="1" t="s">
        <v>177</v>
      </c>
      <c r="EO137" t="s">
        <v>178</v>
      </c>
      <c r="EP137">
        <v>1</v>
      </c>
      <c r="EQ137" t="s">
        <v>747</v>
      </c>
      <c r="ER137" t="s">
        <v>169</v>
      </c>
      <c r="ES137" t="s">
        <v>169</v>
      </c>
      <c r="ET137" t="s">
        <v>151</v>
      </c>
      <c r="EU137" t="s">
        <v>178</v>
      </c>
      <c r="EV137" t="s">
        <v>1278</v>
      </c>
      <c r="EW137" t="s">
        <v>1279</v>
      </c>
      <c r="EX137" t="s">
        <v>173</v>
      </c>
      <c r="FN137" s="1" t="s">
        <v>123</v>
      </c>
      <c r="GV137" t="s">
        <v>1280</v>
      </c>
      <c r="GW137" t="s">
        <v>1281</v>
      </c>
      <c r="GX137" t="s">
        <v>1282</v>
      </c>
      <c r="GY137" t="s">
        <v>186</v>
      </c>
      <c r="GZ137" t="s">
        <v>1283</v>
      </c>
      <c r="HA137" t="s">
        <v>398</v>
      </c>
      <c r="HC137" t="s">
        <v>1284</v>
      </c>
      <c r="HD137" t="s">
        <v>1285</v>
      </c>
    </row>
    <row r="138" spans="1:212" x14ac:dyDescent="0.45">
      <c r="A138">
        <v>136</v>
      </c>
      <c r="B138" t="str">
        <f>_xlfn.IFNA(VLOOKUP(Wszystkie[[#This Row],[Zakończono wypełnianie]],Zakończone[],2,0),"BRAK")</f>
        <v>BRAK</v>
      </c>
      <c r="C138" t="s">
        <v>1286</v>
      </c>
      <c r="D138" t="s">
        <v>118</v>
      </c>
      <c r="I138" t="s">
        <v>286</v>
      </c>
      <c r="J138" t="s">
        <v>1287</v>
      </c>
      <c r="K138" t="s">
        <v>1287</v>
      </c>
      <c r="L138">
        <v>0</v>
      </c>
      <c r="M138">
        <v>0</v>
      </c>
      <c r="N138" t="s">
        <v>122</v>
      </c>
      <c r="O138" s="1" t="s">
        <v>123</v>
      </c>
      <c r="AE138" s="1" t="s">
        <v>123</v>
      </c>
      <c r="AW138" s="1" t="s">
        <v>159</v>
      </c>
      <c r="AX138">
        <v>1</v>
      </c>
      <c r="CQ138" s="1"/>
      <c r="DA138" s="1"/>
      <c r="DK138" s="1"/>
      <c r="EN138" s="1"/>
      <c r="FN138" s="1"/>
    </row>
    <row r="139" spans="1:212" x14ac:dyDescent="0.45">
      <c r="A139">
        <v>138</v>
      </c>
      <c r="B139" t="str">
        <f>_xlfn.IFNA(VLOOKUP(Wszystkie[[#This Row],[Zakończono wypełnianie]],Zakończone[],2,0),"BRAK")</f>
        <v>BRAK</v>
      </c>
      <c r="C139" t="s">
        <v>1286</v>
      </c>
      <c r="D139" t="s">
        <v>118</v>
      </c>
      <c r="I139" t="s">
        <v>286</v>
      </c>
      <c r="J139" t="s">
        <v>1301</v>
      </c>
      <c r="K139" t="s">
        <v>1301</v>
      </c>
      <c r="L139">
        <v>0</v>
      </c>
      <c r="M139">
        <v>0</v>
      </c>
      <c r="N139" t="s">
        <v>122</v>
      </c>
      <c r="O139" s="1" t="s">
        <v>416</v>
      </c>
      <c r="AE139" s="1"/>
      <c r="AW139" s="1"/>
      <c r="CQ139" s="1"/>
      <c r="DA139" s="1"/>
      <c r="DK139" s="1"/>
      <c r="EN139" s="1"/>
      <c r="FN139" s="1"/>
    </row>
    <row r="140" spans="1:212" x14ac:dyDescent="0.45">
      <c r="A140">
        <v>140</v>
      </c>
      <c r="B140" t="str">
        <f>_xlfn.IFNA(VLOOKUP(Wszystkie[[#This Row],[Zakończono wypełnianie]],Zakończone[],2,0),"BRAK")</f>
        <v>BRAK</v>
      </c>
      <c r="C140" t="s">
        <v>1286</v>
      </c>
      <c r="D140" t="s">
        <v>118</v>
      </c>
      <c r="I140" t="s">
        <v>286</v>
      </c>
      <c r="J140" t="s">
        <v>1321</v>
      </c>
      <c r="K140" t="s">
        <v>1321</v>
      </c>
      <c r="L140">
        <v>0</v>
      </c>
      <c r="M140">
        <v>0</v>
      </c>
      <c r="N140" t="s">
        <v>122</v>
      </c>
      <c r="O140" s="1" t="s">
        <v>123</v>
      </c>
      <c r="AE140" s="1" t="s">
        <v>124</v>
      </c>
      <c r="AW140" s="1"/>
      <c r="CQ140" s="1"/>
      <c r="DA140" s="1"/>
      <c r="DK140" s="1"/>
      <c r="EN140" s="1"/>
      <c r="FN140" s="1"/>
    </row>
    <row r="141" spans="1:212" x14ac:dyDescent="0.45">
      <c r="A141">
        <v>139</v>
      </c>
      <c r="B141">
        <f>_xlfn.IFNA(VLOOKUP(Wszystkie[[#This Row],[Zakończono wypełnianie]],Zakończone[],2,0),"BRAK")</f>
        <v>84</v>
      </c>
      <c r="C141" t="s">
        <v>1302</v>
      </c>
      <c r="D141" t="s">
        <v>118</v>
      </c>
      <c r="I141" t="s">
        <v>119</v>
      </c>
      <c r="J141" t="s">
        <v>1303</v>
      </c>
      <c r="K141" t="s">
        <v>1304</v>
      </c>
      <c r="L141">
        <v>558</v>
      </c>
      <c r="M141">
        <v>0</v>
      </c>
      <c r="N141" t="s">
        <v>122</v>
      </c>
      <c r="O141" s="1" t="s">
        <v>416</v>
      </c>
      <c r="P141" t="s">
        <v>191</v>
      </c>
      <c r="Q141" t="s">
        <v>126</v>
      </c>
      <c r="R141" t="s">
        <v>1305</v>
      </c>
      <c r="S141" t="s">
        <v>162</v>
      </c>
      <c r="T141" t="s">
        <v>128</v>
      </c>
      <c r="U141" t="s">
        <v>150</v>
      </c>
      <c r="V141" t="s">
        <v>1306</v>
      </c>
      <c r="W141" t="s">
        <v>153</v>
      </c>
      <c r="X141" t="s">
        <v>759</v>
      </c>
      <c r="Y141" t="s">
        <v>1307</v>
      </c>
      <c r="Z141" t="s">
        <v>1308</v>
      </c>
      <c r="AA141" t="s">
        <v>1309</v>
      </c>
      <c r="AB141" t="s">
        <v>230</v>
      </c>
      <c r="AD141" t="s">
        <v>1310</v>
      </c>
      <c r="AE141" s="1" t="s">
        <v>124</v>
      </c>
      <c r="AF141" t="s">
        <v>1311</v>
      </c>
      <c r="AG141">
        <v>2015</v>
      </c>
      <c r="AH141" t="s">
        <v>126</v>
      </c>
      <c r="AI141" t="s">
        <v>1312</v>
      </c>
      <c r="AJ141" t="s">
        <v>162</v>
      </c>
      <c r="AK141" t="s">
        <v>128</v>
      </c>
      <c r="AL141" t="s">
        <v>162</v>
      </c>
      <c r="AM141" t="s">
        <v>162</v>
      </c>
      <c r="AN141" t="s">
        <v>162</v>
      </c>
      <c r="AO141" t="s">
        <v>237</v>
      </c>
      <c r="AP141" t="s">
        <v>302</v>
      </c>
      <c r="AQ141" t="s">
        <v>153</v>
      </c>
      <c r="AR141" t="s">
        <v>1313</v>
      </c>
      <c r="AS141" t="s">
        <v>1314</v>
      </c>
      <c r="AT141" t="s">
        <v>1315</v>
      </c>
      <c r="AU141" t="s">
        <v>172</v>
      </c>
      <c r="AW141" s="1" t="s">
        <v>123</v>
      </c>
      <c r="AX141" t="s">
        <v>132</v>
      </c>
      <c r="CQ141" s="1" t="s">
        <v>123</v>
      </c>
      <c r="DA141" s="1" t="s">
        <v>123</v>
      </c>
      <c r="DK141" s="1" t="s">
        <v>123</v>
      </c>
      <c r="EN141" s="1" t="s">
        <v>123</v>
      </c>
      <c r="FN141" s="1" t="s">
        <v>123</v>
      </c>
      <c r="GV141" t="s">
        <v>1316</v>
      </c>
      <c r="GW141" t="s">
        <v>1317</v>
      </c>
      <c r="GX141" t="s">
        <v>1318</v>
      </c>
      <c r="GY141" t="s">
        <v>186</v>
      </c>
      <c r="GZ141">
        <v>1992</v>
      </c>
      <c r="HA141" t="s">
        <v>398</v>
      </c>
      <c r="HC141" t="s">
        <v>1319</v>
      </c>
      <c r="HD141" t="s">
        <v>1320</v>
      </c>
    </row>
    <row r="142" spans="1:212" x14ac:dyDescent="0.45">
      <c r="A142">
        <v>141</v>
      </c>
      <c r="B142">
        <f>_xlfn.IFNA(VLOOKUP(Wszystkie[[#This Row],[Zakończono wypełnianie]],Zakończone[],2,0),"BRAK")</f>
        <v>85</v>
      </c>
      <c r="C142" t="s">
        <v>1322</v>
      </c>
      <c r="D142" t="s">
        <v>118</v>
      </c>
      <c r="I142" t="s">
        <v>119</v>
      </c>
      <c r="J142" t="s">
        <v>1323</v>
      </c>
      <c r="K142" t="s">
        <v>1324</v>
      </c>
      <c r="L142">
        <v>767</v>
      </c>
      <c r="M142">
        <v>0</v>
      </c>
      <c r="N142" t="s">
        <v>122</v>
      </c>
      <c r="O142" s="1" t="s">
        <v>123</v>
      </c>
      <c r="AE142" s="1" t="s">
        <v>124</v>
      </c>
      <c r="AF142" t="s">
        <v>191</v>
      </c>
      <c r="AG142">
        <v>2018</v>
      </c>
      <c r="AH142" t="s">
        <v>126</v>
      </c>
      <c r="AI142" t="s">
        <v>1325</v>
      </c>
      <c r="AJ142" t="s">
        <v>150</v>
      </c>
      <c r="AK142" t="s">
        <v>150</v>
      </c>
      <c r="AL142" t="s">
        <v>128</v>
      </c>
      <c r="AM142" t="s">
        <v>236</v>
      </c>
      <c r="AN142" t="s">
        <v>128</v>
      </c>
      <c r="AO142">
        <v>1</v>
      </c>
      <c r="AP142" t="s">
        <v>302</v>
      </c>
      <c r="AQ142" t="s">
        <v>226</v>
      </c>
      <c r="AR142" t="s">
        <v>1326</v>
      </c>
      <c r="AS142" t="s">
        <v>1327</v>
      </c>
      <c r="AT142" t="s">
        <v>1328</v>
      </c>
      <c r="AU142" t="s">
        <v>157</v>
      </c>
      <c r="AW142" s="1" t="s">
        <v>123</v>
      </c>
      <c r="AX142" t="s">
        <v>132</v>
      </c>
      <c r="CQ142" s="1" t="s">
        <v>123</v>
      </c>
      <c r="DA142" s="1" t="s">
        <v>123</v>
      </c>
      <c r="DK142" s="1" t="s">
        <v>123</v>
      </c>
      <c r="EN142" s="1" t="s">
        <v>123</v>
      </c>
      <c r="EO142" t="s">
        <v>180</v>
      </c>
      <c r="FN142" s="1" t="s">
        <v>123</v>
      </c>
      <c r="GV142" t="s">
        <v>1329</v>
      </c>
      <c r="GW142" t="s">
        <v>1329</v>
      </c>
      <c r="GX142" t="s">
        <v>132</v>
      </c>
      <c r="GY142" t="s">
        <v>186</v>
      </c>
      <c r="GZ142">
        <v>1991</v>
      </c>
      <c r="HA142" t="s">
        <v>220</v>
      </c>
      <c r="HC142" t="s">
        <v>1330</v>
      </c>
      <c r="HD142" t="s">
        <v>532</v>
      </c>
    </row>
    <row r="143" spans="1:212" x14ac:dyDescent="0.45">
      <c r="A143">
        <v>142</v>
      </c>
      <c r="B143" t="str">
        <f>_xlfn.IFNA(VLOOKUP(Wszystkie[[#This Row],[Zakończono wypełnianie]],Zakończone[],2,0),"BRAK")</f>
        <v>BRAK</v>
      </c>
      <c r="C143" t="s">
        <v>1331</v>
      </c>
      <c r="D143" t="s">
        <v>118</v>
      </c>
      <c r="I143" t="s">
        <v>286</v>
      </c>
      <c r="J143" t="s">
        <v>1332</v>
      </c>
      <c r="K143" t="s">
        <v>1332</v>
      </c>
      <c r="L143">
        <v>0</v>
      </c>
      <c r="M143">
        <v>0</v>
      </c>
      <c r="N143" t="s">
        <v>122</v>
      </c>
      <c r="O143" s="1" t="s">
        <v>123</v>
      </c>
      <c r="AE143" s="1" t="s">
        <v>124</v>
      </c>
      <c r="AW143" s="1"/>
      <c r="CQ143" s="1"/>
      <c r="DA143" s="1"/>
      <c r="DK143" s="1"/>
      <c r="EN143" s="1"/>
      <c r="FN143" s="1"/>
    </row>
    <row r="144" spans="1:212" x14ac:dyDescent="0.45">
      <c r="A144">
        <v>143</v>
      </c>
      <c r="B144" t="str">
        <f>_xlfn.IFNA(VLOOKUP(Wszystkie[[#This Row],[Zakończono wypełnianie]],Zakończone[],2,0),"BRAK")</f>
        <v>BRAK</v>
      </c>
      <c r="C144" t="s">
        <v>1331</v>
      </c>
      <c r="D144" t="s">
        <v>118</v>
      </c>
      <c r="I144" t="s">
        <v>286</v>
      </c>
      <c r="J144" t="s">
        <v>1333</v>
      </c>
      <c r="K144" t="s">
        <v>1333</v>
      </c>
      <c r="L144">
        <v>0</v>
      </c>
      <c r="M144">
        <v>0</v>
      </c>
      <c r="N144" t="s">
        <v>122</v>
      </c>
      <c r="O144" s="1" t="s">
        <v>416</v>
      </c>
      <c r="AE144" s="1"/>
      <c r="AW144" s="1"/>
      <c r="CQ144" s="1"/>
      <c r="DA144" s="1"/>
      <c r="DK144" s="1"/>
      <c r="EN144" s="1"/>
      <c r="FN144" s="1"/>
    </row>
    <row r="145" spans="1:212" x14ac:dyDescent="0.45">
      <c r="A145">
        <v>144</v>
      </c>
      <c r="B145" t="str">
        <f>_xlfn.IFNA(VLOOKUP(Wszystkie[[#This Row],[Zakończono wypełnianie]],Zakończone[],2,0),"BRAK")</f>
        <v>BRAK</v>
      </c>
      <c r="C145" t="s">
        <v>1334</v>
      </c>
      <c r="D145" t="s">
        <v>118</v>
      </c>
      <c r="I145" t="s">
        <v>286</v>
      </c>
      <c r="J145" t="s">
        <v>1335</v>
      </c>
      <c r="K145" t="s">
        <v>1335</v>
      </c>
      <c r="L145">
        <v>0</v>
      </c>
      <c r="M145">
        <v>0</v>
      </c>
      <c r="N145" t="s">
        <v>122</v>
      </c>
      <c r="O145" s="1"/>
      <c r="AE145" s="1"/>
      <c r="AW145" s="1"/>
      <c r="CQ145" s="1"/>
      <c r="DA145" s="1"/>
      <c r="DK145" s="1"/>
      <c r="EN145" s="1"/>
      <c r="FN145" s="1"/>
    </row>
    <row r="146" spans="1:212" x14ac:dyDescent="0.45">
      <c r="A146">
        <v>145</v>
      </c>
      <c r="B146">
        <f>_xlfn.IFNA(VLOOKUP(Wszystkie[[#This Row],[Zakończono wypełnianie]],Zakończone[],2,0),"BRAK")</f>
        <v>86</v>
      </c>
      <c r="C146" t="s">
        <v>1336</v>
      </c>
      <c r="D146" t="s">
        <v>118</v>
      </c>
      <c r="I146" t="s">
        <v>119</v>
      </c>
      <c r="J146" t="s">
        <v>1337</v>
      </c>
      <c r="K146" t="s">
        <v>1338</v>
      </c>
      <c r="L146">
        <v>516</v>
      </c>
      <c r="M146">
        <v>0</v>
      </c>
      <c r="N146" t="s">
        <v>122</v>
      </c>
      <c r="O146" s="1" t="s">
        <v>123</v>
      </c>
      <c r="AE146" s="1" t="s">
        <v>124</v>
      </c>
      <c r="AF146" t="s">
        <v>191</v>
      </c>
      <c r="AG146">
        <v>2007</v>
      </c>
      <c r="AH146" t="s">
        <v>126</v>
      </c>
      <c r="AI146" t="s">
        <v>1339</v>
      </c>
      <c r="AJ146" t="s">
        <v>162</v>
      </c>
      <c r="AK146" t="s">
        <v>162</v>
      </c>
      <c r="AL146" t="s">
        <v>150</v>
      </c>
      <c r="AM146" t="s">
        <v>169</v>
      </c>
      <c r="AN146" t="s">
        <v>169</v>
      </c>
      <c r="AO146" t="s">
        <v>1340</v>
      </c>
      <c r="AP146" t="s">
        <v>131</v>
      </c>
      <c r="AQ146" t="s">
        <v>759</v>
      </c>
      <c r="AR146" t="s">
        <v>1341</v>
      </c>
      <c r="AS146" t="s">
        <v>1342</v>
      </c>
      <c r="AT146" t="s">
        <v>1343</v>
      </c>
      <c r="AU146" t="s">
        <v>157</v>
      </c>
      <c r="AV146" t="s">
        <v>1344</v>
      </c>
      <c r="AW146" s="1" t="s">
        <v>123</v>
      </c>
      <c r="AX146" t="s">
        <v>132</v>
      </c>
      <c r="CQ146" s="1" t="s">
        <v>123</v>
      </c>
      <c r="DA146" s="1" t="s">
        <v>123</v>
      </c>
      <c r="DK146" s="1" t="s">
        <v>123</v>
      </c>
      <c r="EN146" s="1" t="s">
        <v>177</v>
      </c>
      <c r="EO146" t="s">
        <v>178</v>
      </c>
      <c r="EP146" t="s">
        <v>132</v>
      </c>
      <c r="EQ146" t="s">
        <v>191</v>
      </c>
      <c r="ER146" t="s">
        <v>236</v>
      </c>
      <c r="ES146" t="s">
        <v>236</v>
      </c>
      <c r="ET146" t="s">
        <v>151</v>
      </c>
      <c r="EU146" t="s">
        <v>178</v>
      </c>
      <c r="EV146" t="s">
        <v>1345</v>
      </c>
      <c r="EW146" t="s">
        <v>1346</v>
      </c>
      <c r="EX146" t="s">
        <v>173</v>
      </c>
      <c r="FN146" s="1" t="s">
        <v>123</v>
      </c>
      <c r="GV146" t="s">
        <v>1347</v>
      </c>
      <c r="GW146" t="s">
        <v>1348</v>
      </c>
      <c r="GX146" t="s">
        <v>1349</v>
      </c>
      <c r="GY146" t="s">
        <v>186</v>
      </c>
      <c r="GZ146">
        <v>1982</v>
      </c>
      <c r="HA146" t="s">
        <v>141</v>
      </c>
      <c r="HC146" t="s">
        <v>1350</v>
      </c>
    </row>
    <row r="147" spans="1:212" x14ac:dyDescent="0.45">
      <c r="A147">
        <v>146</v>
      </c>
      <c r="B147" t="str">
        <f>_xlfn.IFNA(VLOOKUP(Wszystkie[[#This Row],[Zakończono wypełnianie]],Zakończone[],2,0),"BRAK")</f>
        <v>BRAK</v>
      </c>
      <c r="C147" t="s">
        <v>1286</v>
      </c>
      <c r="D147" t="s">
        <v>118</v>
      </c>
      <c r="I147" t="s">
        <v>286</v>
      </c>
      <c r="J147" t="s">
        <v>1351</v>
      </c>
      <c r="K147" t="s">
        <v>1351</v>
      </c>
      <c r="L147">
        <v>0</v>
      </c>
      <c r="M147">
        <v>0</v>
      </c>
      <c r="N147" t="s">
        <v>122</v>
      </c>
      <c r="O147" s="1" t="s">
        <v>416</v>
      </c>
      <c r="P147" t="s">
        <v>191</v>
      </c>
      <c r="Q147" t="s">
        <v>126</v>
      </c>
      <c r="R147" t="s">
        <v>1305</v>
      </c>
      <c r="AE147" s="1"/>
      <c r="AW147" s="1"/>
      <c r="CQ147" s="1"/>
      <c r="DA147" s="1"/>
      <c r="DK147" s="1"/>
      <c r="EN147" s="1"/>
      <c r="FN147" s="1"/>
    </row>
    <row r="148" spans="1:212" x14ac:dyDescent="0.45">
      <c r="A148">
        <v>147</v>
      </c>
      <c r="B148" t="str">
        <f>_xlfn.IFNA(VLOOKUP(Wszystkie[[#This Row],[Zakończono wypełnianie]],Zakończone[],2,0),"BRAK")</f>
        <v>BRAK</v>
      </c>
      <c r="C148" t="s">
        <v>1352</v>
      </c>
      <c r="D148" t="s">
        <v>118</v>
      </c>
      <c r="I148" t="s">
        <v>286</v>
      </c>
      <c r="J148" t="s">
        <v>1353</v>
      </c>
      <c r="K148" t="s">
        <v>1353</v>
      </c>
      <c r="L148">
        <v>0</v>
      </c>
      <c r="M148">
        <v>0</v>
      </c>
      <c r="N148" t="s">
        <v>122</v>
      </c>
      <c r="O148" s="1" t="s">
        <v>123</v>
      </c>
      <c r="AE148" s="1" t="s">
        <v>124</v>
      </c>
      <c r="AF148" t="s">
        <v>813</v>
      </c>
      <c r="AG148">
        <v>2008</v>
      </c>
      <c r="AH148" t="s">
        <v>148</v>
      </c>
      <c r="AI148" t="s">
        <v>1354</v>
      </c>
      <c r="AJ148" t="s">
        <v>162</v>
      </c>
      <c r="AK148" t="s">
        <v>151</v>
      </c>
      <c r="AL148" t="s">
        <v>151</v>
      </c>
      <c r="AM148" t="s">
        <v>236</v>
      </c>
      <c r="AN148" t="s">
        <v>151</v>
      </c>
      <c r="AO148" t="s">
        <v>237</v>
      </c>
      <c r="AP148" t="s">
        <v>131</v>
      </c>
      <c r="AQ148" t="s">
        <v>302</v>
      </c>
      <c r="AS148" t="s">
        <v>1355</v>
      </c>
      <c r="AT148" t="s">
        <v>1356</v>
      </c>
      <c r="AV148" t="s">
        <v>1357</v>
      </c>
      <c r="AW148" s="1" t="s">
        <v>123</v>
      </c>
      <c r="CQ148" s="1" t="s">
        <v>123</v>
      </c>
      <c r="DA148" s="1" t="s">
        <v>123</v>
      </c>
      <c r="DK148" s="1" t="s">
        <v>123</v>
      </c>
      <c r="EN148" s="1" t="s">
        <v>177</v>
      </c>
      <c r="EO148" t="s">
        <v>178</v>
      </c>
      <c r="EP148" t="s">
        <v>132</v>
      </c>
      <c r="FN148" s="1"/>
    </row>
    <row r="149" spans="1:212" x14ac:dyDescent="0.45">
      <c r="A149">
        <v>148</v>
      </c>
      <c r="B149" t="str">
        <f>_xlfn.IFNA(VLOOKUP(Wszystkie[[#This Row],[Zakończono wypełnianie]],Zakończone[],2,0),"BRAK")</f>
        <v>BRAK</v>
      </c>
      <c r="C149" t="s">
        <v>1331</v>
      </c>
      <c r="D149" t="s">
        <v>118</v>
      </c>
      <c r="I149" t="s">
        <v>286</v>
      </c>
      <c r="J149" t="s">
        <v>1358</v>
      </c>
      <c r="K149" t="s">
        <v>1358</v>
      </c>
      <c r="L149">
        <v>0</v>
      </c>
      <c r="M149">
        <v>0</v>
      </c>
      <c r="N149" t="s">
        <v>122</v>
      </c>
      <c r="O149" s="1" t="s">
        <v>123</v>
      </c>
      <c r="AE149" s="1" t="s">
        <v>124</v>
      </c>
      <c r="AW149" s="1"/>
      <c r="CQ149" s="1"/>
      <c r="DA149" s="1"/>
      <c r="DK149" s="1"/>
      <c r="EN149" s="1"/>
      <c r="FN149" s="1"/>
    </row>
    <row r="150" spans="1:212" x14ac:dyDescent="0.45">
      <c r="A150">
        <v>150</v>
      </c>
      <c r="B150" t="str">
        <f>_xlfn.IFNA(VLOOKUP(Wszystkie[[#This Row],[Zakończono wypełnianie]],Zakończone[],2,0),"BRAK")</f>
        <v>BRAK</v>
      </c>
      <c r="C150" t="s">
        <v>1331</v>
      </c>
      <c r="D150" t="s">
        <v>118</v>
      </c>
      <c r="I150" t="s">
        <v>286</v>
      </c>
      <c r="J150" t="s">
        <v>1369</v>
      </c>
      <c r="K150" t="s">
        <v>1369</v>
      </c>
      <c r="L150">
        <v>0</v>
      </c>
      <c r="M150">
        <v>0</v>
      </c>
      <c r="N150" t="s">
        <v>122</v>
      </c>
      <c r="O150" s="1" t="s">
        <v>123</v>
      </c>
      <c r="AE150" s="1" t="s">
        <v>124</v>
      </c>
      <c r="AW150" s="1"/>
      <c r="CQ150" s="1"/>
      <c r="DA150" s="1"/>
      <c r="DK150" s="1"/>
      <c r="EN150" s="1"/>
      <c r="FN150" s="1"/>
    </row>
    <row r="151" spans="1:212" x14ac:dyDescent="0.45">
      <c r="A151">
        <v>149</v>
      </c>
      <c r="B151">
        <f>_xlfn.IFNA(VLOOKUP(Wszystkie[[#This Row],[Zakończono wypełnianie]],Zakończone[],2,0),"BRAK")</f>
        <v>87</v>
      </c>
      <c r="C151" t="s">
        <v>1352</v>
      </c>
      <c r="D151" t="s">
        <v>118</v>
      </c>
      <c r="I151" t="s">
        <v>119</v>
      </c>
      <c r="J151" t="s">
        <v>1359</v>
      </c>
      <c r="K151" t="s">
        <v>1360</v>
      </c>
      <c r="L151">
        <v>8266</v>
      </c>
      <c r="M151">
        <v>0</v>
      </c>
      <c r="N151" t="s">
        <v>122</v>
      </c>
      <c r="O151" s="1" t="s">
        <v>123</v>
      </c>
      <c r="AE151" s="1" t="s">
        <v>124</v>
      </c>
      <c r="AF151" t="s">
        <v>160</v>
      </c>
      <c r="AG151">
        <v>2010</v>
      </c>
      <c r="AH151" t="s">
        <v>148</v>
      </c>
      <c r="AI151" t="s">
        <v>1361</v>
      </c>
      <c r="AJ151" t="s">
        <v>236</v>
      </c>
      <c r="AK151" t="s">
        <v>150</v>
      </c>
      <c r="AL151" t="s">
        <v>129</v>
      </c>
      <c r="AM151" t="s">
        <v>129</v>
      </c>
      <c r="AN151" t="s">
        <v>129</v>
      </c>
      <c r="AO151" t="s">
        <v>1362</v>
      </c>
      <c r="AP151" t="s">
        <v>153</v>
      </c>
      <c r="AQ151" t="s">
        <v>153</v>
      </c>
      <c r="AR151" t="s">
        <v>1363</v>
      </c>
      <c r="AS151" t="s">
        <v>1364</v>
      </c>
      <c r="AT151" t="s">
        <v>1365</v>
      </c>
      <c r="AU151" t="s">
        <v>157</v>
      </c>
      <c r="AW151" s="1" t="s">
        <v>123</v>
      </c>
      <c r="AX151" t="s">
        <v>132</v>
      </c>
      <c r="CQ151" s="1" t="s">
        <v>123</v>
      </c>
      <c r="DA151" s="1" t="s">
        <v>123</v>
      </c>
      <c r="DK151" s="1" t="s">
        <v>123</v>
      </c>
      <c r="EN151" s="1" t="s">
        <v>123</v>
      </c>
      <c r="FN151" s="1" t="s">
        <v>123</v>
      </c>
      <c r="GV151" t="s">
        <v>1366</v>
      </c>
      <c r="GW151" t="s">
        <v>1367</v>
      </c>
      <c r="GX151" t="s">
        <v>532</v>
      </c>
      <c r="GY151" t="s">
        <v>140</v>
      </c>
      <c r="GZ151">
        <v>1986</v>
      </c>
      <c r="HA151" t="s">
        <v>398</v>
      </c>
      <c r="HC151" t="s">
        <v>1368</v>
      </c>
    </row>
    <row r="152" spans="1:212" x14ac:dyDescent="0.45">
      <c r="A152">
        <v>151</v>
      </c>
      <c r="B152" t="str">
        <f>_xlfn.IFNA(VLOOKUP(Wszystkie[[#This Row],[Zakończono wypełnianie]],Zakończone[],2,0),"BRAK")</f>
        <v>BRAK</v>
      </c>
      <c r="C152" t="s">
        <v>1142</v>
      </c>
      <c r="D152" t="s">
        <v>118</v>
      </c>
      <c r="I152" t="s">
        <v>286</v>
      </c>
      <c r="J152" t="s">
        <v>1370</v>
      </c>
      <c r="K152" t="s">
        <v>1370</v>
      </c>
      <c r="L152">
        <v>0</v>
      </c>
      <c r="M152">
        <v>0</v>
      </c>
      <c r="N152" t="s">
        <v>122</v>
      </c>
      <c r="O152" s="1" t="s">
        <v>123</v>
      </c>
      <c r="AE152" s="1" t="s">
        <v>124</v>
      </c>
      <c r="AF152" t="s">
        <v>223</v>
      </c>
      <c r="AG152">
        <v>2017</v>
      </c>
      <c r="AH152" t="s">
        <v>148</v>
      </c>
      <c r="AI152" t="s">
        <v>1371</v>
      </c>
      <c r="AJ152" t="s">
        <v>128</v>
      </c>
      <c r="AK152" t="s">
        <v>151</v>
      </c>
      <c r="AL152" t="s">
        <v>162</v>
      </c>
      <c r="AM152" t="s">
        <v>162</v>
      </c>
      <c r="AN152" t="s">
        <v>128</v>
      </c>
      <c r="AO152" t="s">
        <v>237</v>
      </c>
      <c r="AP152" t="s">
        <v>302</v>
      </c>
      <c r="AQ152" t="s">
        <v>302</v>
      </c>
      <c r="AR152" t="s">
        <v>1372</v>
      </c>
      <c r="AS152" t="s">
        <v>1373</v>
      </c>
      <c r="AT152" t="s">
        <v>1374</v>
      </c>
      <c r="AU152" t="s">
        <v>157</v>
      </c>
      <c r="AW152" s="1" t="s">
        <v>123</v>
      </c>
      <c r="AX152" t="s">
        <v>132</v>
      </c>
      <c r="CQ152" s="1" t="s">
        <v>123</v>
      </c>
      <c r="DA152" s="1" t="s">
        <v>123</v>
      </c>
      <c r="DK152" s="1" t="s">
        <v>123</v>
      </c>
      <c r="EN152" s="1" t="s">
        <v>123</v>
      </c>
      <c r="FN152" s="1" t="s">
        <v>123</v>
      </c>
    </row>
    <row r="153" spans="1:212" x14ac:dyDescent="0.45">
      <c r="A153">
        <v>152</v>
      </c>
      <c r="B153" t="str">
        <f>_xlfn.IFNA(VLOOKUP(Wszystkie[[#This Row],[Zakończono wypełnianie]],Zakończone[],2,0),"BRAK")</f>
        <v>BRAK</v>
      </c>
      <c r="C153" t="s">
        <v>1336</v>
      </c>
      <c r="D153" t="s">
        <v>118</v>
      </c>
      <c r="I153" t="s">
        <v>286</v>
      </c>
      <c r="J153" t="s">
        <v>1375</v>
      </c>
      <c r="K153" t="s">
        <v>1375</v>
      </c>
      <c r="L153">
        <v>0</v>
      </c>
      <c r="M153">
        <v>0</v>
      </c>
      <c r="N153" t="s">
        <v>122</v>
      </c>
      <c r="O153" s="1" t="s">
        <v>123</v>
      </c>
      <c r="AE153" s="1" t="s">
        <v>124</v>
      </c>
      <c r="AW153" s="1"/>
      <c r="CQ153" s="1"/>
      <c r="DA153" s="1"/>
      <c r="DK153" s="1"/>
      <c r="EN153" s="1"/>
      <c r="FN153" s="1"/>
    </row>
    <row r="154" spans="1:212" x14ac:dyDescent="0.45">
      <c r="A154">
        <v>153</v>
      </c>
      <c r="B154">
        <f>_xlfn.IFNA(VLOOKUP(Wszystkie[[#This Row],[Zakończono wypełnianie]],Zakończone[],2,0),"BRAK")</f>
        <v>88</v>
      </c>
      <c r="C154" t="s">
        <v>1352</v>
      </c>
      <c r="D154" t="s">
        <v>118</v>
      </c>
      <c r="I154" t="s">
        <v>119</v>
      </c>
      <c r="J154" t="s">
        <v>1376</v>
      </c>
      <c r="K154" t="s">
        <v>1377</v>
      </c>
      <c r="L154">
        <v>352</v>
      </c>
      <c r="M154">
        <v>0</v>
      </c>
      <c r="N154" t="s">
        <v>122</v>
      </c>
      <c r="O154" s="1" t="s">
        <v>123</v>
      </c>
      <c r="AE154" s="1" t="s">
        <v>124</v>
      </c>
      <c r="AF154" t="s">
        <v>223</v>
      </c>
      <c r="AG154">
        <v>2000</v>
      </c>
      <c r="AH154" t="s">
        <v>148</v>
      </c>
      <c r="AI154" t="s">
        <v>161</v>
      </c>
      <c r="AJ154" t="s">
        <v>162</v>
      </c>
      <c r="AK154" t="s">
        <v>162</v>
      </c>
      <c r="AL154" t="s">
        <v>150</v>
      </c>
      <c r="AM154" t="s">
        <v>129</v>
      </c>
      <c r="AN154" t="s">
        <v>128</v>
      </c>
      <c r="AO154">
        <v>5</v>
      </c>
      <c r="AP154" t="s">
        <v>302</v>
      </c>
      <c r="AQ154" t="s">
        <v>302</v>
      </c>
      <c r="AR154" t="s">
        <v>1378</v>
      </c>
      <c r="AS154" t="s">
        <v>1379</v>
      </c>
      <c r="AT154" t="s">
        <v>1380</v>
      </c>
      <c r="AU154" t="s">
        <v>172</v>
      </c>
      <c r="AW154" s="1" t="s">
        <v>123</v>
      </c>
      <c r="AX154" t="s">
        <v>132</v>
      </c>
      <c r="CQ154" s="1" t="s">
        <v>123</v>
      </c>
      <c r="DA154" s="1" t="s">
        <v>123</v>
      </c>
      <c r="DK154" s="1" t="s">
        <v>123</v>
      </c>
      <c r="EN154" s="1" t="s">
        <v>123</v>
      </c>
      <c r="FN154" s="1" t="s">
        <v>123</v>
      </c>
      <c r="GV154" t="s">
        <v>1381</v>
      </c>
      <c r="GW154" t="s">
        <v>1382</v>
      </c>
      <c r="GX154" t="s">
        <v>1383</v>
      </c>
      <c r="GY154" t="s">
        <v>140</v>
      </c>
      <c r="GZ154">
        <v>1982</v>
      </c>
      <c r="HA154" t="s">
        <v>246</v>
      </c>
      <c r="HC154" t="s">
        <v>386</v>
      </c>
      <c r="HD154" t="s">
        <v>386</v>
      </c>
    </row>
    <row r="155" spans="1:212" x14ac:dyDescent="0.45">
      <c r="A155">
        <v>154</v>
      </c>
      <c r="B155">
        <f>_xlfn.IFNA(VLOOKUP(Wszystkie[[#This Row],[Zakończono wypełnianie]],Zakończone[],2,0),"BRAK")</f>
        <v>89</v>
      </c>
      <c r="C155" t="s">
        <v>1142</v>
      </c>
      <c r="D155" t="s">
        <v>118</v>
      </c>
      <c r="I155" t="s">
        <v>119</v>
      </c>
      <c r="J155" t="s">
        <v>1384</v>
      </c>
      <c r="K155" t="s">
        <v>1385</v>
      </c>
      <c r="L155">
        <v>167</v>
      </c>
      <c r="M155">
        <v>0</v>
      </c>
      <c r="N155" t="s">
        <v>122</v>
      </c>
      <c r="O155" s="1" t="s">
        <v>123</v>
      </c>
      <c r="AE155" s="1" t="s">
        <v>123</v>
      </c>
      <c r="AW155" s="1" t="s">
        <v>123</v>
      </c>
      <c r="AX155" t="s">
        <v>132</v>
      </c>
      <c r="CQ155" s="1" t="s">
        <v>123</v>
      </c>
      <c r="DA155" s="1" t="s">
        <v>123</v>
      </c>
      <c r="DK155" s="1" t="s">
        <v>123</v>
      </c>
      <c r="EN155" s="1" t="s">
        <v>123</v>
      </c>
      <c r="FN155" s="1" t="s">
        <v>123</v>
      </c>
      <c r="GV155" t="s">
        <v>1386</v>
      </c>
      <c r="GW155" t="s">
        <v>1387</v>
      </c>
      <c r="GX155" t="s">
        <v>1388</v>
      </c>
      <c r="GY155" t="s">
        <v>186</v>
      </c>
      <c r="GZ155">
        <v>1987</v>
      </c>
      <c r="HA155" t="s">
        <v>141</v>
      </c>
      <c r="HC155" t="s">
        <v>532</v>
      </c>
      <c r="HD155" t="s">
        <v>1389</v>
      </c>
    </row>
    <row r="156" spans="1:212" x14ac:dyDescent="0.45">
      <c r="A156">
        <v>155</v>
      </c>
      <c r="B156" t="str">
        <f>_xlfn.IFNA(VLOOKUP(Wszystkie[[#This Row],[Zakończono wypełnianie]],Zakończone[],2,0),"BRAK")</f>
        <v>BRAK</v>
      </c>
      <c r="C156" t="s">
        <v>1131</v>
      </c>
      <c r="D156" t="s">
        <v>118</v>
      </c>
      <c r="I156" t="s">
        <v>286</v>
      </c>
      <c r="J156" t="s">
        <v>1390</v>
      </c>
      <c r="K156" t="s">
        <v>1390</v>
      </c>
      <c r="L156">
        <v>0</v>
      </c>
      <c r="M156">
        <v>0</v>
      </c>
      <c r="N156" t="s">
        <v>122</v>
      </c>
      <c r="O156" s="1" t="s">
        <v>123</v>
      </c>
      <c r="AE156" s="1" t="s">
        <v>123</v>
      </c>
      <c r="AW156" s="1" t="s">
        <v>123</v>
      </c>
      <c r="AX156" t="s">
        <v>132</v>
      </c>
      <c r="CQ156" s="1" t="s">
        <v>123</v>
      </c>
      <c r="DA156" s="1" t="s">
        <v>123</v>
      </c>
      <c r="DK156" s="1" t="s">
        <v>123</v>
      </c>
      <c r="EN156" s="1" t="s">
        <v>123</v>
      </c>
      <c r="FN156" s="1" t="s">
        <v>123</v>
      </c>
    </row>
    <row r="157" spans="1:212" x14ac:dyDescent="0.45">
      <c r="A157">
        <v>156</v>
      </c>
      <c r="B157">
        <f>_xlfn.IFNA(VLOOKUP(Wszystkie[[#This Row],[Zakończono wypełnianie]],Zakończone[],2,0),"BRAK")</f>
        <v>90</v>
      </c>
      <c r="C157" t="s">
        <v>1142</v>
      </c>
      <c r="D157" t="s">
        <v>118</v>
      </c>
      <c r="I157" t="s">
        <v>119</v>
      </c>
      <c r="J157" t="s">
        <v>1391</v>
      </c>
      <c r="K157" t="s">
        <v>1392</v>
      </c>
      <c r="L157">
        <v>415</v>
      </c>
      <c r="M157">
        <v>0</v>
      </c>
      <c r="N157" t="s">
        <v>122</v>
      </c>
      <c r="O157" s="1" t="s">
        <v>123</v>
      </c>
      <c r="AE157" s="1" t="s">
        <v>124</v>
      </c>
      <c r="AF157" t="s">
        <v>191</v>
      </c>
      <c r="AG157">
        <v>2012</v>
      </c>
      <c r="AH157" t="s">
        <v>126</v>
      </c>
      <c r="AI157" t="s">
        <v>1393</v>
      </c>
      <c r="AJ157" t="s">
        <v>162</v>
      </c>
      <c r="AK157" t="s">
        <v>150</v>
      </c>
      <c r="AL157" t="s">
        <v>150</v>
      </c>
      <c r="AM157" t="s">
        <v>236</v>
      </c>
      <c r="AN157" t="s">
        <v>236</v>
      </c>
      <c r="AO157" t="s">
        <v>1340</v>
      </c>
      <c r="AP157" t="s">
        <v>302</v>
      </c>
      <c r="AQ157" t="s">
        <v>153</v>
      </c>
      <c r="AR157" t="s">
        <v>1394</v>
      </c>
      <c r="AS157" t="s">
        <v>1395</v>
      </c>
      <c r="AT157" t="s">
        <v>1396</v>
      </c>
      <c r="AV157" t="s">
        <v>1397</v>
      </c>
      <c r="AW157" s="1" t="s">
        <v>123</v>
      </c>
      <c r="AX157" t="s">
        <v>132</v>
      </c>
      <c r="CQ157" s="1" t="s">
        <v>123</v>
      </c>
      <c r="DA157" s="1" t="s">
        <v>123</v>
      </c>
      <c r="DK157" s="1" t="s">
        <v>123</v>
      </c>
      <c r="EN157" s="1" t="s">
        <v>123</v>
      </c>
      <c r="FN157" s="1" t="s">
        <v>123</v>
      </c>
      <c r="GV157" t="s">
        <v>1398</v>
      </c>
      <c r="GW157" t="s">
        <v>1399</v>
      </c>
      <c r="GX157" t="s">
        <v>1400</v>
      </c>
      <c r="GY157" t="s">
        <v>140</v>
      </c>
      <c r="GZ157">
        <v>1985</v>
      </c>
      <c r="HA157" t="s">
        <v>141</v>
      </c>
      <c r="HC157" t="s">
        <v>1401</v>
      </c>
    </row>
    <row r="158" spans="1:212" x14ac:dyDescent="0.45">
      <c r="A158">
        <v>157</v>
      </c>
      <c r="B158" t="str">
        <f>_xlfn.IFNA(VLOOKUP(Wszystkie[[#This Row],[Zakończono wypełnianie]],Zakończone[],2,0),"BRAK")</f>
        <v>BRAK</v>
      </c>
      <c r="C158" t="s">
        <v>1131</v>
      </c>
      <c r="D158" t="s">
        <v>118</v>
      </c>
      <c r="I158" t="s">
        <v>286</v>
      </c>
      <c r="J158" t="s">
        <v>1402</v>
      </c>
      <c r="K158" t="s">
        <v>1402</v>
      </c>
      <c r="L158">
        <v>0</v>
      </c>
      <c r="M158">
        <v>0</v>
      </c>
      <c r="N158" t="s">
        <v>122</v>
      </c>
      <c r="O158" s="1" t="s">
        <v>123</v>
      </c>
      <c r="AE158" s="1" t="s">
        <v>124</v>
      </c>
      <c r="AW158" s="1"/>
      <c r="CQ158" s="1"/>
      <c r="DA158" s="1"/>
      <c r="DK158" s="1"/>
      <c r="EN158" s="1"/>
      <c r="FN158" s="1"/>
    </row>
    <row r="159" spans="1:212" x14ac:dyDescent="0.45">
      <c r="A159">
        <v>158</v>
      </c>
      <c r="B159">
        <f>_xlfn.IFNA(VLOOKUP(Wszystkie[[#This Row],[Zakończono wypełnianie]],Zakończone[],2,0),"BRAK")</f>
        <v>91</v>
      </c>
      <c r="C159" t="s">
        <v>1131</v>
      </c>
      <c r="D159" t="s">
        <v>118</v>
      </c>
      <c r="I159" t="s">
        <v>119</v>
      </c>
      <c r="J159" t="s">
        <v>1403</v>
      </c>
      <c r="K159" t="s">
        <v>1404</v>
      </c>
      <c r="L159">
        <v>325</v>
      </c>
      <c r="M159">
        <v>0</v>
      </c>
      <c r="N159" t="s">
        <v>122</v>
      </c>
      <c r="O159" s="1" t="s">
        <v>123</v>
      </c>
      <c r="AE159" s="1" t="s">
        <v>124</v>
      </c>
      <c r="AF159" t="s">
        <v>742</v>
      </c>
      <c r="AG159">
        <v>2013</v>
      </c>
      <c r="AH159" t="s">
        <v>148</v>
      </c>
      <c r="AI159" t="s">
        <v>958</v>
      </c>
      <c r="AJ159" t="s">
        <v>128</v>
      </c>
      <c r="AK159" t="s">
        <v>128</v>
      </c>
      <c r="AL159" t="s">
        <v>162</v>
      </c>
      <c r="AM159" t="s">
        <v>151</v>
      </c>
      <c r="AN159" t="s">
        <v>151</v>
      </c>
      <c r="AO159">
        <v>3</v>
      </c>
      <c r="AP159" t="s">
        <v>131</v>
      </c>
      <c r="AQ159" t="s">
        <v>153</v>
      </c>
      <c r="AR159" t="s">
        <v>1405</v>
      </c>
      <c r="AS159" t="s">
        <v>1406</v>
      </c>
      <c r="AT159" t="s">
        <v>1407</v>
      </c>
      <c r="AU159" t="s">
        <v>157</v>
      </c>
      <c r="AW159" s="1" t="s">
        <v>123</v>
      </c>
      <c r="AX159" t="s">
        <v>132</v>
      </c>
      <c r="CQ159" s="1" t="s">
        <v>123</v>
      </c>
      <c r="DA159" s="1" t="s">
        <v>123</v>
      </c>
      <c r="DK159" s="1" t="s">
        <v>123</v>
      </c>
      <c r="EN159" s="1" t="s">
        <v>123</v>
      </c>
      <c r="FN159" s="1" t="s">
        <v>123</v>
      </c>
      <c r="GV159" t="s">
        <v>1408</v>
      </c>
      <c r="GW159" t="s">
        <v>1409</v>
      </c>
      <c r="GX159" t="s">
        <v>1410</v>
      </c>
      <c r="GY159" t="s">
        <v>140</v>
      </c>
      <c r="GZ159">
        <v>1984</v>
      </c>
      <c r="HA159" t="s">
        <v>398</v>
      </c>
      <c r="HC159" t="s">
        <v>1411</v>
      </c>
    </row>
    <row r="160" spans="1:212" x14ac:dyDescent="0.45">
      <c r="A160">
        <v>159</v>
      </c>
      <c r="B160">
        <f>_xlfn.IFNA(VLOOKUP(Wszystkie[[#This Row],[Zakończono wypełnianie]],Zakończone[],2,0),"BRAK")</f>
        <v>92</v>
      </c>
      <c r="C160" t="s">
        <v>1412</v>
      </c>
      <c r="D160" t="s">
        <v>118</v>
      </c>
      <c r="I160" t="s">
        <v>119</v>
      </c>
      <c r="J160" t="s">
        <v>1413</v>
      </c>
      <c r="K160" t="s">
        <v>1414</v>
      </c>
      <c r="L160">
        <v>1007</v>
      </c>
      <c r="M160">
        <v>0</v>
      </c>
      <c r="N160" t="s">
        <v>122</v>
      </c>
      <c r="O160" s="1" t="s">
        <v>123</v>
      </c>
      <c r="AE160" s="1" t="s">
        <v>124</v>
      </c>
      <c r="AF160" t="s">
        <v>1415</v>
      </c>
      <c r="AG160">
        <v>2006</v>
      </c>
      <c r="AH160" t="s">
        <v>148</v>
      </c>
      <c r="AI160" t="s">
        <v>263</v>
      </c>
      <c r="AJ160" t="s">
        <v>169</v>
      </c>
      <c r="AK160" t="s">
        <v>169</v>
      </c>
      <c r="AL160" t="s">
        <v>169</v>
      </c>
      <c r="AM160" t="s">
        <v>150</v>
      </c>
      <c r="AN160" t="s">
        <v>169</v>
      </c>
      <c r="AO160" t="s">
        <v>1416</v>
      </c>
      <c r="AP160" t="s">
        <v>131</v>
      </c>
      <c r="AQ160" t="s">
        <v>153</v>
      </c>
      <c r="AR160" t="s">
        <v>1417</v>
      </c>
      <c r="AS160" t="s">
        <v>1418</v>
      </c>
      <c r="AT160" t="s">
        <v>1419</v>
      </c>
      <c r="AV160" t="s">
        <v>1420</v>
      </c>
      <c r="AW160" s="1" t="s">
        <v>123</v>
      </c>
      <c r="CQ160" s="1" t="s">
        <v>123</v>
      </c>
      <c r="DA160" s="1" t="s">
        <v>123</v>
      </c>
      <c r="DK160" s="1" t="s">
        <v>123</v>
      </c>
      <c r="EN160" s="1" t="s">
        <v>123</v>
      </c>
      <c r="FN160" s="1" t="s">
        <v>123</v>
      </c>
      <c r="GV160" t="s">
        <v>1421</v>
      </c>
      <c r="GW160" t="s">
        <v>1422</v>
      </c>
      <c r="GX160" t="s">
        <v>142</v>
      </c>
      <c r="GY160" t="s">
        <v>140</v>
      </c>
      <c r="GZ160">
        <v>1983</v>
      </c>
      <c r="HA160" t="s">
        <v>141</v>
      </c>
      <c r="HC160" t="s">
        <v>1423</v>
      </c>
      <c r="HD160" t="s">
        <v>132</v>
      </c>
    </row>
    <row r="161" spans="1:213" x14ac:dyDescent="0.45">
      <c r="A161">
        <v>160</v>
      </c>
      <c r="B161" t="str">
        <f>_xlfn.IFNA(VLOOKUP(Wszystkie[[#This Row],[Zakończono wypełnianie]],Zakończone[],2,0),"BRAK")</f>
        <v>BRAK</v>
      </c>
      <c r="C161" t="s">
        <v>1142</v>
      </c>
      <c r="D161" t="s">
        <v>118</v>
      </c>
      <c r="I161" t="s">
        <v>286</v>
      </c>
      <c r="J161" t="s">
        <v>1424</v>
      </c>
      <c r="K161" t="s">
        <v>1424</v>
      </c>
      <c r="L161">
        <v>0</v>
      </c>
      <c r="M161">
        <v>0</v>
      </c>
      <c r="N161" t="s">
        <v>122</v>
      </c>
      <c r="O161" s="1" t="s">
        <v>416</v>
      </c>
      <c r="AE161" s="1"/>
      <c r="AW161" s="1"/>
      <c r="CQ161" s="1"/>
      <c r="DA161" s="1"/>
      <c r="DK161" s="1"/>
      <c r="EN161" s="1"/>
      <c r="FN161" s="1"/>
    </row>
    <row r="162" spans="1:213" x14ac:dyDescent="0.45">
      <c r="A162">
        <v>161</v>
      </c>
      <c r="B162" t="str">
        <f>_xlfn.IFNA(VLOOKUP(Wszystkie[[#This Row],[Zakończono wypełnianie]],Zakończone[],2,0),"BRAK")</f>
        <v>BRAK</v>
      </c>
      <c r="C162" t="s">
        <v>1331</v>
      </c>
      <c r="D162" t="s">
        <v>118</v>
      </c>
      <c r="I162" t="s">
        <v>286</v>
      </c>
      <c r="J162" t="s">
        <v>1425</v>
      </c>
      <c r="K162" t="s">
        <v>1425</v>
      </c>
      <c r="L162">
        <v>0</v>
      </c>
      <c r="M162">
        <v>0</v>
      </c>
      <c r="N162" t="s">
        <v>122</v>
      </c>
      <c r="O162" s="1" t="s">
        <v>123</v>
      </c>
      <c r="AE162" s="1" t="s">
        <v>124</v>
      </c>
      <c r="AW162" s="1"/>
      <c r="CQ162" s="1"/>
      <c r="DA162" s="1"/>
      <c r="DK162" s="1"/>
      <c r="EN162" s="1"/>
      <c r="FN162" s="1"/>
    </row>
    <row r="163" spans="1:213" x14ac:dyDescent="0.45">
      <c r="A163">
        <v>162</v>
      </c>
      <c r="B163">
        <f>_xlfn.IFNA(VLOOKUP(Wszystkie[[#This Row],[Zakończono wypełnianie]],Zakończone[],2,0),"BRAK")</f>
        <v>93</v>
      </c>
      <c r="C163" t="s">
        <v>1352</v>
      </c>
      <c r="D163" t="s">
        <v>118</v>
      </c>
      <c r="I163" t="s">
        <v>119</v>
      </c>
      <c r="J163" t="s">
        <v>1426</v>
      </c>
      <c r="K163" t="s">
        <v>1427</v>
      </c>
      <c r="L163">
        <v>490</v>
      </c>
      <c r="M163">
        <v>0</v>
      </c>
      <c r="N163" t="s">
        <v>122</v>
      </c>
      <c r="O163" s="1" t="s">
        <v>123</v>
      </c>
      <c r="AE163" s="1" t="s">
        <v>124</v>
      </c>
      <c r="AF163" t="s">
        <v>1415</v>
      </c>
      <c r="AG163">
        <v>2006</v>
      </c>
      <c r="AH163" t="s">
        <v>126</v>
      </c>
      <c r="AI163" t="s">
        <v>192</v>
      </c>
      <c r="AJ163" t="s">
        <v>150</v>
      </c>
      <c r="AK163" t="s">
        <v>150</v>
      </c>
      <c r="AL163" t="s">
        <v>169</v>
      </c>
      <c r="AM163" t="s">
        <v>150</v>
      </c>
      <c r="AN163" t="s">
        <v>150</v>
      </c>
      <c r="AO163" t="s">
        <v>237</v>
      </c>
      <c r="AP163" t="s">
        <v>226</v>
      </c>
      <c r="AQ163" t="s">
        <v>1428</v>
      </c>
      <c r="AR163" t="s">
        <v>1429</v>
      </c>
      <c r="AS163" t="s">
        <v>1430</v>
      </c>
      <c r="AT163" t="s">
        <v>1431</v>
      </c>
      <c r="AU163" t="s">
        <v>157</v>
      </c>
      <c r="AW163" s="1" t="s">
        <v>123</v>
      </c>
      <c r="AX163" t="s">
        <v>132</v>
      </c>
      <c r="CQ163" s="1" t="s">
        <v>123</v>
      </c>
      <c r="DA163" s="1" t="s">
        <v>123</v>
      </c>
      <c r="DK163" s="1" t="s">
        <v>123</v>
      </c>
      <c r="EN163" s="1" t="s">
        <v>123</v>
      </c>
      <c r="FN163" s="1" t="s">
        <v>123</v>
      </c>
      <c r="GV163" t="s">
        <v>1432</v>
      </c>
      <c r="GW163" t="s">
        <v>1433</v>
      </c>
      <c r="GX163" t="s">
        <v>1434</v>
      </c>
      <c r="GY163" t="s">
        <v>186</v>
      </c>
      <c r="GZ163">
        <v>1982</v>
      </c>
      <c r="HA163" t="s">
        <v>141</v>
      </c>
    </row>
    <row r="164" spans="1:213" x14ac:dyDescent="0.45">
      <c r="A164">
        <v>163</v>
      </c>
      <c r="B164" t="str">
        <f>_xlfn.IFNA(VLOOKUP(Wszystkie[[#This Row],[Zakończono wypełnianie]],Zakończone[],2,0),"BRAK")</f>
        <v>BRAK</v>
      </c>
      <c r="C164" t="s">
        <v>1331</v>
      </c>
      <c r="D164" t="s">
        <v>118</v>
      </c>
      <c r="I164" t="s">
        <v>286</v>
      </c>
      <c r="J164" t="s">
        <v>1435</v>
      </c>
      <c r="K164" t="s">
        <v>1435</v>
      </c>
      <c r="L164">
        <v>0</v>
      </c>
      <c r="M164">
        <v>0</v>
      </c>
      <c r="N164" t="s">
        <v>122</v>
      </c>
      <c r="O164" s="1" t="s">
        <v>123</v>
      </c>
      <c r="AE164" s="1" t="s">
        <v>124</v>
      </c>
      <c r="AW164" s="1"/>
      <c r="CQ164" s="1"/>
      <c r="DA164" s="1"/>
      <c r="DK164" s="1"/>
      <c r="EN164" s="1"/>
      <c r="FN164" s="1"/>
    </row>
    <row r="165" spans="1:213" x14ac:dyDescent="0.45">
      <c r="A165">
        <v>164</v>
      </c>
      <c r="B165">
        <f>_xlfn.IFNA(VLOOKUP(Wszystkie[[#This Row],[Zakończono wypełnianie]],Zakończone[],2,0),"BRAK")</f>
        <v>94</v>
      </c>
      <c r="C165" t="s">
        <v>1436</v>
      </c>
      <c r="D165" t="s">
        <v>118</v>
      </c>
      <c r="I165" t="s">
        <v>119</v>
      </c>
      <c r="J165" t="s">
        <v>1437</v>
      </c>
      <c r="K165" t="s">
        <v>1438</v>
      </c>
      <c r="L165">
        <v>880</v>
      </c>
      <c r="M165">
        <v>0</v>
      </c>
      <c r="N165" t="s">
        <v>122</v>
      </c>
      <c r="O165" s="1" t="s">
        <v>123</v>
      </c>
      <c r="AE165" s="1" t="s">
        <v>124</v>
      </c>
      <c r="AF165" t="s">
        <v>1439</v>
      </c>
      <c r="AG165">
        <v>2019</v>
      </c>
      <c r="AH165" t="s">
        <v>148</v>
      </c>
      <c r="AI165" t="s">
        <v>1440</v>
      </c>
      <c r="AJ165" t="s">
        <v>128</v>
      </c>
      <c r="AK165" t="s">
        <v>128</v>
      </c>
      <c r="AL165" t="s">
        <v>150</v>
      </c>
      <c r="AM165" t="s">
        <v>169</v>
      </c>
      <c r="AN165" t="s">
        <v>169</v>
      </c>
      <c r="AO165" t="s">
        <v>1441</v>
      </c>
      <c r="AP165" t="s">
        <v>302</v>
      </c>
      <c r="AQ165" t="s">
        <v>226</v>
      </c>
      <c r="AR165" t="s">
        <v>1442</v>
      </c>
      <c r="AS165" t="s">
        <v>1443</v>
      </c>
      <c r="AT165" t="s">
        <v>1444</v>
      </c>
      <c r="AU165" t="s">
        <v>230</v>
      </c>
      <c r="AW165" s="1" t="s">
        <v>123</v>
      </c>
      <c r="AX165" t="s">
        <v>132</v>
      </c>
      <c r="CQ165" s="1" t="s">
        <v>123</v>
      </c>
      <c r="DA165" s="1" t="s">
        <v>123</v>
      </c>
      <c r="DK165" s="1" t="s">
        <v>123</v>
      </c>
      <c r="EN165" s="1" t="s">
        <v>123</v>
      </c>
      <c r="EO165" t="s">
        <v>178</v>
      </c>
      <c r="FN165" s="1" t="s">
        <v>123</v>
      </c>
      <c r="GV165" t="s">
        <v>1445</v>
      </c>
      <c r="GW165" t="s">
        <v>1446</v>
      </c>
      <c r="GX165" t="s">
        <v>1447</v>
      </c>
      <c r="GY165" t="s">
        <v>140</v>
      </c>
      <c r="GZ165">
        <v>1990</v>
      </c>
      <c r="HA165" t="s">
        <v>398</v>
      </c>
      <c r="HC165" t="s">
        <v>1448</v>
      </c>
      <c r="HD165" t="s">
        <v>1449</v>
      </c>
    </row>
    <row r="166" spans="1:213" x14ac:dyDescent="0.45">
      <c r="A166">
        <v>166</v>
      </c>
      <c r="B166" t="str">
        <f>_xlfn.IFNA(VLOOKUP(Wszystkie[[#This Row],[Zakończono wypełnianie]],Zakończone[],2,0),"BRAK")</f>
        <v>BRAK</v>
      </c>
      <c r="C166" t="s">
        <v>1142</v>
      </c>
      <c r="D166" t="s">
        <v>118</v>
      </c>
      <c r="I166" t="s">
        <v>286</v>
      </c>
      <c r="J166" t="s">
        <v>1458</v>
      </c>
      <c r="K166" t="s">
        <v>1458</v>
      </c>
      <c r="L166">
        <v>0</v>
      </c>
      <c r="M166">
        <v>0</v>
      </c>
      <c r="N166" t="s">
        <v>122</v>
      </c>
      <c r="O166" s="1" t="s">
        <v>123</v>
      </c>
      <c r="AE166" s="1" t="s">
        <v>124</v>
      </c>
      <c r="AW166" s="1"/>
      <c r="CQ166" s="1"/>
      <c r="DA166" s="1"/>
      <c r="DK166" s="1"/>
      <c r="EN166" s="1"/>
      <c r="FN166" s="1"/>
    </row>
    <row r="167" spans="1:213" x14ac:dyDescent="0.45">
      <c r="A167">
        <v>168</v>
      </c>
      <c r="B167" t="str">
        <f>_xlfn.IFNA(VLOOKUP(Wszystkie[[#This Row],[Zakończono wypełnianie]],Zakończone[],2,0),"BRAK")</f>
        <v>BRAK</v>
      </c>
      <c r="C167" t="s">
        <v>1352</v>
      </c>
      <c r="D167" t="s">
        <v>118</v>
      </c>
      <c r="I167" t="s">
        <v>286</v>
      </c>
      <c r="J167" t="s">
        <v>1459</v>
      </c>
      <c r="K167" t="s">
        <v>1459</v>
      </c>
      <c r="L167">
        <v>0</v>
      </c>
      <c r="M167">
        <v>0</v>
      </c>
      <c r="N167" t="s">
        <v>122</v>
      </c>
      <c r="O167" s="1" t="s">
        <v>123</v>
      </c>
      <c r="AE167" s="1" t="s">
        <v>124</v>
      </c>
      <c r="AW167" s="1"/>
      <c r="CQ167" s="1"/>
      <c r="DA167" s="1"/>
      <c r="DK167" s="1"/>
      <c r="EN167" s="1"/>
      <c r="FN167" s="1"/>
    </row>
    <row r="168" spans="1:213" x14ac:dyDescent="0.45">
      <c r="A168">
        <v>170</v>
      </c>
      <c r="B168" t="str">
        <f>_xlfn.IFNA(VLOOKUP(Wszystkie[[#This Row],[Zakończono wypełnianie]],Zakończone[],2,0),"BRAK")</f>
        <v>BRAK</v>
      </c>
      <c r="C168" t="s">
        <v>1352</v>
      </c>
      <c r="D168" t="s">
        <v>118</v>
      </c>
      <c r="I168" t="s">
        <v>286</v>
      </c>
      <c r="J168" t="s">
        <v>1480</v>
      </c>
      <c r="K168" t="s">
        <v>1480</v>
      </c>
      <c r="L168">
        <v>0</v>
      </c>
      <c r="M168">
        <v>0</v>
      </c>
      <c r="N168" t="s">
        <v>122</v>
      </c>
      <c r="O168" s="1" t="s">
        <v>123</v>
      </c>
      <c r="AE168" s="1" t="s">
        <v>124</v>
      </c>
      <c r="AW168" s="1"/>
      <c r="CQ168" s="1"/>
      <c r="DA168" s="1"/>
      <c r="DK168" s="1"/>
      <c r="EN168" s="1"/>
      <c r="FN168" s="1"/>
    </row>
    <row r="169" spans="1:213" x14ac:dyDescent="0.45">
      <c r="A169">
        <v>172</v>
      </c>
      <c r="B169" t="str">
        <f>_xlfn.IFNA(VLOOKUP(Wszystkie[[#This Row],[Zakończono wypełnianie]],Zakończone[],2,0),"BRAK")</f>
        <v>BRAK</v>
      </c>
      <c r="C169" t="s">
        <v>1336</v>
      </c>
      <c r="D169" t="s">
        <v>118</v>
      </c>
      <c r="I169" t="s">
        <v>286</v>
      </c>
      <c r="J169" t="s">
        <v>1490</v>
      </c>
      <c r="K169" t="s">
        <v>1490</v>
      </c>
      <c r="L169">
        <v>0</v>
      </c>
      <c r="M169">
        <v>0</v>
      </c>
      <c r="N169" t="s">
        <v>122</v>
      </c>
      <c r="O169" s="1" t="s">
        <v>123</v>
      </c>
      <c r="AE169" s="1" t="s">
        <v>124</v>
      </c>
      <c r="AW169" s="1"/>
      <c r="CQ169" s="1"/>
      <c r="DA169" s="1"/>
      <c r="DK169" s="1"/>
      <c r="EN169" s="1"/>
      <c r="FN169" s="1"/>
    </row>
    <row r="170" spans="1:213" x14ac:dyDescent="0.45">
      <c r="A170">
        <v>165</v>
      </c>
      <c r="B170">
        <f>_xlfn.IFNA(VLOOKUP(Wszystkie[[#This Row],[Zakończono wypełnianie]],Zakończone[],2,0),"BRAK")</f>
        <v>95</v>
      </c>
      <c r="C170" t="s">
        <v>1352</v>
      </c>
      <c r="D170" t="s">
        <v>118</v>
      </c>
      <c r="I170" t="s">
        <v>119</v>
      </c>
      <c r="J170" t="s">
        <v>1450</v>
      </c>
      <c r="K170" t="s">
        <v>1451</v>
      </c>
      <c r="L170">
        <v>402</v>
      </c>
      <c r="M170">
        <v>0</v>
      </c>
      <c r="N170" t="s">
        <v>122</v>
      </c>
      <c r="O170" s="1" t="s">
        <v>123</v>
      </c>
      <c r="AE170" s="1" t="s">
        <v>124</v>
      </c>
      <c r="AF170" t="s">
        <v>223</v>
      </c>
      <c r="AG170">
        <v>2008</v>
      </c>
      <c r="AH170" t="s">
        <v>148</v>
      </c>
      <c r="AI170" t="s">
        <v>1452</v>
      </c>
      <c r="AJ170" t="s">
        <v>128</v>
      </c>
      <c r="AK170" t="s">
        <v>236</v>
      </c>
      <c r="AL170" t="s">
        <v>129</v>
      </c>
      <c r="AM170" t="s">
        <v>129</v>
      </c>
      <c r="AN170" t="s">
        <v>128</v>
      </c>
      <c r="AO170" t="s">
        <v>237</v>
      </c>
      <c r="AP170" t="s">
        <v>131</v>
      </c>
      <c r="AQ170" t="s">
        <v>131</v>
      </c>
      <c r="AR170" t="s">
        <v>1453</v>
      </c>
      <c r="AS170" t="s">
        <v>1454</v>
      </c>
      <c r="AT170" t="s">
        <v>1005</v>
      </c>
      <c r="AU170" t="s">
        <v>157</v>
      </c>
      <c r="AW170" s="1" t="s">
        <v>123</v>
      </c>
      <c r="AX170" t="s">
        <v>132</v>
      </c>
      <c r="CQ170" s="1" t="s">
        <v>123</v>
      </c>
      <c r="DA170" s="1" t="s">
        <v>123</v>
      </c>
      <c r="DK170" s="1" t="s">
        <v>123</v>
      </c>
      <c r="EN170" s="1" t="s">
        <v>123</v>
      </c>
      <c r="FN170" s="1" t="s">
        <v>123</v>
      </c>
      <c r="GV170" t="s">
        <v>1455</v>
      </c>
      <c r="GW170" t="s">
        <v>1456</v>
      </c>
      <c r="GX170" t="s">
        <v>1457</v>
      </c>
      <c r="GY170" t="s">
        <v>140</v>
      </c>
      <c r="GZ170">
        <v>1984</v>
      </c>
      <c r="HA170" t="s">
        <v>220</v>
      </c>
      <c r="HC170" t="s">
        <v>386</v>
      </c>
      <c r="HD170" t="s">
        <v>386</v>
      </c>
    </row>
    <row r="171" spans="1:213" x14ac:dyDescent="0.45">
      <c r="A171">
        <v>173</v>
      </c>
      <c r="B171" t="str">
        <f>_xlfn.IFNA(VLOOKUP(Wszystkie[[#This Row],[Zakończono wypełnianie]],Zakończone[],2,0),"BRAK")</f>
        <v>BRAK</v>
      </c>
      <c r="C171" t="s">
        <v>1142</v>
      </c>
      <c r="D171" t="s">
        <v>118</v>
      </c>
      <c r="I171" t="s">
        <v>286</v>
      </c>
      <c r="J171" t="s">
        <v>1491</v>
      </c>
      <c r="K171" t="s">
        <v>1491</v>
      </c>
      <c r="L171">
        <v>0</v>
      </c>
      <c r="M171">
        <v>0</v>
      </c>
      <c r="N171" t="s">
        <v>122</v>
      </c>
      <c r="O171" s="1" t="s">
        <v>123</v>
      </c>
      <c r="AE171" s="1" t="s">
        <v>124</v>
      </c>
      <c r="AW171" s="1"/>
      <c r="CQ171" s="1"/>
      <c r="DA171" s="1"/>
      <c r="DK171" s="1"/>
      <c r="EN171" s="1"/>
      <c r="FN171" s="1"/>
    </row>
    <row r="172" spans="1:213" x14ac:dyDescent="0.45">
      <c r="A172">
        <v>169</v>
      </c>
      <c r="B172">
        <f>_xlfn.IFNA(VLOOKUP(Wszystkie[[#This Row],[Zakończono wypełnianie]],Zakończone[],2,0),"BRAK")</f>
        <v>97</v>
      </c>
      <c r="C172" t="s">
        <v>1352</v>
      </c>
      <c r="D172" t="s">
        <v>118</v>
      </c>
      <c r="I172" t="s">
        <v>119</v>
      </c>
      <c r="J172" t="s">
        <v>1470</v>
      </c>
      <c r="K172" t="s">
        <v>1471</v>
      </c>
      <c r="L172">
        <v>495</v>
      </c>
      <c r="M172">
        <v>0</v>
      </c>
      <c r="N172" t="s">
        <v>122</v>
      </c>
      <c r="O172" s="1" t="s">
        <v>123</v>
      </c>
      <c r="AE172" s="1" t="s">
        <v>124</v>
      </c>
      <c r="AF172" t="s">
        <v>1472</v>
      </c>
      <c r="AG172" t="s">
        <v>1473</v>
      </c>
      <c r="AH172" t="s">
        <v>148</v>
      </c>
      <c r="AI172" t="s">
        <v>1474</v>
      </c>
      <c r="AJ172" t="s">
        <v>169</v>
      </c>
      <c r="AK172" t="s">
        <v>169</v>
      </c>
      <c r="AL172" t="s">
        <v>151</v>
      </c>
      <c r="AM172" t="s">
        <v>162</v>
      </c>
      <c r="AN172" t="s">
        <v>162</v>
      </c>
      <c r="AO172" t="s">
        <v>1475</v>
      </c>
      <c r="AP172" t="s">
        <v>132</v>
      </c>
      <c r="AQ172" t="s">
        <v>132</v>
      </c>
      <c r="AR172" t="s">
        <v>1476</v>
      </c>
      <c r="AS172" t="s">
        <v>1477</v>
      </c>
      <c r="AT172" t="s">
        <v>1473</v>
      </c>
      <c r="AU172" t="s">
        <v>157</v>
      </c>
      <c r="AW172" s="1" t="s">
        <v>123</v>
      </c>
      <c r="AX172" t="s">
        <v>132</v>
      </c>
      <c r="CQ172" s="1" t="s">
        <v>123</v>
      </c>
      <c r="DA172" s="1" t="s">
        <v>123</v>
      </c>
      <c r="DK172" s="1" t="s">
        <v>123</v>
      </c>
      <c r="EN172" s="1" t="s">
        <v>123</v>
      </c>
      <c r="FN172" s="1" t="s">
        <v>123</v>
      </c>
      <c r="GV172" t="s">
        <v>1478</v>
      </c>
      <c r="GW172" t="s">
        <v>1478</v>
      </c>
      <c r="GX172" t="s">
        <v>1473</v>
      </c>
      <c r="GY172" t="s">
        <v>140</v>
      </c>
      <c r="GZ172" t="s">
        <v>1473</v>
      </c>
      <c r="HA172" t="s">
        <v>398</v>
      </c>
      <c r="HC172" t="s">
        <v>1479</v>
      </c>
      <c r="HD172" t="s">
        <v>1473</v>
      </c>
      <c r="HE172" t="s">
        <v>1473</v>
      </c>
    </row>
    <row r="173" spans="1:213" x14ac:dyDescent="0.45">
      <c r="A173">
        <v>167</v>
      </c>
      <c r="B173">
        <f>_xlfn.IFNA(VLOOKUP(Wszystkie[[#This Row],[Zakończono wypełnianie]],Zakończone[],2,0),"BRAK")</f>
        <v>96</v>
      </c>
      <c r="C173" t="s">
        <v>1131</v>
      </c>
      <c r="D173" t="s">
        <v>118</v>
      </c>
      <c r="I173" t="s">
        <v>119</v>
      </c>
      <c r="J173" t="s">
        <v>1459</v>
      </c>
      <c r="K173" t="s">
        <v>1460</v>
      </c>
      <c r="L173">
        <v>665</v>
      </c>
      <c r="M173">
        <v>0</v>
      </c>
      <c r="N173" t="s">
        <v>122</v>
      </c>
      <c r="O173" s="1" t="s">
        <v>123</v>
      </c>
      <c r="AE173" s="1" t="s">
        <v>124</v>
      </c>
      <c r="AF173" t="s">
        <v>1461</v>
      </c>
      <c r="AG173">
        <v>2007</v>
      </c>
      <c r="AH173" t="s">
        <v>148</v>
      </c>
      <c r="AI173" t="s">
        <v>1462</v>
      </c>
      <c r="AJ173" t="s">
        <v>162</v>
      </c>
      <c r="AK173" t="s">
        <v>151</v>
      </c>
      <c r="AL173" t="s">
        <v>151</v>
      </c>
      <c r="AM173" t="s">
        <v>150</v>
      </c>
      <c r="AN173" t="s">
        <v>128</v>
      </c>
      <c r="AO173">
        <v>2</v>
      </c>
      <c r="AP173" t="s">
        <v>302</v>
      </c>
      <c r="AQ173" t="s">
        <v>302</v>
      </c>
      <c r="AR173" t="s">
        <v>1463</v>
      </c>
      <c r="AS173" t="s">
        <v>1464</v>
      </c>
      <c r="AT173" t="s">
        <v>1465</v>
      </c>
      <c r="AU173" t="s">
        <v>157</v>
      </c>
      <c r="AW173" s="1" t="s">
        <v>123</v>
      </c>
      <c r="CQ173" s="1" t="s">
        <v>123</v>
      </c>
      <c r="DA173" s="1" t="s">
        <v>123</v>
      </c>
      <c r="DK173" s="1" t="s">
        <v>123</v>
      </c>
      <c r="EN173" s="1" t="s">
        <v>123</v>
      </c>
      <c r="FN173" s="1" t="s">
        <v>123</v>
      </c>
      <c r="GV173" t="s">
        <v>1466</v>
      </c>
      <c r="GW173" t="s">
        <v>1467</v>
      </c>
      <c r="GX173" t="s">
        <v>1468</v>
      </c>
      <c r="GY173" t="s">
        <v>140</v>
      </c>
      <c r="GZ173">
        <v>1982</v>
      </c>
      <c r="HA173" t="s">
        <v>398</v>
      </c>
      <c r="HC173" t="s">
        <v>1469</v>
      </c>
    </row>
    <row r="174" spans="1:213" x14ac:dyDescent="0.45">
      <c r="A174">
        <v>171</v>
      </c>
      <c r="B174">
        <f>_xlfn.IFNA(VLOOKUP(Wszystkie[[#This Row],[Zakończono wypełnianie]],Zakończone[],2,0),"BRAK")</f>
        <v>98</v>
      </c>
      <c r="C174" t="s">
        <v>1336</v>
      </c>
      <c r="D174" t="s">
        <v>118</v>
      </c>
      <c r="I174" t="s">
        <v>119</v>
      </c>
      <c r="J174" t="s">
        <v>1481</v>
      </c>
      <c r="K174" t="s">
        <v>1482</v>
      </c>
      <c r="L174">
        <v>562</v>
      </c>
      <c r="M174">
        <v>0</v>
      </c>
      <c r="N174" t="s">
        <v>122</v>
      </c>
      <c r="O174" s="1" t="s">
        <v>123</v>
      </c>
      <c r="AE174" s="1" t="s">
        <v>124</v>
      </c>
      <c r="AF174" t="s">
        <v>223</v>
      </c>
      <c r="AG174">
        <v>2014</v>
      </c>
      <c r="AH174" t="s">
        <v>148</v>
      </c>
      <c r="AI174" t="s">
        <v>1483</v>
      </c>
      <c r="AJ174" t="s">
        <v>151</v>
      </c>
      <c r="AK174" t="s">
        <v>128</v>
      </c>
      <c r="AL174" t="s">
        <v>128</v>
      </c>
      <c r="AM174" t="s">
        <v>151</v>
      </c>
      <c r="AN174" t="s">
        <v>162</v>
      </c>
      <c r="AO174" t="s">
        <v>1484</v>
      </c>
      <c r="AP174" t="s">
        <v>153</v>
      </c>
      <c r="AQ174" t="s">
        <v>153</v>
      </c>
      <c r="AS174" t="s">
        <v>1485</v>
      </c>
      <c r="AT174" t="s">
        <v>1486</v>
      </c>
      <c r="AU174" t="s">
        <v>172</v>
      </c>
      <c r="AW174" s="1" t="s">
        <v>123</v>
      </c>
      <c r="AX174" t="s">
        <v>132</v>
      </c>
      <c r="CQ174" s="1" t="s">
        <v>123</v>
      </c>
      <c r="DA174" s="1" t="s">
        <v>123</v>
      </c>
      <c r="DK174" s="1" t="s">
        <v>123</v>
      </c>
      <c r="EN174" s="1" t="s">
        <v>123</v>
      </c>
      <c r="FN174" s="1" t="s">
        <v>123</v>
      </c>
      <c r="GV174" t="s">
        <v>1487</v>
      </c>
      <c r="GW174" t="s">
        <v>1488</v>
      </c>
      <c r="GX174" t="s">
        <v>1489</v>
      </c>
      <c r="GY174" t="s">
        <v>140</v>
      </c>
      <c r="GZ174">
        <v>1991</v>
      </c>
      <c r="HA174" t="s">
        <v>141</v>
      </c>
    </row>
    <row r="175" spans="1:213" x14ac:dyDescent="0.45">
      <c r="A175">
        <v>174</v>
      </c>
      <c r="B175" t="str">
        <f>_xlfn.IFNA(VLOOKUP(Wszystkie[[#This Row],[Zakończono wypełnianie]],Zakończone[],2,0),"BRAK")</f>
        <v>BRAK</v>
      </c>
      <c r="C175" t="s">
        <v>1352</v>
      </c>
      <c r="D175" t="s">
        <v>118</v>
      </c>
      <c r="I175" t="s">
        <v>286</v>
      </c>
      <c r="J175" t="s">
        <v>1492</v>
      </c>
      <c r="K175" t="s">
        <v>1492</v>
      </c>
      <c r="L175">
        <v>0</v>
      </c>
      <c r="M175">
        <v>0</v>
      </c>
      <c r="N175" t="s">
        <v>122</v>
      </c>
      <c r="O175" s="1" t="s">
        <v>123</v>
      </c>
      <c r="AE175" s="1" t="s">
        <v>124</v>
      </c>
      <c r="AW175" s="1"/>
      <c r="CQ175" s="1"/>
      <c r="DA175" s="1"/>
      <c r="DK175" s="1"/>
      <c r="EN175" s="1"/>
      <c r="FN175" s="1"/>
    </row>
    <row r="176" spans="1:213" x14ac:dyDescent="0.45">
      <c r="A176">
        <v>176</v>
      </c>
      <c r="B176" t="str">
        <f>_xlfn.IFNA(VLOOKUP(Wszystkie[[#This Row],[Zakończono wypełnianie]],Zakończone[],2,0),"BRAK")</f>
        <v>BRAK</v>
      </c>
      <c r="C176" t="s">
        <v>1131</v>
      </c>
      <c r="D176" t="s">
        <v>118</v>
      </c>
      <c r="I176" t="s">
        <v>286</v>
      </c>
      <c r="J176" t="s">
        <v>1498</v>
      </c>
      <c r="K176" t="s">
        <v>1498</v>
      </c>
      <c r="L176">
        <v>0</v>
      </c>
      <c r="M176">
        <v>0</v>
      </c>
      <c r="N176" t="s">
        <v>122</v>
      </c>
      <c r="O176" s="1" t="s">
        <v>123</v>
      </c>
      <c r="AE176" s="1" t="s">
        <v>124</v>
      </c>
      <c r="AW176" s="1"/>
      <c r="CQ176" s="1"/>
      <c r="DA176" s="1"/>
      <c r="DK176" s="1"/>
      <c r="EN176" s="1"/>
      <c r="FN176" s="1"/>
    </row>
    <row r="177" spans="1:213" x14ac:dyDescent="0.45">
      <c r="A177">
        <v>177</v>
      </c>
      <c r="B177" t="str">
        <f>_xlfn.IFNA(VLOOKUP(Wszystkie[[#This Row],[Zakończono wypełnianie]],Zakończone[],2,0),"BRAK")</f>
        <v>BRAK</v>
      </c>
      <c r="C177" t="s">
        <v>1499</v>
      </c>
      <c r="D177" t="s">
        <v>118</v>
      </c>
      <c r="I177" t="s">
        <v>286</v>
      </c>
      <c r="J177" t="s">
        <v>1500</v>
      </c>
      <c r="K177" t="s">
        <v>1500</v>
      </c>
      <c r="L177">
        <v>0</v>
      </c>
      <c r="M177">
        <v>0</v>
      </c>
      <c r="N177" t="s">
        <v>122</v>
      </c>
      <c r="O177" s="1" t="s">
        <v>123</v>
      </c>
      <c r="AE177" s="1" t="s">
        <v>124</v>
      </c>
      <c r="AW177" s="1"/>
      <c r="CQ177" s="1"/>
      <c r="DA177" s="1"/>
      <c r="DK177" s="1"/>
      <c r="EN177" s="1"/>
      <c r="FN177" s="1"/>
    </row>
    <row r="178" spans="1:213" x14ac:dyDescent="0.45">
      <c r="A178">
        <v>175</v>
      </c>
      <c r="B178">
        <f>_xlfn.IFNA(VLOOKUP(Wszystkie[[#This Row],[Zakończono wypełnianie]],Zakończone[],2,0),"BRAK")</f>
        <v>99</v>
      </c>
      <c r="C178" t="s">
        <v>1131</v>
      </c>
      <c r="D178" t="s">
        <v>118</v>
      </c>
      <c r="I178" t="s">
        <v>119</v>
      </c>
      <c r="J178" t="s">
        <v>1493</v>
      </c>
      <c r="K178" t="s">
        <v>1494</v>
      </c>
      <c r="L178">
        <v>2185</v>
      </c>
      <c r="M178">
        <v>0</v>
      </c>
      <c r="N178" t="s">
        <v>122</v>
      </c>
      <c r="O178" s="1" t="s">
        <v>123</v>
      </c>
      <c r="AE178" s="1" t="s">
        <v>124</v>
      </c>
      <c r="AF178" t="s">
        <v>223</v>
      </c>
      <c r="AG178">
        <v>2005</v>
      </c>
      <c r="AH178" t="s">
        <v>148</v>
      </c>
      <c r="AI178" t="s">
        <v>1495</v>
      </c>
      <c r="AJ178" t="s">
        <v>150</v>
      </c>
      <c r="AK178" t="s">
        <v>169</v>
      </c>
      <c r="AL178" t="s">
        <v>169</v>
      </c>
      <c r="AM178" t="s">
        <v>169</v>
      </c>
      <c r="AN178" t="s">
        <v>150</v>
      </c>
      <c r="AO178" t="s">
        <v>237</v>
      </c>
      <c r="AP178" t="s">
        <v>131</v>
      </c>
      <c r="AQ178" t="s">
        <v>302</v>
      </c>
      <c r="AS178" t="s">
        <v>1496</v>
      </c>
      <c r="AT178" t="s">
        <v>386</v>
      </c>
      <c r="AU178" t="s">
        <v>230</v>
      </c>
      <c r="AW178" s="1" t="s">
        <v>123</v>
      </c>
      <c r="CQ178" s="1" t="s">
        <v>123</v>
      </c>
      <c r="DA178" s="1" t="s">
        <v>123</v>
      </c>
      <c r="DK178" s="1" t="s">
        <v>123</v>
      </c>
      <c r="EN178" s="1" t="s">
        <v>123</v>
      </c>
      <c r="EO178" t="s">
        <v>178</v>
      </c>
      <c r="FN178" s="1" t="s">
        <v>123</v>
      </c>
      <c r="GV178" t="s">
        <v>1497</v>
      </c>
      <c r="GW178" t="s">
        <v>1497</v>
      </c>
      <c r="GX178" t="s">
        <v>1497</v>
      </c>
      <c r="GY178" t="s">
        <v>186</v>
      </c>
      <c r="GZ178">
        <v>1981</v>
      </c>
      <c r="HA178" t="s">
        <v>246</v>
      </c>
    </row>
    <row r="179" spans="1:213" x14ac:dyDescent="0.45">
      <c r="A179">
        <v>178</v>
      </c>
      <c r="B179">
        <f>_xlfn.IFNA(VLOOKUP(Wszystkie[[#This Row],[Zakończono wypełnianie]],Zakończone[],2,0),"BRAK")</f>
        <v>100</v>
      </c>
      <c r="C179" t="s">
        <v>1131</v>
      </c>
      <c r="D179" t="s">
        <v>118</v>
      </c>
      <c r="I179" t="s">
        <v>119</v>
      </c>
      <c r="J179" t="s">
        <v>1501</v>
      </c>
      <c r="K179" t="s">
        <v>1502</v>
      </c>
      <c r="L179">
        <v>1485</v>
      </c>
      <c r="M179">
        <v>0</v>
      </c>
      <c r="N179" t="s">
        <v>122</v>
      </c>
      <c r="O179" s="1" t="s">
        <v>123</v>
      </c>
      <c r="AE179" s="1" t="s">
        <v>124</v>
      </c>
      <c r="AF179" t="s">
        <v>1503</v>
      </c>
      <c r="AG179">
        <v>2016</v>
      </c>
      <c r="AH179" t="s">
        <v>148</v>
      </c>
      <c r="AI179" t="s">
        <v>1504</v>
      </c>
      <c r="AJ179" t="s">
        <v>150</v>
      </c>
      <c r="AK179" t="s">
        <v>151</v>
      </c>
      <c r="AL179" t="s">
        <v>162</v>
      </c>
      <c r="AM179" t="s">
        <v>150</v>
      </c>
      <c r="AN179" t="s">
        <v>169</v>
      </c>
      <c r="AO179">
        <v>4</v>
      </c>
      <c r="AP179" t="s">
        <v>302</v>
      </c>
      <c r="AQ179" t="s">
        <v>153</v>
      </c>
      <c r="AR179" t="s">
        <v>1505</v>
      </c>
      <c r="AS179" t="s">
        <v>1506</v>
      </c>
      <c r="AT179" t="s">
        <v>1507</v>
      </c>
      <c r="AU179" t="s">
        <v>157</v>
      </c>
      <c r="AW179" s="1" t="s">
        <v>123</v>
      </c>
      <c r="AX179" t="s">
        <v>132</v>
      </c>
      <c r="CQ179" s="1" t="s">
        <v>123</v>
      </c>
      <c r="DA179" s="1" t="s">
        <v>123</v>
      </c>
      <c r="DK179" s="1" t="s">
        <v>123</v>
      </c>
      <c r="EN179" s="1" t="s">
        <v>123</v>
      </c>
      <c r="FN179" s="1" t="s">
        <v>123</v>
      </c>
      <c r="GV179" t="s">
        <v>1508</v>
      </c>
      <c r="GW179" t="s">
        <v>1509</v>
      </c>
      <c r="GX179" t="s">
        <v>1510</v>
      </c>
      <c r="GY179" t="s">
        <v>186</v>
      </c>
      <c r="GZ179">
        <v>1991</v>
      </c>
      <c r="HA179" t="s">
        <v>398</v>
      </c>
    </row>
    <row r="180" spans="1:213" x14ac:dyDescent="0.45">
      <c r="A180">
        <v>180</v>
      </c>
      <c r="B180" t="str">
        <f>_xlfn.IFNA(VLOOKUP(Wszystkie[[#This Row],[Zakończono wypełnianie]],Zakończone[],2,0),"BRAK")</f>
        <v>BRAK</v>
      </c>
      <c r="C180" t="s">
        <v>1142</v>
      </c>
      <c r="D180" t="s">
        <v>118</v>
      </c>
      <c r="I180" t="s">
        <v>286</v>
      </c>
      <c r="J180" t="s">
        <v>1527</v>
      </c>
      <c r="K180" t="s">
        <v>1527</v>
      </c>
      <c r="L180">
        <v>0</v>
      </c>
      <c r="M180">
        <v>0</v>
      </c>
      <c r="N180" t="s">
        <v>122</v>
      </c>
      <c r="O180" s="1" t="s">
        <v>123</v>
      </c>
      <c r="AE180" s="1" t="s">
        <v>124</v>
      </c>
      <c r="AW180" s="1"/>
      <c r="CQ180" s="1"/>
      <c r="DA180" s="1"/>
      <c r="DK180" s="1"/>
      <c r="EN180" s="1"/>
      <c r="FN180" s="1"/>
    </row>
    <row r="181" spans="1:213" x14ac:dyDescent="0.45">
      <c r="A181">
        <v>179</v>
      </c>
      <c r="B181">
        <f>_xlfn.IFNA(VLOOKUP(Wszystkie[[#This Row],[Zakończono wypełnianie]],Zakończone[],2,0),"BRAK")</f>
        <v>101</v>
      </c>
      <c r="C181" t="s">
        <v>1511</v>
      </c>
      <c r="D181" t="s">
        <v>118</v>
      </c>
      <c r="I181" t="s">
        <v>119</v>
      </c>
      <c r="J181" t="s">
        <v>1512</v>
      </c>
      <c r="K181" t="s">
        <v>1513</v>
      </c>
      <c r="L181">
        <v>2685</v>
      </c>
      <c r="M181">
        <v>0</v>
      </c>
      <c r="N181" t="s">
        <v>122</v>
      </c>
      <c r="O181" s="1" t="s">
        <v>123</v>
      </c>
      <c r="AE181" s="1" t="s">
        <v>124</v>
      </c>
      <c r="AF181" t="s">
        <v>1514</v>
      </c>
      <c r="AG181">
        <v>1996</v>
      </c>
      <c r="AH181" t="s">
        <v>148</v>
      </c>
      <c r="AI181" t="s">
        <v>1515</v>
      </c>
      <c r="AJ181" t="s">
        <v>162</v>
      </c>
      <c r="AK181" t="s">
        <v>151</v>
      </c>
      <c r="AL181" t="s">
        <v>162</v>
      </c>
      <c r="AM181" t="s">
        <v>162</v>
      </c>
      <c r="AN181" t="s">
        <v>151</v>
      </c>
      <c r="AO181" t="s">
        <v>1516</v>
      </c>
      <c r="AP181" t="s">
        <v>194</v>
      </c>
      <c r="AQ181" t="s">
        <v>194</v>
      </c>
      <c r="AR181" t="s">
        <v>1517</v>
      </c>
      <c r="AS181" t="s">
        <v>1518</v>
      </c>
      <c r="AT181" t="s">
        <v>1519</v>
      </c>
      <c r="AU181" t="s">
        <v>172</v>
      </c>
      <c r="AW181" s="1" t="s">
        <v>123</v>
      </c>
      <c r="AX181" t="s">
        <v>132</v>
      </c>
      <c r="CQ181" s="1" t="s">
        <v>123</v>
      </c>
      <c r="DA181" s="1" t="s">
        <v>123</v>
      </c>
      <c r="DK181" s="1" t="s">
        <v>123</v>
      </c>
      <c r="EN181" s="1" t="s">
        <v>177</v>
      </c>
      <c r="EO181" t="s">
        <v>180</v>
      </c>
      <c r="EP181">
        <v>1</v>
      </c>
      <c r="EQ181" t="s">
        <v>1520</v>
      </c>
      <c r="ER181" t="s">
        <v>150</v>
      </c>
      <c r="ES181" t="s">
        <v>162</v>
      </c>
      <c r="ET181" t="s">
        <v>162</v>
      </c>
      <c r="EU181" t="s">
        <v>178</v>
      </c>
      <c r="EV181" t="s">
        <v>1521</v>
      </c>
      <c r="EW181" t="s">
        <v>1522</v>
      </c>
      <c r="EX181" t="s">
        <v>173</v>
      </c>
      <c r="FN181" s="1" t="s">
        <v>123</v>
      </c>
      <c r="GV181" t="s">
        <v>1523</v>
      </c>
      <c r="GW181" t="s">
        <v>1524</v>
      </c>
      <c r="GX181" t="s">
        <v>1525</v>
      </c>
      <c r="GY181" t="s">
        <v>186</v>
      </c>
      <c r="GZ181">
        <v>1974</v>
      </c>
      <c r="HA181" t="s">
        <v>398</v>
      </c>
      <c r="HC181" t="s">
        <v>1526</v>
      </c>
    </row>
    <row r="182" spans="1:213" x14ac:dyDescent="0.45">
      <c r="A182">
        <v>181</v>
      </c>
      <c r="B182">
        <f>_xlfn.IFNA(VLOOKUP(Wszystkie[[#This Row],[Zakończono wypełnianie]],Zakończone[],2,0),"BRAK")</f>
        <v>102</v>
      </c>
      <c r="C182" t="s">
        <v>1336</v>
      </c>
      <c r="D182" t="s">
        <v>118</v>
      </c>
      <c r="I182" t="s">
        <v>119</v>
      </c>
      <c r="J182" t="s">
        <v>1528</v>
      </c>
      <c r="K182" t="s">
        <v>1529</v>
      </c>
      <c r="L182">
        <v>426</v>
      </c>
      <c r="M182">
        <v>0</v>
      </c>
      <c r="N182" t="s">
        <v>122</v>
      </c>
      <c r="O182" s="1" t="s">
        <v>416</v>
      </c>
      <c r="P182" t="s">
        <v>1439</v>
      </c>
      <c r="Q182" t="s">
        <v>126</v>
      </c>
      <c r="R182" t="s">
        <v>1530</v>
      </c>
      <c r="S182" t="s">
        <v>151</v>
      </c>
      <c r="T182" t="s">
        <v>162</v>
      </c>
      <c r="U182" t="s">
        <v>128</v>
      </c>
      <c r="V182" t="s">
        <v>1531</v>
      </c>
      <c r="W182" t="s">
        <v>194</v>
      </c>
      <c r="X182" t="s">
        <v>194</v>
      </c>
      <c r="Y182" t="s">
        <v>1532</v>
      </c>
      <c r="Z182" t="s">
        <v>1533</v>
      </c>
      <c r="AA182" t="s">
        <v>1534</v>
      </c>
      <c r="AB182" t="s">
        <v>892</v>
      </c>
      <c r="AD182">
        <v>7</v>
      </c>
      <c r="AE182" s="1" t="s">
        <v>123</v>
      </c>
      <c r="AW182" s="1" t="s">
        <v>123</v>
      </c>
      <c r="AX182" t="s">
        <v>132</v>
      </c>
      <c r="CQ182" s="1" t="s">
        <v>123</v>
      </c>
      <c r="DA182" s="1" t="s">
        <v>123</v>
      </c>
      <c r="DK182" s="1" t="s">
        <v>123</v>
      </c>
      <c r="EN182" s="1" t="s">
        <v>123</v>
      </c>
      <c r="EO182" t="s">
        <v>178</v>
      </c>
      <c r="EP182" t="s">
        <v>132</v>
      </c>
      <c r="FN182" s="1" t="s">
        <v>123</v>
      </c>
      <c r="GV182" t="s">
        <v>1535</v>
      </c>
      <c r="GW182" t="s">
        <v>1536</v>
      </c>
      <c r="GX182" t="s">
        <v>1537</v>
      </c>
      <c r="GY182" t="s">
        <v>140</v>
      </c>
      <c r="GZ182">
        <v>1991</v>
      </c>
      <c r="HA182" t="s">
        <v>141</v>
      </c>
      <c r="HC182" t="s">
        <v>1538</v>
      </c>
      <c r="HD182" t="s">
        <v>1539</v>
      </c>
    </row>
    <row r="183" spans="1:213" x14ac:dyDescent="0.45">
      <c r="A183">
        <v>182</v>
      </c>
      <c r="B183">
        <f>_xlfn.IFNA(VLOOKUP(Wszystkie[[#This Row],[Zakończono wypełnianie]],Zakończone[],2,0),"BRAK")</f>
        <v>103</v>
      </c>
      <c r="C183" t="s">
        <v>1540</v>
      </c>
      <c r="D183" t="s">
        <v>118</v>
      </c>
      <c r="I183" t="s">
        <v>119</v>
      </c>
      <c r="J183" t="s">
        <v>1541</v>
      </c>
      <c r="K183" t="s">
        <v>1542</v>
      </c>
      <c r="L183">
        <v>193</v>
      </c>
      <c r="M183">
        <v>0</v>
      </c>
      <c r="N183" t="s">
        <v>122</v>
      </c>
      <c r="O183" s="1" t="s">
        <v>123</v>
      </c>
      <c r="AE183" s="1" t="s">
        <v>124</v>
      </c>
      <c r="AF183" t="s">
        <v>1543</v>
      </c>
      <c r="AG183">
        <v>2013</v>
      </c>
      <c r="AH183" t="s">
        <v>126</v>
      </c>
      <c r="AI183" t="s">
        <v>1544</v>
      </c>
      <c r="AJ183" t="s">
        <v>236</v>
      </c>
      <c r="AK183" t="s">
        <v>236</v>
      </c>
      <c r="AL183" t="s">
        <v>162</v>
      </c>
      <c r="AM183" t="s">
        <v>236</v>
      </c>
      <c r="AN183" t="s">
        <v>236</v>
      </c>
      <c r="AO183">
        <v>1</v>
      </c>
      <c r="AP183" t="s">
        <v>131</v>
      </c>
      <c r="AQ183" t="s">
        <v>302</v>
      </c>
      <c r="AS183" t="s">
        <v>267</v>
      </c>
      <c r="AT183" t="s">
        <v>267</v>
      </c>
      <c r="AU183" t="s">
        <v>157</v>
      </c>
      <c r="AW183" s="1" t="s">
        <v>123</v>
      </c>
      <c r="AX183" t="s">
        <v>132</v>
      </c>
      <c r="CQ183" s="1" t="s">
        <v>123</v>
      </c>
      <c r="DA183" s="1" t="s">
        <v>123</v>
      </c>
      <c r="DK183" s="1" t="s">
        <v>123</v>
      </c>
      <c r="EN183" s="1" t="s">
        <v>123</v>
      </c>
      <c r="FN183" s="1" t="s">
        <v>123</v>
      </c>
      <c r="GV183" t="s">
        <v>267</v>
      </c>
      <c r="GW183" t="s">
        <v>267</v>
      </c>
      <c r="GX183" t="s">
        <v>267</v>
      </c>
      <c r="GY183" t="s">
        <v>186</v>
      </c>
      <c r="GZ183">
        <v>1989</v>
      </c>
      <c r="HA183" t="s">
        <v>141</v>
      </c>
      <c r="HC183" t="s">
        <v>267</v>
      </c>
      <c r="HD183" t="s">
        <v>267</v>
      </c>
      <c r="HE183" t="s">
        <v>267</v>
      </c>
    </row>
    <row r="184" spans="1:213" x14ac:dyDescent="0.45">
      <c r="A184">
        <v>185</v>
      </c>
      <c r="B184" t="str">
        <f>_xlfn.IFNA(VLOOKUP(Wszystkie[[#This Row],[Zakończono wypełnianie]],Zakończone[],2,0),"BRAK")</f>
        <v>BRAK</v>
      </c>
      <c r="C184" t="s">
        <v>1142</v>
      </c>
      <c r="D184" t="s">
        <v>118</v>
      </c>
      <c r="I184" t="s">
        <v>286</v>
      </c>
      <c r="J184" t="s">
        <v>1567</v>
      </c>
      <c r="K184" t="s">
        <v>1567</v>
      </c>
      <c r="L184">
        <v>0</v>
      </c>
      <c r="M184">
        <v>0</v>
      </c>
      <c r="N184" t="s">
        <v>122</v>
      </c>
      <c r="O184" s="1" t="s">
        <v>123</v>
      </c>
      <c r="AE184" s="1" t="s">
        <v>124</v>
      </c>
      <c r="AF184" t="s">
        <v>1503</v>
      </c>
      <c r="AG184">
        <v>2010</v>
      </c>
      <c r="AH184" t="s">
        <v>126</v>
      </c>
      <c r="AI184" t="s">
        <v>1568</v>
      </c>
      <c r="AJ184" t="s">
        <v>128</v>
      </c>
      <c r="AK184" t="s">
        <v>151</v>
      </c>
      <c r="AL184" t="s">
        <v>151</v>
      </c>
      <c r="AM184" t="s">
        <v>128</v>
      </c>
      <c r="AN184" t="s">
        <v>151</v>
      </c>
      <c r="AO184" t="s">
        <v>1569</v>
      </c>
      <c r="AP184" t="s">
        <v>131</v>
      </c>
      <c r="AQ184" t="s">
        <v>302</v>
      </c>
      <c r="AS184" t="s">
        <v>1570</v>
      </c>
      <c r="AT184" t="s">
        <v>532</v>
      </c>
      <c r="AV184" t="s">
        <v>1571</v>
      </c>
      <c r="AW184" s="1" t="s">
        <v>123</v>
      </c>
      <c r="CQ184" s="1" t="s">
        <v>123</v>
      </c>
      <c r="DA184" s="1" t="s">
        <v>123</v>
      </c>
      <c r="DK184" s="1" t="s">
        <v>123</v>
      </c>
      <c r="EN184" s="1" t="s">
        <v>123</v>
      </c>
      <c r="FN184" s="1" t="s">
        <v>123</v>
      </c>
    </row>
    <row r="185" spans="1:213" x14ac:dyDescent="0.45">
      <c r="A185">
        <v>186</v>
      </c>
      <c r="B185" t="str">
        <f>_xlfn.IFNA(VLOOKUP(Wszystkie[[#This Row],[Zakończono wypełnianie]],Zakończone[],2,0),"BRAK")</f>
        <v>BRAK</v>
      </c>
      <c r="C185" t="s">
        <v>1572</v>
      </c>
      <c r="D185" t="s">
        <v>118</v>
      </c>
      <c r="I185" t="s">
        <v>286</v>
      </c>
      <c r="J185" t="s">
        <v>1573</v>
      </c>
      <c r="K185" t="s">
        <v>1573</v>
      </c>
      <c r="L185">
        <v>0</v>
      </c>
      <c r="M185">
        <v>0</v>
      </c>
      <c r="N185" t="s">
        <v>122</v>
      </c>
      <c r="O185" s="1" t="s">
        <v>123</v>
      </c>
      <c r="AE185" s="1" t="s">
        <v>124</v>
      </c>
      <c r="AW185" s="1"/>
      <c r="CQ185" s="1"/>
      <c r="DA185" s="1"/>
      <c r="DK185" s="1"/>
      <c r="EN185" s="1"/>
      <c r="FN185" s="1"/>
    </row>
    <row r="186" spans="1:213" x14ac:dyDescent="0.45">
      <c r="A186">
        <v>187</v>
      </c>
      <c r="B186">
        <f>_xlfn.IFNA(VLOOKUP(Wszystkie[[#This Row],[Zakończono wypełnianie]],Zakończone[],2,0),"BRAK")</f>
        <v>106</v>
      </c>
      <c r="C186" t="s">
        <v>1574</v>
      </c>
      <c r="D186" t="s">
        <v>118</v>
      </c>
      <c r="I186" t="s">
        <v>119</v>
      </c>
      <c r="J186" t="s">
        <v>1575</v>
      </c>
      <c r="K186" t="s">
        <v>1576</v>
      </c>
      <c r="L186">
        <v>701</v>
      </c>
      <c r="M186">
        <v>0</v>
      </c>
      <c r="N186" t="s">
        <v>122</v>
      </c>
      <c r="O186" s="1" t="s">
        <v>123</v>
      </c>
      <c r="AE186" s="1" t="s">
        <v>124</v>
      </c>
      <c r="AF186" t="s">
        <v>191</v>
      </c>
      <c r="AG186" t="s">
        <v>1577</v>
      </c>
      <c r="AH186" t="s">
        <v>126</v>
      </c>
      <c r="AI186" t="s">
        <v>1578</v>
      </c>
      <c r="AJ186" t="s">
        <v>162</v>
      </c>
      <c r="AK186" t="s">
        <v>162</v>
      </c>
      <c r="AL186" t="s">
        <v>151</v>
      </c>
      <c r="AM186" t="s">
        <v>162</v>
      </c>
      <c r="AN186" t="s">
        <v>151</v>
      </c>
      <c r="AO186" t="s">
        <v>530</v>
      </c>
      <c r="AP186" t="s">
        <v>302</v>
      </c>
      <c r="AQ186" t="s">
        <v>302</v>
      </c>
      <c r="AS186" t="s">
        <v>1579</v>
      </c>
      <c r="AT186" t="s">
        <v>1580</v>
      </c>
      <c r="AU186" t="s">
        <v>157</v>
      </c>
      <c r="AV186" t="s">
        <v>1581</v>
      </c>
      <c r="AW186" s="1" t="s">
        <v>123</v>
      </c>
      <c r="CQ186" s="1" t="s">
        <v>123</v>
      </c>
      <c r="DA186" s="1" t="s">
        <v>123</v>
      </c>
      <c r="DK186" s="1" t="s">
        <v>123</v>
      </c>
      <c r="EN186" s="1" t="s">
        <v>123</v>
      </c>
      <c r="FN186" s="1" t="s">
        <v>123</v>
      </c>
      <c r="GV186" t="s">
        <v>1582</v>
      </c>
      <c r="GW186" t="s">
        <v>1583</v>
      </c>
      <c r="GX186" t="s">
        <v>1584</v>
      </c>
      <c r="GY186" t="s">
        <v>140</v>
      </c>
      <c r="GZ186">
        <v>1985</v>
      </c>
      <c r="HA186" t="s">
        <v>220</v>
      </c>
      <c r="HC186" t="s">
        <v>1585</v>
      </c>
      <c r="HD186" t="s">
        <v>1586</v>
      </c>
    </row>
    <row r="187" spans="1:213" x14ac:dyDescent="0.45">
      <c r="A187">
        <v>190</v>
      </c>
      <c r="B187" t="str">
        <f>_xlfn.IFNA(VLOOKUP(Wszystkie[[#This Row],[Zakończono wypełnianie]],Zakończone[],2,0),"BRAK")</f>
        <v>BRAK</v>
      </c>
      <c r="C187" t="s">
        <v>1616</v>
      </c>
      <c r="D187" t="s">
        <v>118</v>
      </c>
      <c r="I187" t="s">
        <v>286</v>
      </c>
      <c r="J187" t="s">
        <v>1617</v>
      </c>
      <c r="K187" t="s">
        <v>1617</v>
      </c>
      <c r="L187">
        <v>0</v>
      </c>
      <c r="M187">
        <v>0</v>
      </c>
      <c r="N187" t="s">
        <v>122</v>
      </c>
      <c r="O187" s="1" t="s">
        <v>123</v>
      </c>
      <c r="AE187" s="1" t="s">
        <v>124</v>
      </c>
      <c r="AW187" s="1"/>
      <c r="CQ187" s="1"/>
      <c r="DA187" s="1"/>
      <c r="DK187" s="1"/>
      <c r="EN187" s="1"/>
      <c r="FN187" s="1"/>
    </row>
    <row r="188" spans="1:213" x14ac:dyDescent="0.45">
      <c r="A188">
        <v>184</v>
      </c>
      <c r="B188">
        <f>_xlfn.IFNA(VLOOKUP(Wszystkie[[#This Row],[Zakończono wypełnianie]],Zakończone[],2,0),"BRAK")</f>
        <v>105</v>
      </c>
      <c r="C188" t="s">
        <v>1555</v>
      </c>
      <c r="D188" t="s">
        <v>118</v>
      </c>
      <c r="I188" t="s">
        <v>119</v>
      </c>
      <c r="J188" t="s">
        <v>1556</v>
      </c>
      <c r="K188" t="s">
        <v>1557</v>
      </c>
      <c r="L188">
        <v>1119</v>
      </c>
      <c r="M188">
        <v>0</v>
      </c>
      <c r="N188" t="s">
        <v>122</v>
      </c>
      <c r="O188" s="1" t="s">
        <v>123</v>
      </c>
      <c r="AE188" s="1" t="s">
        <v>124</v>
      </c>
      <c r="AF188" t="s">
        <v>191</v>
      </c>
      <c r="AG188">
        <v>1997</v>
      </c>
      <c r="AH188" t="s">
        <v>126</v>
      </c>
      <c r="AI188" t="s">
        <v>1558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1559</v>
      </c>
      <c r="AP188" t="s">
        <v>132</v>
      </c>
      <c r="AQ188" t="s">
        <v>132</v>
      </c>
      <c r="AR188" t="s">
        <v>1560</v>
      </c>
      <c r="AS188" t="s">
        <v>1561</v>
      </c>
      <c r="AT188" t="s">
        <v>1562</v>
      </c>
      <c r="AU188" t="s">
        <v>172</v>
      </c>
      <c r="AW188" s="1" t="s">
        <v>123</v>
      </c>
      <c r="AX188" t="s">
        <v>132</v>
      </c>
      <c r="CQ188" s="1" t="s">
        <v>123</v>
      </c>
      <c r="DA188" s="1" t="s">
        <v>123</v>
      </c>
      <c r="DK188" s="1" t="s">
        <v>123</v>
      </c>
      <c r="EN188" s="1" t="s">
        <v>123</v>
      </c>
      <c r="FN188" s="1" t="s">
        <v>123</v>
      </c>
      <c r="GV188" t="s">
        <v>1563</v>
      </c>
      <c r="GW188" t="s">
        <v>1564</v>
      </c>
      <c r="GX188" t="s">
        <v>1565</v>
      </c>
      <c r="GY188" t="s">
        <v>186</v>
      </c>
      <c r="GZ188">
        <v>1972</v>
      </c>
      <c r="HA188" t="s">
        <v>483</v>
      </c>
      <c r="HC188" t="s">
        <v>1566</v>
      </c>
      <c r="HD188" t="s">
        <v>142</v>
      </c>
    </row>
    <row r="189" spans="1:213" x14ac:dyDescent="0.45">
      <c r="A189">
        <v>183</v>
      </c>
      <c r="B189">
        <f>_xlfn.IFNA(VLOOKUP(Wszystkie[[#This Row],[Zakończono wypełnianie]],Zakończone[],2,0),"BRAK")</f>
        <v>104</v>
      </c>
      <c r="C189" t="s">
        <v>1545</v>
      </c>
      <c r="D189" t="s">
        <v>118</v>
      </c>
      <c r="I189" t="s">
        <v>119</v>
      </c>
      <c r="J189" t="s">
        <v>1546</v>
      </c>
      <c r="K189" t="s">
        <v>1547</v>
      </c>
      <c r="L189">
        <v>1556</v>
      </c>
      <c r="M189">
        <v>0</v>
      </c>
      <c r="N189" t="s">
        <v>122</v>
      </c>
      <c r="O189" s="1" t="s">
        <v>123</v>
      </c>
      <c r="AE189" s="1" t="s">
        <v>124</v>
      </c>
      <c r="AF189" t="s">
        <v>191</v>
      </c>
      <c r="AG189">
        <v>2018</v>
      </c>
      <c r="AH189" t="s">
        <v>126</v>
      </c>
      <c r="AI189" t="s">
        <v>192</v>
      </c>
      <c r="AJ189" t="s">
        <v>150</v>
      </c>
      <c r="AK189" t="s">
        <v>162</v>
      </c>
      <c r="AL189" t="s">
        <v>150</v>
      </c>
      <c r="AM189" t="s">
        <v>162</v>
      </c>
      <c r="AN189" t="s">
        <v>169</v>
      </c>
      <c r="AO189" t="s">
        <v>237</v>
      </c>
      <c r="AP189" t="s">
        <v>153</v>
      </c>
      <c r="AQ189" t="s">
        <v>209</v>
      </c>
      <c r="AR189" t="s">
        <v>1548</v>
      </c>
      <c r="AS189" t="s">
        <v>1549</v>
      </c>
      <c r="AT189" t="s">
        <v>1550</v>
      </c>
      <c r="AU189" t="s">
        <v>230</v>
      </c>
      <c r="AW189" s="1" t="s">
        <v>123</v>
      </c>
      <c r="CQ189" s="1" t="s">
        <v>123</v>
      </c>
      <c r="DA189" s="1" t="s">
        <v>123</v>
      </c>
      <c r="DK189" s="1" t="s">
        <v>123</v>
      </c>
      <c r="EN189" s="1" t="s">
        <v>123</v>
      </c>
      <c r="FN189" s="1" t="s">
        <v>123</v>
      </c>
      <c r="GV189" t="s">
        <v>1551</v>
      </c>
      <c r="GW189" t="s">
        <v>1552</v>
      </c>
      <c r="GX189" t="s">
        <v>1553</v>
      </c>
      <c r="GY189" t="s">
        <v>186</v>
      </c>
      <c r="GZ189">
        <v>1994</v>
      </c>
      <c r="HA189" t="s">
        <v>483</v>
      </c>
      <c r="HC189" t="s">
        <v>1554</v>
      </c>
    </row>
    <row r="190" spans="1:213" x14ac:dyDescent="0.45">
      <c r="A190">
        <v>192</v>
      </c>
      <c r="B190" t="str">
        <f>_xlfn.IFNA(VLOOKUP(Wszystkie[[#This Row],[Zakończono wypełnianie]],Zakończone[],2,0),"BRAK")</f>
        <v>BRAK</v>
      </c>
      <c r="C190" t="s">
        <v>1632</v>
      </c>
      <c r="D190" t="s">
        <v>118</v>
      </c>
      <c r="I190" t="s">
        <v>286</v>
      </c>
      <c r="J190" t="s">
        <v>1633</v>
      </c>
      <c r="K190" t="s">
        <v>1633</v>
      </c>
      <c r="L190">
        <v>0</v>
      </c>
      <c r="M190">
        <v>0</v>
      </c>
      <c r="N190" t="s">
        <v>122</v>
      </c>
      <c r="O190" s="1" t="s">
        <v>416</v>
      </c>
      <c r="AE190" s="1"/>
      <c r="AW190" s="1"/>
      <c r="CQ190" s="1"/>
      <c r="DA190" s="1"/>
      <c r="DK190" s="1"/>
      <c r="EN190" s="1"/>
      <c r="FN190" s="1"/>
    </row>
    <row r="191" spans="1:213" x14ac:dyDescent="0.45">
      <c r="A191">
        <v>194</v>
      </c>
      <c r="B191" t="str">
        <f>_xlfn.IFNA(VLOOKUP(Wszystkie[[#This Row],[Zakończono wypełnianie]],Zakończone[],2,0),"BRAK")</f>
        <v>BRAK</v>
      </c>
      <c r="C191" t="s">
        <v>1646</v>
      </c>
      <c r="D191" t="s">
        <v>118</v>
      </c>
      <c r="E191" t="s">
        <v>1647</v>
      </c>
      <c r="I191" t="s">
        <v>286</v>
      </c>
      <c r="J191" t="s">
        <v>1648</v>
      </c>
      <c r="K191" t="s">
        <v>1648</v>
      </c>
      <c r="L191">
        <v>0</v>
      </c>
      <c r="M191">
        <v>0</v>
      </c>
      <c r="N191" t="s">
        <v>122</v>
      </c>
      <c r="O191" s="1" t="s">
        <v>123</v>
      </c>
      <c r="AE191" s="1" t="s">
        <v>124</v>
      </c>
      <c r="AW191" s="1"/>
      <c r="CQ191" s="1"/>
      <c r="DA191" s="1"/>
      <c r="DK191" s="1"/>
      <c r="EN191" s="1"/>
      <c r="FN191" s="1"/>
    </row>
    <row r="192" spans="1:213" x14ac:dyDescent="0.45">
      <c r="A192">
        <v>193</v>
      </c>
      <c r="B192">
        <f>_xlfn.IFNA(VLOOKUP(Wszystkie[[#This Row],[Zakończono wypełnianie]],Zakończone[],2,0),"BRAK")</f>
        <v>110</v>
      </c>
      <c r="C192" t="s">
        <v>1131</v>
      </c>
      <c r="D192" t="s">
        <v>118</v>
      </c>
      <c r="I192" t="s">
        <v>119</v>
      </c>
      <c r="J192" t="s">
        <v>1634</v>
      </c>
      <c r="K192" t="s">
        <v>1635</v>
      </c>
      <c r="L192">
        <v>545</v>
      </c>
      <c r="M192">
        <v>0</v>
      </c>
      <c r="N192" t="s">
        <v>122</v>
      </c>
      <c r="O192" s="1" t="s">
        <v>123</v>
      </c>
      <c r="AE192" s="1" t="s">
        <v>124</v>
      </c>
      <c r="AF192" t="s">
        <v>1636</v>
      </c>
      <c r="AG192">
        <v>2001</v>
      </c>
      <c r="AH192" t="s">
        <v>148</v>
      </c>
      <c r="AI192" t="s">
        <v>1637</v>
      </c>
      <c r="AJ192" t="s">
        <v>150</v>
      </c>
      <c r="AK192" t="s">
        <v>150</v>
      </c>
      <c r="AL192" t="s">
        <v>169</v>
      </c>
      <c r="AM192" t="s">
        <v>150</v>
      </c>
      <c r="AN192" t="s">
        <v>169</v>
      </c>
      <c r="AO192" t="s">
        <v>1638</v>
      </c>
      <c r="AP192" t="s">
        <v>152</v>
      </c>
      <c r="AQ192" t="s">
        <v>153</v>
      </c>
      <c r="AR192" t="s">
        <v>1639</v>
      </c>
      <c r="AS192" t="s">
        <v>1640</v>
      </c>
      <c r="AT192" t="s">
        <v>386</v>
      </c>
      <c r="AU192" t="s">
        <v>157</v>
      </c>
      <c r="AW192" s="1" t="s">
        <v>123</v>
      </c>
      <c r="AX192" t="s">
        <v>132</v>
      </c>
      <c r="CQ192" s="1" t="s">
        <v>123</v>
      </c>
      <c r="DA192" s="1" t="s">
        <v>123</v>
      </c>
      <c r="DK192" s="1" t="s">
        <v>123</v>
      </c>
      <c r="EN192" s="1" t="s">
        <v>123</v>
      </c>
      <c r="FN192" s="1" t="s">
        <v>123</v>
      </c>
      <c r="GV192" t="s">
        <v>1641</v>
      </c>
      <c r="GW192" t="s">
        <v>1642</v>
      </c>
      <c r="GX192" t="s">
        <v>1643</v>
      </c>
      <c r="GY192" t="s">
        <v>140</v>
      </c>
      <c r="GZ192">
        <v>1977</v>
      </c>
      <c r="HA192" t="s">
        <v>141</v>
      </c>
      <c r="HB192" t="s">
        <v>1644</v>
      </c>
      <c r="HC192" t="s">
        <v>1645</v>
      </c>
    </row>
    <row r="193" spans="1:213" x14ac:dyDescent="0.45">
      <c r="A193">
        <v>188</v>
      </c>
      <c r="B193">
        <f>_xlfn.IFNA(VLOOKUP(Wszystkie[[#This Row],[Zakończono wypełnianie]],Zakończone[],2,0),"BRAK")</f>
        <v>107</v>
      </c>
      <c r="C193" t="s">
        <v>1587</v>
      </c>
      <c r="D193" t="s">
        <v>118</v>
      </c>
      <c r="I193" t="s">
        <v>119</v>
      </c>
      <c r="J193" t="s">
        <v>1588</v>
      </c>
      <c r="K193" t="s">
        <v>1589</v>
      </c>
      <c r="L193">
        <v>1788</v>
      </c>
      <c r="M193">
        <v>0</v>
      </c>
      <c r="N193" t="s">
        <v>122</v>
      </c>
      <c r="O193" s="1" t="s">
        <v>123</v>
      </c>
      <c r="AE193" s="1" t="s">
        <v>124</v>
      </c>
      <c r="AF193" t="s">
        <v>747</v>
      </c>
      <c r="AG193">
        <v>1983</v>
      </c>
      <c r="AH193" t="s">
        <v>126</v>
      </c>
      <c r="AI193" t="s">
        <v>1590</v>
      </c>
      <c r="AJ193" t="s">
        <v>150</v>
      </c>
      <c r="AK193" t="s">
        <v>150</v>
      </c>
      <c r="AL193" t="s">
        <v>236</v>
      </c>
      <c r="AM193" t="s">
        <v>129</v>
      </c>
      <c r="AN193" t="s">
        <v>162</v>
      </c>
      <c r="AO193">
        <v>36</v>
      </c>
      <c r="AP193" t="s">
        <v>132</v>
      </c>
      <c r="AQ193" t="s">
        <v>132</v>
      </c>
      <c r="AR193" t="s">
        <v>1591</v>
      </c>
      <c r="AS193" t="s">
        <v>1592</v>
      </c>
      <c r="AT193" t="s">
        <v>1593</v>
      </c>
      <c r="AU193" t="s">
        <v>172</v>
      </c>
      <c r="AW193" s="1" t="s">
        <v>159</v>
      </c>
      <c r="AX193">
        <v>3</v>
      </c>
      <c r="AY193" t="s">
        <v>747</v>
      </c>
      <c r="AZ193">
        <v>2019</v>
      </c>
      <c r="BA193" t="s">
        <v>126</v>
      </c>
      <c r="BB193" t="s">
        <v>1594</v>
      </c>
      <c r="BC193" t="s">
        <v>236</v>
      </c>
      <c r="BD193" t="s">
        <v>128</v>
      </c>
      <c r="BE193" t="s">
        <v>162</v>
      </c>
      <c r="BF193" t="s">
        <v>151</v>
      </c>
      <c r="BG193" t="s">
        <v>132</v>
      </c>
      <c r="BH193" t="s">
        <v>1595</v>
      </c>
      <c r="BI193" t="s">
        <v>1596</v>
      </c>
      <c r="BJ193" t="s">
        <v>157</v>
      </c>
      <c r="BM193" t="s">
        <v>173</v>
      </c>
      <c r="CQ193" s="1" t="s">
        <v>123</v>
      </c>
      <c r="DA193" s="1" t="s">
        <v>123</v>
      </c>
      <c r="DK193" s="1" t="s">
        <v>123</v>
      </c>
      <c r="EN193" s="1" t="s">
        <v>177</v>
      </c>
      <c r="EO193" t="s">
        <v>178</v>
      </c>
      <c r="EP193">
        <v>2</v>
      </c>
      <c r="EQ193" t="s">
        <v>747</v>
      </c>
      <c r="ER193" t="s">
        <v>236</v>
      </c>
      <c r="ES193" t="s">
        <v>236</v>
      </c>
      <c r="ET193" t="s">
        <v>128</v>
      </c>
      <c r="EU193" t="s">
        <v>178</v>
      </c>
      <c r="EV193" t="s">
        <v>1597</v>
      </c>
      <c r="EW193" t="s">
        <v>1598</v>
      </c>
      <c r="EX193" t="s">
        <v>1206</v>
      </c>
      <c r="EY193" t="s">
        <v>1599</v>
      </c>
      <c r="EZ193" t="s">
        <v>129</v>
      </c>
      <c r="FA193" t="s">
        <v>129</v>
      </c>
      <c r="FB193" t="s">
        <v>236</v>
      </c>
      <c r="FC193" t="s">
        <v>178</v>
      </c>
      <c r="FD193" t="s">
        <v>1600</v>
      </c>
      <c r="FE193" t="s">
        <v>1601</v>
      </c>
      <c r="FF193" t="s">
        <v>173</v>
      </c>
      <c r="FN193" s="1" t="s">
        <v>123</v>
      </c>
      <c r="GV193" t="s">
        <v>1602</v>
      </c>
      <c r="GW193" t="s">
        <v>1603</v>
      </c>
      <c r="GX193" t="s">
        <v>1604</v>
      </c>
      <c r="GY193" t="s">
        <v>186</v>
      </c>
      <c r="GZ193">
        <v>1959</v>
      </c>
      <c r="HA193" t="s">
        <v>483</v>
      </c>
      <c r="HC193" t="s">
        <v>1605</v>
      </c>
      <c r="HD193" t="s">
        <v>1606</v>
      </c>
      <c r="HE193" t="s">
        <v>1607</v>
      </c>
    </row>
    <row r="194" spans="1:213" x14ac:dyDescent="0.45">
      <c r="A194">
        <v>195</v>
      </c>
      <c r="B194">
        <f>_xlfn.IFNA(VLOOKUP(Wszystkie[[#This Row],[Zakończono wypełnianie]],Zakończone[],2,0),"BRAK")</f>
        <v>111</v>
      </c>
      <c r="C194" t="s">
        <v>1649</v>
      </c>
      <c r="D194" t="s">
        <v>118</v>
      </c>
      <c r="E194" t="s">
        <v>359</v>
      </c>
      <c r="I194" t="s">
        <v>119</v>
      </c>
      <c r="J194" t="s">
        <v>1650</v>
      </c>
      <c r="K194" t="s">
        <v>1651</v>
      </c>
      <c r="L194">
        <v>386</v>
      </c>
      <c r="M194">
        <v>0</v>
      </c>
      <c r="N194" t="s">
        <v>122</v>
      </c>
      <c r="O194" s="1" t="s">
        <v>123</v>
      </c>
      <c r="AE194" s="1" t="s">
        <v>124</v>
      </c>
      <c r="AF194" t="s">
        <v>191</v>
      </c>
      <c r="AG194">
        <v>2016</v>
      </c>
      <c r="AH194" t="s">
        <v>126</v>
      </c>
      <c r="AI194" t="s">
        <v>1652</v>
      </c>
      <c r="AJ194" t="s">
        <v>162</v>
      </c>
      <c r="AK194" t="s">
        <v>151</v>
      </c>
      <c r="AL194" t="s">
        <v>162</v>
      </c>
      <c r="AM194" t="s">
        <v>150</v>
      </c>
      <c r="AN194" t="s">
        <v>236</v>
      </c>
      <c r="AO194" t="s">
        <v>530</v>
      </c>
      <c r="AP194" t="s">
        <v>153</v>
      </c>
      <c r="AQ194" t="s">
        <v>153</v>
      </c>
      <c r="AR194" t="s">
        <v>1653</v>
      </c>
      <c r="AS194" t="s">
        <v>1654</v>
      </c>
      <c r="AT194" t="s">
        <v>1655</v>
      </c>
      <c r="AU194" t="s">
        <v>172</v>
      </c>
      <c r="AW194" s="1" t="s">
        <v>123</v>
      </c>
      <c r="CQ194" s="1" t="s">
        <v>123</v>
      </c>
      <c r="DA194" s="1" t="s">
        <v>123</v>
      </c>
      <c r="DK194" s="1" t="s">
        <v>123</v>
      </c>
      <c r="EN194" s="1" t="s">
        <v>123</v>
      </c>
      <c r="EO194" t="s">
        <v>178</v>
      </c>
      <c r="FN194" s="1" t="s">
        <v>123</v>
      </c>
      <c r="GV194" t="s">
        <v>1656</v>
      </c>
      <c r="GW194" t="s">
        <v>1657</v>
      </c>
      <c r="GX194" t="s">
        <v>1658</v>
      </c>
      <c r="GY194" t="s">
        <v>140</v>
      </c>
      <c r="GZ194">
        <v>1993</v>
      </c>
      <c r="HA194" t="s">
        <v>220</v>
      </c>
    </row>
    <row r="195" spans="1:213" x14ac:dyDescent="0.45">
      <c r="A195">
        <v>196</v>
      </c>
      <c r="B195">
        <f>_xlfn.IFNA(VLOOKUP(Wszystkie[[#This Row],[Zakończono wypełnianie]],Zakończone[],2,0),"BRAK")</f>
        <v>112</v>
      </c>
      <c r="C195" t="s">
        <v>1659</v>
      </c>
      <c r="D195" t="s">
        <v>118</v>
      </c>
      <c r="I195" t="s">
        <v>119</v>
      </c>
      <c r="J195" t="s">
        <v>1660</v>
      </c>
      <c r="K195" t="s">
        <v>1661</v>
      </c>
      <c r="L195">
        <v>614</v>
      </c>
      <c r="M195">
        <v>0</v>
      </c>
      <c r="N195" t="s">
        <v>122</v>
      </c>
      <c r="O195" s="1" t="s">
        <v>123</v>
      </c>
      <c r="AE195" s="1" t="s">
        <v>124</v>
      </c>
      <c r="AF195" t="s">
        <v>191</v>
      </c>
      <c r="AG195">
        <v>1991</v>
      </c>
      <c r="AH195" t="s">
        <v>126</v>
      </c>
      <c r="AI195" t="s">
        <v>1662</v>
      </c>
      <c r="AJ195" t="s">
        <v>150</v>
      </c>
      <c r="AK195" t="s">
        <v>150</v>
      </c>
      <c r="AL195" t="s">
        <v>150</v>
      </c>
      <c r="AM195" t="s">
        <v>132</v>
      </c>
      <c r="AN195" t="s">
        <v>132</v>
      </c>
      <c r="AO195" t="s">
        <v>718</v>
      </c>
      <c r="AP195" t="s">
        <v>132</v>
      </c>
      <c r="AQ195" t="s">
        <v>132</v>
      </c>
      <c r="AR195" t="s">
        <v>1663</v>
      </c>
      <c r="AS195" t="s">
        <v>1664</v>
      </c>
      <c r="AT195" t="s">
        <v>1665</v>
      </c>
      <c r="AU195" t="s">
        <v>172</v>
      </c>
      <c r="AW195" s="1" t="s">
        <v>159</v>
      </c>
      <c r="AX195">
        <v>1</v>
      </c>
      <c r="AY195" t="s">
        <v>191</v>
      </c>
      <c r="AZ195">
        <v>2018</v>
      </c>
      <c r="BA195" t="s">
        <v>126</v>
      </c>
      <c r="BB195" t="s">
        <v>1666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>
        <v>1</v>
      </c>
      <c r="BJ195" t="s">
        <v>172</v>
      </c>
      <c r="BM195" t="s">
        <v>173</v>
      </c>
      <c r="CQ195" s="1" t="s">
        <v>123</v>
      </c>
      <c r="DA195" s="1" t="s">
        <v>123</v>
      </c>
      <c r="DK195" s="1" t="s">
        <v>123</v>
      </c>
      <c r="EN195" s="1" t="s">
        <v>177</v>
      </c>
      <c r="EO195" t="s">
        <v>178</v>
      </c>
      <c r="EP195">
        <v>1</v>
      </c>
      <c r="EQ195" t="s">
        <v>191</v>
      </c>
      <c r="ER195" t="s">
        <v>169</v>
      </c>
      <c r="ES195" t="s">
        <v>169</v>
      </c>
      <c r="ET195" t="s">
        <v>151</v>
      </c>
      <c r="EU195" t="s">
        <v>178</v>
      </c>
      <c r="EV195" t="s">
        <v>1667</v>
      </c>
      <c r="EW195" t="s">
        <v>1668</v>
      </c>
      <c r="EX195" t="s">
        <v>173</v>
      </c>
      <c r="FN195" s="1" t="s">
        <v>123</v>
      </c>
      <c r="GV195" t="s">
        <v>1669</v>
      </c>
      <c r="GW195" t="s">
        <v>1670</v>
      </c>
      <c r="GX195" t="s">
        <v>1671</v>
      </c>
      <c r="GY195" t="s">
        <v>186</v>
      </c>
      <c r="GZ195">
        <v>1966</v>
      </c>
      <c r="HA195" t="s">
        <v>141</v>
      </c>
    </row>
    <row r="196" spans="1:213" x14ac:dyDescent="0.45">
      <c r="A196">
        <v>191</v>
      </c>
      <c r="B196">
        <f>_xlfn.IFNA(VLOOKUP(Wszystkie[[#This Row],[Zakończono wypełnianie]],Zakończone[],2,0),"BRAK")</f>
        <v>109</v>
      </c>
      <c r="C196" t="s">
        <v>1618</v>
      </c>
      <c r="D196" t="s">
        <v>118</v>
      </c>
      <c r="I196" t="s">
        <v>119</v>
      </c>
      <c r="J196" t="s">
        <v>1619</v>
      </c>
      <c r="K196" t="s">
        <v>1620</v>
      </c>
      <c r="L196">
        <v>1891</v>
      </c>
      <c r="M196">
        <v>0</v>
      </c>
      <c r="N196" t="s">
        <v>122</v>
      </c>
      <c r="O196" s="1" t="s">
        <v>123</v>
      </c>
      <c r="AE196" s="1" t="s">
        <v>124</v>
      </c>
      <c r="AF196" t="s">
        <v>1621</v>
      </c>
      <c r="AG196">
        <v>2000</v>
      </c>
      <c r="AH196" t="s">
        <v>148</v>
      </c>
      <c r="AI196" t="s">
        <v>1622</v>
      </c>
      <c r="AJ196" t="s">
        <v>150</v>
      </c>
      <c r="AK196" t="s">
        <v>150</v>
      </c>
      <c r="AL196" t="s">
        <v>150</v>
      </c>
      <c r="AM196" t="s">
        <v>236</v>
      </c>
      <c r="AN196" t="s">
        <v>162</v>
      </c>
      <c r="AO196" t="s">
        <v>1623</v>
      </c>
      <c r="AP196" t="s">
        <v>132</v>
      </c>
      <c r="AQ196" t="s">
        <v>302</v>
      </c>
      <c r="AR196" t="s">
        <v>1624</v>
      </c>
      <c r="AS196" t="s">
        <v>1625</v>
      </c>
      <c r="AT196" t="s">
        <v>1626</v>
      </c>
      <c r="AU196" t="s">
        <v>172</v>
      </c>
      <c r="AW196" s="1" t="s">
        <v>123</v>
      </c>
      <c r="AX196" t="s">
        <v>132</v>
      </c>
      <c r="CQ196" s="1" t="s">
        <v>123</v>
      </c>
      <c r="DA196" s="1" t="s">
        <v>123</v>
      </c>
      <c r="DK196" s="1" t="s">
        <v>123</v>
      </c>
      <c r="EN196" s="1" t="s">
        <v>123</v>
      </c>
      <c r="FN196" s="1" t="s">
        <v>123</v>
      </c>
      <c r="GV196" t="s">
        <v>1627</v>
      </c>
      <c r="GW196" t="s">
        <v>1628</v>
      </c>
      <c r="GX196" t="s">
        <v>1629</v>
      </c>
      <c r="GY196" t="s">
        <v>186</v>
      </c>
      <c r="GZ196">
        <v>72</v>
      </c>
      <c r="HA196" t="s">
        <v>1630</v>
      </c>
      <c r="HD196" t="s">
        <v>1631</v>
      </c>
    </row>
    <row r="197" spans="1:213" x14ac:dyDescent="0.45">
      <c r="A197">
        <v>197</v>
      </c>
      <c r="B197" t="str">
        <f>_xlfn.IFNA(VLOOKUP(Wszystkie[[#This Row],[Zakończono wypełnianie]],Zakończone[],2,0),"BRAK")</f>
        <v>BRAK</v>
      </c>
      <c r="C197" t="s">
        <v>1672</v>
      </c>
      <c r="D197" t="s">
        <v>118</v>
      </c>
      <c r="E197" t="s">
        <v>548</v>
      </c>
      <c r="I197" t="s">
        <v>286</v>
      </c>
      <c r="J197" t="s">
        <v>1673</v>
      </c>
      <c r="K197" t="s">
        <v>1673</v>
      </c>
      <c r="L197">
        <v>0</v>
      </c>
      <c r="M197">
        <v>0</v>
      </c>
      <c r="N197" t="s">
        <v>122</v>
      </c>
      <c r="O197" s="1"/>
      <c r="AE197" s="1"/>
      <c r="AW197" s="1"/>
      <c r="CQ197" s="1"/>
      <c r="DA197" s="1"/>
      <c r="DK197" s="1"/>
      <c r="EN197" s="1"/>
      <c r="FN197" s="1"/>
    </row>
    <row r="198" spans="1:213" x14ac:dyDescent="0.45">
      <c r="A198">
        <v>198</v>
      </c>
      <c r="B198">
        <f>_xlfn.IFNA(VLOOKUP(Wszystkie[[#This Row],[Zakończono wypełnianie]],Zakończone[],2,0),"BRAK")</f>
        <v>113</v>
      </c>
      <c r="C198" t="s">
        <v>1674</v>
      </c>
      <c r="D198" t="s">
        <v>118</v>
      </c>
      <c r="I198" t="s">
        <v>119</v>
      </c>
      <c r="J198" t="s">
        <v>1675</v>
      </c>
      <c r="K198" t="s">
        <v>1676</v>
      </c>
      <c r="L198">
        <v>445</v>
      </c>
      <c r="M198">
        <v>0</v>
      </c>
      <c r="N198" t="s">
        <v>122</v>
      </c>
      <c r="O198" s="1" t="s">
        <v>123</v>
      </c>
      <c r="AE198" s="1" t="s">
        <v>124</v>
      </c>
      <c r="AF198" t="s">
        <v>191</v>
      </c>
      <c r="AG198">
        <v>2014</v>
      </c>
      <c r="AH198" t="s">
        <v>126</v>
      </c>
      <c r="AI198" t="s">
        <v>192</v>
      </c>
      <c r="AJ198" t="s">
        <v>169</v>
      </c>
      <c r="AK198" t="s">
        <v>169</v>
      </c>
      <c r="AL198" t="s">
        <v>162</v>
      </c>
      <c r="AM198" t="s">
        <v>151</v>
      </c>
      <c r="AN198" t="s">
        <v>151</v>
      </c>
      <c r="AO198" t="s">
        <v>237</v>
      </c>
      <c r="AP198" t="s">
        <v>226</v>
      </c>
      <c r="AQ198" t="s">
        <v>1428</v>
      </c>
      <c r="AR198" t="s">
        <v>1677</v>
      </c>
      <c r="AS198" t="s">
        <v>1678</v>
      </c>
      <c r="AT198" t="s">
        <v>1679</v>
      </c>
      <c r="AU198" t="s">
        <v>157</v>
      </c>
      <c r="AW198" s="1" t="s">
        <v>123</v>
      </c>
      <c r="CQ198" s="1" t="s">
        <v>123</v>
      </c>
      <c r="DA198" s="1" t="s">
        <v>123</v>
      </c>
      <c r="DK198" s="1" t="s">
        <v>123</v>
      </c>
      <c r="EN198" s="1" t="s">
        <v>123</v>
      </c>
      <c r="FN198" s="1" t="s">
        <v>123</v>
      </c>
      <c r="GV198" t="s">
        <v>532</v>
      </c>
      <c r="GW198" t="s">
        <v>1680</v>
      </c>
      <c r="GX198" t="s">
        <v>1681</v>
      </c>
      <c r="GY198" t="s">
        <v>186</v>
      </c>
      <c r="GZ198">
        <v>1984</v>
      </c>
      <c r="HA198" t="s">
        <v>398</v>
      </c>
    </row>
    <row r="199" spans="1:213" x14ac:dyDescent="0.45">
      <c r="A199">
        <v>199</v>
      </c>
      <c r="B199" t="str">
        <f>_xlfn.IFNA(VLOOKUP(Wszystkie[[#This Row],[Zakończono wypełnianie]],Zakończone[],2,0),"BRAK")</f>
        <v>BRAK</v>
      </c>
      <c r="C199" t="s">
        <v>1682</v>
      </c>
      <c r="D199" t="s">
        <v>118</v>
      </c>
      <c r="I199" t="s">
        <v>286</v>
      </c>
      <c r="J199" t="s">
        <v>1683</v>
      </c>
      <c r="K199" t="s">
        <v>1683</v>
      </c>
      <c r="L199">
        <v>0</v>
      </c>
      <c r="M199">
        <v>0</v>
      </c>
      <c r="N199" t="s">
        <v>122</v>
      </c>
      <c r="O199" s="1" t="s">
        <v>123</v>
      </c>
      <c r="AE199" s="1" t="s">
        <v>124</v>
      </c>
      <c r="AW199" s="1"/>
      <c r="CQ199" s="1"/>
      <c r="DA199" s="1"/>
      <c r="DK199" s="1"/>
      <c r="EN199" s="1"/>
      <c r="FN199" s="1"/>
    </row>
    <row r="200" spans="1:213" x14ac:dyDescent="0.45">
      <c r="A200">
        <v>189</v>
      </c>
      <c r="B200">
        <f>_xlfn.IFNA(VLOOKUP(Wszystkie[[#This Row],[Zakończono wypełnianie]],Zakończone[],2,0),"BRAK")</f>
        <v>108</v>
      </c>
      <c r="C200" t="s">
        <v>1352</v>
      </c>
      <c r="D200" t="s">
        <v>118</v>
      </c>
      <c r="I200" t="s">
        <v>119</v>
      </c>
      <c r="J200" t="s">
        <v>1608</v>
      </c>
      <c r="K200" t="s">
        <v>1609</v>
      </c>
      <c r="L200">
        <v>4906</v>
      </c>
      <c r="M200">
        <v>0</v>
      </c>
      <c r="N200" t="s">
        <v>122</v>
      </c>
      <c r="O200" s="1" t="s">
        <v>123</v>
      </c>
      <c r="AE200" s="1" t="s">
        <v>124</v>
      </c>
      <c r="AF200" t="s">
        <v>223</v>
      </c>
      <c r="AG200">
        <v>2009</v>
      </c>
      <c r="AH200" t="s">
        <v>148</v>
      </c>
      <c r="AI200" t="s">
        <v>554</v>
      </c>
      <c r="AJ200" t="s">
        <v>162</v>
      </c>
      <c r="AK200" t="s">
        <v>162</v>
      </c>
      <c r="AL200" t="s">
        <v>162</v>
      </c>
      <c r="AM200" t="s">
        <v>162</v>
      </c>
      <c r="AN200" t="s">
        <v>162</v>
      </c>
      <c r="AO200" t="s">
        <v>1610</v>
      </c>
      <c r="AP200" t="s">
        <v>302</v>
      </c>
      <c r="AQ200" t="s">
        <v>153</v>
      </c>
      <c r="AS200" t="s">
        <v>1611</v>
      </c>
      <c r="AT200" t="s">
        <v>1612</v>
      </c>
      <c r="AV200" t="s">
        <v>1613</v>
      </c>
      <c r="AW200" s="1" t="s">
        <v>123</v>
      </c>
      <c r="AX200" t="s">
        <v>132</v>
      </c>
      <c r="CQ200" s="1" t="s">
        <v>123</v>
      </c>
      <c r="DA200" s="1" t="s">
        <v>123</v>
      </c>
      <c r="DK200" s="1" t="s">
        <v>123</v>
      </c>
      <c r="EN200" s="1" t="s">
        <v>123</v>
      </c>
      <c r="EO200" t="s">
        <v>180</v>
      </c>
      <c r="EP200" t="s">
        <v>132</v>
      </c>
      <c r="FN200" s="1" t="s">
        <v>123</v>
      </c>
      <c r="GV200" t="s">
        <v>1614</v>
      </c>
      <c r="GW200" t="s">
        <v>1247</v>
      </c>
      <c r="GX200" t="s">
        <v>1247</v>
      </c>
      <c r="GY200" t="s">
        <v>140</v>
      </c>
      <c r="GZ200">
        <v>1983</v>
      </c>
      <c r="HA200" t="s">
        <v>220</v>
      </c>
      <c r="HC200" t="s">
        <v>1615</v>
      </c>
      <c r="HD200" t="s">
        <v>1615</v>
      </c>
    </row>
    <row r="201" spans="1:213" x14ac:dyDescent="0.45">
      <c r="A201">
        <v>200</v>
      </c>
      <c r="B201" t="str">
        <f>_xlfn.IFNA(VLOOKUP(Wszystkie[[#This Row],[Zakończono wypełnianie]],Zakończone[],2,0),"BRAK")</f>
        <v>BRAK</v>
      </c>
      <c r="C201" t="s">
        <v>1684</v>
      </c>
      <c r="D201" t="s">
        <v>118</v>
      </c>
      <c r="E201" t="s">
        <v>1647</v>
      </c>
      <c r="I201" t="s">
        <v>286</v>
      </c>
      <c r="J201" t="s">
        <v>1685</v>
      </c>
      <c r="K201" t="s">
        <v>1685</v>
      </c>
      <c r="L201">
        <v>0</v>
      </c>
      <c r="M201">
        <v>0</v>
      </c>
      <c r="N201" t="s">
        <v>122</v>
      </c>
      <c r="O201" s="1" t="s">
        <v>123</v>
      </c>
      <c r="AE201" s="1" t="s">
        <v>124</v>
      </c>
      <c r="AF201" t="s">
        <v>1686</v>
      </c>
      <c r="AG201">
        <v>2000</v>
      </c>
      <c r="AH201" t="s">
        <v>148</v>
      </c>
      <c r="AI201" t="s">
        <v>1687</v>
      </c>
      <c r="AJ201" t="s">
        <v>151</v>
      </c>
      <c r="AK201" t="s">
        <v>151</v>
      </c>
      <c r="AL201" t="s">
        <v>162</v>
      </c>
      <c r="AM201" t="s">
        <v>129</v>
      </c>
      <c r="AN201" t="s">
        <v>129</v>
      </c>
      <c r="AO201" t="s">
        <v>1688</v>
      </c>
      <c r="AP201" t="s">
        <v>302</v>
      </c>
      <c r="AQ201" t="s">
        <v>153</v>
      </c>
      <c r="AR201" t="s">
        <v>1689</v>
      </c>
      <c r="AS201" t="s">
        <v>1690</v>
      </c>
      <c r="AT201" t="s">
        <v>1691</v>
      </c>
      <c r="AU201" t="s">
        <v>157</v>
      </c>
      <c r="AW201" s="1" t="s">
        <v>123</v>
      </c>
      <c r="AX201" t="s">
        <v>132</v>
      </c>
      <c r="CQ201" s="1" t="s">
        <v>387</v>
      </c>
      <c r="DA201" s="1"/>
      <c r="DK201" s="1"/>
      <c r="EN201" s="1"/>
      <c r="FN201" s="1"/>
    </row>
    <row r="202" spans="1:213" x14ac:dyDescent="0.45">
      <c r="A202">
        <v>201</v>
      </c>
      <c r="B202" t="str">
        <f>_xlfn.IFNA(VLOOKUP(Wszystkie[[#This Row],[Zakończono wypełnianie]],Zakończone[],2,0),"BRAK")</f>
        <v>BRAK</v>
      </c>
      <c r="C202" t="s">
        <v>1692</v>
      </c>
      <c r="D202" t="s">
        <v>118</v>
      </c>
      <c r="I202" t="s">
        <v>286</v>
      </c>
      <c r="J202" t="s">
        <v>1693</v>
      </c>
      <c r="K202" t="s">
        <v>1693</v>
      </c>
      <c r="L202">
        <v>0</v>
      </c>
      <c r="M202">
        <v>0</v>
      </c>
      <c r="N202" t="s">
        <v>122</v>
      </c>
      <c r="O202" s="1" t="s">
        <v>123</v>
      </c>
      <c r="AE202" s="1" t="s">
        <v>124</v>
      </c>
      <c r="AW202" s="1"/>
      <c r="CQ202" s="1"/>
      <c r="DA202" s="1"/>
      <c r="DK202" s="1"/>
      <c r="EN202" s="1"/>
      <c r="FN202" s="1"/>
    </row>
    <row r="203" spans="1:213" x14ac:dyDescent="0.45">
      <c r="A203">
        <v>202</v>
      </c>
      <c r="B203" t="str">
        <f>_xlfn.IFNA(VLOOKUP(Wszystkie[[#This Row],[Zakończono wypełnianie]],Zakończone[],2,0),"BRAK")</f>
        <v>BRAK</v>
      </c>
      <c r="C203" t="s">
        <v>1694</v>
      </c>
      <c r="D203" t="s">
        <v>118</v>
      </c>
      <c r="I203" t="s">
        <v>286</v>
      </c>
      <c r="J203" t="s">
        <v>1695</v>
      </c>
      <c r="K203" t="s">
        <v>1695</v>
      </c>
      <c r="L203">
        <v>0</v>
      </c>
      <c r="M203">
        <v>0</v>
      </c>
      <c r="N203" t="s">
        <v>122</v>
      </c>
      <c r="O203" s="1" t="s">
        <v>123</v>
      </c>
      <c r="AE203" s="1" t="s">
        <v>124</v>
      </c>
      <c r="AF203" t="s">
        <v>1090</v>
      </c>
      <c r="AG203">
        <v>1990</v>
      </c>
      <c r="AH203" t="s">
        <v>126</v>
      </c>
      <c r="AI203" t="s">
        <v>1696</v>
      </c>
      <c r="AJ203" t="s">
        <v>150</v>
      </c>
      <c r="AK203" t="s">
        <v>162</v>
      </c>
      <c r="AL203" t="s">
        <v>169</v>
      </c>
      <c r="AM203" t="s">
        <v>169</v>
      </c>
      <c r="AN203" t="s">
        <v>169</v>
      </c>
      <c r="AO203" t="s">
        <v>237</v>
      </c>
      <c r="AP203" t="s">
        <v>194</v>
      </c>
      <c r="AQ203" t="s">
        <v>194</v>
      </c>
      <c r="AR203" t="s">
        <v>1697</v>
      </c>
      <c r="AS203" t="s">
        <v>1698</v>
      </c>
      <c r="AT203" t="s">
        <v>1699</v>
      </c>
      <c r="AU203" t="s">
        <v>172</v>
      </c>
      <c r="AV203" t="s">
        <v>1700</v>
      </c>
      <c r="AW203" s="1" t="s">
        <v>159</v>
      </c>
      <c r="AX203">
        <v>3</v>
      </c>
      <c r="CQ203" s="1"/>
      <c r="DA203" s="1"/>
      <c r="DK203" s="1"/>
      <c r="EN203" s="1"/>
      <c r="FN203" s="1"/>
    </row>
    <row r="204" spans="1:213" x14ac:dyDescent="0.45">
      <c r="A204">
        <v>203</v>
      </c>
      <c r="B204" t="str">
        <f>_xlfn.IFNA(VLOOKUP(Wszystkie[[#This Row],[Zakończono wypełnianie]],Zakończone[],2,0),"BRAK")</f>
        <v>BRAK</v>
      </c>
      <c r="C204" t="s">
        <v>1701</v>
      </c>
      <c r="D204" t="s">
        <v>118</v>
      </c>
      <c r="I204" t="s">
        <v>286</v>
      </c>
      <c r="J204" t="s">
        <v>1702</v>
      </c>
      <c r="K204" t="s">
        <v>1702</v>
      </c>
      <c r="L204">
        <v>0</v>
      </c>
      <c r="M204">
        <v>0</v>
      </c>
      <c r="N204" t="s">
        <v>122</v>
      </c>
      <c r="O204" s="1" t="s">
        <v>123</v>
      </c>
      <c r="AE204" s="1" t="s">
        <v>124</v>
      </c>
      <c r="AF204" t="s">
        <v>1703</v>
      </c>
      <c r="AG204">
        <v>2011</v>
      </c>
      <c r="AH204" t="s">
        <v>148</v>
      </c>
      <c r="AI204" t="s">
        <v>554</v>
      </c>
      <c r="AJ204" t="s">
        <v>169</v>
      </c>
      <c r="AK204" t="s">
        <v>150</v>
      </c>
      <c r="AL204" t="s">
        <v>169</v>
      </c>
      <c r="AM204" t="s">
        <v>169</v>
      </c>
      <c r="AN204" t="s">
        <v>169</v>
      </c>
      <c r="AO204">
        <v>2</v>
      </c>
      <c r="AP204" t="s">
        <v>131</v>
      </c>
      <c r="AQ204" t="s">
        <v>153</v>
      </c>
      <c r="AR204" t="s">
        <v>1704</v>
      </c>
      <c r="AS204" t="s">
        <v>1705</v>
      </c>
      <c r="AT204" t="s">
        <v>1706</v>
      </c>
      <c r="AU204" t="s">
        <v>157</v>
      </c>
      <c r="AW204" s="1" t="s">
        <v>123</v>
      </c>
      <c r="CQ204" s="1" t="s">
        <v>387</v>
      </c>
      <c r="DA204" s="1"/>
      <c r="DK204" s="1"/>
      <c r="EN204" s="1"/>
      <c r="FN204" s="1"/>
    </row>
    <row r="205" spans="1:213" x14ac:dyDescent="0.45">
      <c r="A205">
        <v>204</v>
      </c>
      <c r="B205" t="str">
        <f>_xlfn.IFNA(VLOOKUP(Wszystkie[[#This Row],[Zakończono wypełnianie]],Zakończone[],2,0),"BRAK")</f>
        <v>BRAK</v>
      </c>
      <c r="C205" t="s">
        <v>1707</v>
      </c>
      <c r="D205" t="s">
        <v>118</v>
      </c>
      <c r="I205" t="s">
        <v>286</v>
      </c>
      <c r="J205" t="s">
        <v>1708</v>
      </c>
      <c r="K205" t="s">
        <v>1708</v>
      </c>
      <c r="L205">
        <v>0</v>
      </c>
      <c r="M205">
        <v>0</v>
      </c>
      <c r="N205" t="s">
        <v>122</v>
      </c>
      <c r="O205" s="1" t="s">
        <v>123</v>
      </c>
      <c r="AE205" s="1" t="s">
        <v>123</v>
      </c>
      <c r="AW205" s="1" t="s">
        <v>159</v>
      </c>
      <c r="AX205">
        <v>2</v>
      </c>
      <c r="CQ205" s="1"/>
      <c r="DA205" s="1"/>
      <c r="DK205" s="1"/>
      <c r="EN205" s="1"/>
      <c r="FN205" s="1"/>
    </row>
    <row r="206" spans="1:213" x14ac:dyDescent="0.45">
      <c r="A206">
        <v>206</v>
      </c>
      <c r="B206" t="str">
        <f>_xlfn.IFNA(VLOOKUP(Wszystkie[[#This Row],[Zakończono wypełnianie]],Zakończone[],2,0),"BRAK")</f>
        <v>BRAK</v>
      </c>
      <c r="C206" t="s">
        <v>1722</v>
      </c>
      <c r="D206" t="s">
        <v>118</v>
      </c>
      <c r="E206" t="s">
        <v>1647</v>
      </c>
      <c r="I206" t="s">
        <v>286</v>
      </c>
      <c r="J206" t="s">
        <v>1723</v>
      </c>
      <c r="K206" t="s">
        <v>1723</v>
      </c>
      <c r="L206">
        <v>0</v>
      </c>
      <c r="M206">
        <v>0</v>
      </c>
      <c r="N206" t="s">
        <v>122</v>
      </c>
      <c r="O206" s="1" t="s">
        <v>123</v>
      </c>
      <c r="AE206" s="1" t="s">
        <v>124</v>
      </c>
      <c r="AF206" t="s">
        <v>1724</v>
      </c>
      <c r="AG206">
        <v>2005</v>
      </c>
      <c r="AH206" t="s">
        <v>148</v>
      </c>
      <c r="AI206" t="s">
        <v>1725</v>
      </c>
      <c r="AJ206" t="s">
        <v>150</v>
      </c>
      <c r="AK206" t="s">
        <v>162</v>
      </c>
      <c r="AL206" t="s">
        <v>162</v>
      </c>
      <c r="AM206" t="s">
        <v>162</v>
      </c>
      <c r="AN206" t="s">
        <v>162</v>
      </c>
      <c r="AO206">
        <v>2</v>
      </c>
      <c r="AP206" t="s">
        <v>131</v>
      </c>
      <c r="AQ206" t="s">
        <v>302</v>
      </c>
      <c r="AR206" t="s">
        <v>1726</v>
      </c>
      <c r="AS206" t="s">
        <v>1727</v>
      </c>
      <c r="AT206" t="s">
        <v>1728</v>
      </c>
      <c r="AU206" t="s">
        <v>157</v>
      </c>
      <c r="AW206" s="1" t="s">
        <v>123</v>
      </c>
      <c r="CQ206" s="1" t="s">
        <v>123</v>
      </c>
      <c r="DA206" s="1" t="s">
        <v>123</v>
      </c>
      <c r="DK206" s="1" t="s">
        <v>123</v>
      </c>
      <c r="EN206" s="1" t="s">
        <v>123</v>
      </c>
      <c r="FN206" s="1" t="s">
        <v>123</v>
      </c>
      <c r="GY206" t="s">
        <v>140</v>
      </c>
      <c r="GZ206">
        <v>1981</v>
      </c>
      <c r="HA206" t="s">
        <v>483</v>
      </c>
      <c r="HC206" t="s">
        <v>142</v>
      </c>
      <c r="HD206" t="s">
        <v>180</v>
      </c>
    </row>
    <row r="207" spans="1:213" x14ac:dyDescent="0.45">
      <c r="A207">
        <v>207</v>
      </c>
      <c r="B207" t="str">
        <f>_xlfn.IFNA(VLOOKUP(Wszystkie[[#This Row],[Zakończono wypełnianie]],Zakończone[],2,0),"BRAK")</f>
        <v>BRAK</v>
      </c>
      <c r="C207" t="s">
        <v>1729</v>
      </c>
      <c r="D207" t="s">
        <v>118</v>
      </c>
      <c r="I207" t="s">
        <v>286</v>
      </c>
      <c r="J207" t="s">
        <v>1730</v>
      </c>
      <c r="K207" t="s">
        <v>1730</v>
      </c>
      <c r="L207">
        <v>0</v>
      </c>
      <c r="M207">
        <v>0</v>
      </c>
      <c r="N207" t="s">
        <v>122</v>
      </c>
      <c r="O207" s="1" t="s">
        <v>123</v>
      </c>
      <c r="AE207" s="1" t="s">
        <v>124</v>
      </c>
      <c r="AW207" s="1"/>
      <c r="CQ207" s="1"/>
      <c r="DA207" s="1"/>
      <c r="DK207" s="1"/>
      <c r="EN207" s="1"/>
      <c r="FN207" s="1"/>
    </row>
    <row r="208" spans="1:213" x14ac:dyDescent="0.45">
      <c r="A208">
        <v>205</v>
      </c>
      <c r="B208">
        <f>_xlfn.IFNA(VLOOKUP(Wszystkie[[#This Row],[Zakończono wypełnianie]],Zakończone[],2,0),"BRAK")</f>
        <v>114</v>
      </c>
      <c r="C208" t="s">
        <v>1709</v>
      </c>
      <c r="D208" t="s">
        <v>118</v>
      </c>
      <c r="I208" t="s">
        <v>119</v>
      </c>
      <c r="J208" t="s">
        <v>1710</v>
      </c>
      <c r="K208" t="s">
        <v>1711</v>
      </c>
      <c r="L208">
        <v>588</v>
      </c>
      <c r="M208">
        <v>0</v>
      </c>
      <c r="N208" t="s">
        <v>122</v>
      </c>
      <c r="O208" s="1" t="s">
        <v>123</v>
      </c>
      <c r="AE208" s="1" t="s">
        <v>124</v>
      </c>
      <c r="AF208" t="s">
        <v>1712</v>
      </c>
      <c r="AG208">
        <v>2012</v>
      </c>
      <c r="AH208" t="s">
        <v>148</v>
      </c>
      <c r="AI208" t="s">
        <v>1713</v>
      </c>
      <c r="AJ208" t="s">
        <v>162</v>
      </c>
      <c r="AK208" t="s">
        <v>162</v>
      </c>
      <c r="AL208" t="s">
        <v>169</v>
      </c>
      <c r="AM208" t="s">
        <v>129</v>
      </c>
      <c r="AN208" t="s">
        <v>129</v>
      </c>
      <c r="AO208" t="s">
        <v>1714</v>
      </c>
      <c r="AP208" t="s">
        <v>131</v>
      </c>
      <c r="AQ208" t="s">
        <v>131</v>
      </c>
      <c r="AR208" t="s">
        <v>1715</v>
      </c>
      <c r="AS208" t="s">
        <v>1716</v>
      </c>
      <c r="AT208" t="s">
        <v>1717</v>
      </c>
      <c r="AU208" t="s">
        <v>157</v>
      </c>
      <c r="AW208" s="1" t="s">
        <v>123</v>
      </c>
      <c r="CQ208" s="1" t="s">
        <v>123</v>
      </c>
      <c r="DA208" s="1" t="s">
        <v>123</v>
      </c>
      <c r="DK208" s="1" t="s">
        <v>123</v>
      </c>
      <c r="EN208" s="1" t="s">
        <v>123</v>
      </c>
      <c r="FN208" s="1" t="s">
        <v>123</v>
      </c>
      <c r="GV208" t="s">
        <v>1718</v>
      </c>
      <c r="GW208" t="s">
        <v>1719</v>
      </c>
      <c r="GX208" t="s">
        <v>1720</v>
      </c>
      <c r="GY208" t="s">
        <v>140</v>
      </c>
      <c r="GZ208">
        <v>1985</v>
      </c>
      <c r="HA208" t="s">
        <v>246</v>
      </c>
      <c r="HC208" t="s">
        <v>1721</v>
      </c>
      <c r="HD208" t="s">
        <v>532</v>
      </c>
    </row>
    <row r="209" spans="1:213" x14ac:dyDescent="0.45">
      <c r="A209">
        <v>208</v>
      </c>
      <c r="B209" t="str">
        <f>_xlfn.IFNA(VLOOKUP(Wszystkie[[#This Row],[Zakończono wypełnianie]],Zakończone[],2,0),"BRAK")</f>
        <v>BRAK</v>
      </c>
      <c r="C209" t="s">
        <v>1731</v>
      </c>
      <c r="D209" t="s">
        <v>118</v>
      </c>
      <c r="I209" t="s">
        <v>286</v>
      </c>
      <c r="J209" t="s">
        <v>1732</v>
      </c>
      <c r="K209" t="s">
        <v>1732</v>
      </c>
      <c r="L209">
        <v>0</v>
      </c>
      <c r="M209">
        <v>0</v>
      </c>
      <c r="N209" t="s">
        <v>122</v>
      </c>
      <c r="O209" s="1" t="s">
        <v>123</v>
      </c>
      <c r="AE209" s="1" t="s">
        <v>124</v>
      </c>
      <c r="AW209" s="1"/>
      <c r="CQ209" s="1"/>
      <c r="DA209" s="1"/>
      <c r="DK209" s="1"/>
      <c r="EN209" s="1"/>
      <c r="FN209" s="1"/>
    </row>
    <row r="210" spans="1:213" x14ac:dyDescent="0.45">
      <c r="A210">
        <v>209</v>
      </c>
      <c r="B210" t="str">
        <f>_xlfn.IFNA(VLOOKUP(Wszystkie[[#This Row],[Zakończono wypełnianie]],Zakończone[],2,0),"BRAK")</f>
        <v>BRAK</v>
      </c>
      <c r="C210" t="s">
        <v>1733</v>
      </c>
      <c r="D210" t="s">
        <v>118</v>
      </c>
      <c r="I210" t="s">
        <v>286</v>
      </c>
      <c r="J210" t="s">
        <v>1734</v>
      </c>
      <c r="K210" t="s">
        <v>1734</v>
      </c>
      <c r="L210">
        <v>0</v>
      </c>
      <c r="M210">
        <v>0</v>
      </c>
      <c r="N210" t="s">
        <v>122</v>
      </c>
      <c r="O210" s="1" t="s">
        <v>123</v>
      </c>
      <c r="AE210" s="1" t="s">
        <v>124</v>
      </c>
      <c r="AW210" s="1"/>
      <c r="CQ210" s="1"/>
      <c r="DA210" s="1"/>
      <c r="DK210" s="1"/>
      <c r="EN210" s="1"/>
      <c r="FN210" s="1"/>
    </row>
    <row r="211" spans="1:213" x14ac:dyDescent="0.45">
      <c r="A211">
        <v>210</v>
      </c>
      <c r="B211" t="str">
        <f>_xlfn.IFNA(VLOOKUP(Wszystkie[[#This Row],[Zakończono wypełnianie]],Zakończone[],2,0),"BRAK")</f>
        <v>BRAK</v>
      </c>
      <c r="C211" t="s">
        <v>1735</v>
      </c>
      <c r="D211" t="s">
        <v>118</v>
      </c>
      <c r="E211" t="s">
        <v>1736</v>
      </c>
      <c r="I211" t="s">
        <v>286</v>
      </c>
      <c r="J211" t="s">
        <v>1737</v>
      </c>
      <c r="K211" t="s">
        <v>1737</v>
      </c>
      <c r="L211">
        <v>0</v>
      </c>
      <c r="M211">
        <v>0</v>
      </c>
      <c r="N211" t="s">
        <v>122</v>
      </c>
      <c r="O211" s="1" t="s">
        <v>123</v>
      </c>
      <c r="AE211" s="1" t="s">
        <v>124</v>
      </c>
      <c r="AW211" s="1"/>
      <c r="CQ211" s="1"/>
      <c r="DA211" s="1"/>
      <c r="DK211" s="1"/>
      <c r="EN211" s="1"/>
      <c r="FN211" s="1"/>
    </row>
    <row r="212" spans="1:213" x14ac:dyDescent="0.45">
      <c r="A212">
        <v>211</v>
      </c>
      <c r="B212">
        <f>_xlfn.IFNA(VLOOKUP(Wszystkie[[#This Row],[Zakończono wypełnianie]],Zakończone[],2,0),"BRAK")</f>
        <v>115</v>
      </c>
      <c r="C212" t="s">
        <v>1572</v>
      </c>
      <c r="D212" t="s">
        <v>118</v>
      </c>
      <c r="I212" t="s">
        <v>119</v>
      </c>
      <c r="J212" t="s">
        <v>1738</v>
      </c>
      <c r="K212" t="s">
        <v>1739</v>
      </c>
      <c r="L212">
        <v>1112</v>
      </c>
      <c r="M212">
        <v>0</v>
      </c>
      <c r="N212" t="s">
        <v>122</v>
      </c>
      <c r="O212" s="1" t="s">
        <v>123</v>
      </c>
      <c r="AE212" s="1" t="s">
        <v>124</v>
      </c>
      <c r="AF212" t="s">
        <v>125</v>
      </c>
      <c r="AG212">
        <v>2001</v>
      </c>
      <c r="AH212" t="s">
        <v>126</v>
      </c>
      <c r="AI212" t="s">
        <v>1339</v>
      </c>
      <c r="AJ212" t="s">
        <v>150</v>
      </c>
      <c r="AK212" t="s">
        <v>150</v>
      </c>
      <c r="AL212" t="s">
        <v>150</v>
      </c>
      <c r="AM212" t="s">
        <v>162</v>
      </c>
      <c r="AN212" t="s">
        <v>162</v>
      </c>
      <c r="AO212" t="s">
        <v>1740</v>
      </c>
      <c r="AP212" t="s">
        <v>131</v>
      </c>
      <c r="AQ212" t="s">
        <v>302</v>
      </c>
      <c r="AR212" t="s">
        <v>1741</v>
      </c>
      <c r="AS212" t="s">
        <v>1742</v>
      </c>
      <c r="AT212" t="s">
        <v>1743</v>
      </c>
      <c r="AU212" t="s">
        <v>157</v>
      </c>
      <c r="AV212" t="s">
        <v>1744</v>
      </c>
      <c r="AW212" s="1" t="s">
        <v>123</v>
      </c>
      <c r="AX212" t="s">
        <v>132</v>
      </c>
      <c r="CQ212" s="1" t="s">
        <v>123</v>
      </c>
      <c r="DA212" s="1" t="s">
        <v>123</v>
      </c>
      <c r="DK212" s="1" t="s">
        <v>123</v>
      </c>
      <c r="EN212" s="1" t="s">
        <v>123</v>
      </c>
      <c r="FN212" s="1" t="s">
        <v>123</v>
      </c>
      <c r="GV212" t="s">
        <v>1745</v>
      </c>
      <c r="GW212" t="s">
        <v>1746</v>
      </c>
      <c r="GX212" t="s">
        <v>1747</v>
      </c>
      <c r="GY212" t="s">
        <v>186</v>
      </c>
      <c r="GZ212">
        <v>1976</v>
      </c>
      <c r="HA212" t="s">
        <v>141</v>
      </c>
      <c r="HC212" t="s">
        <v>1748</v>
      </c>
      <c r="HD212" t="s">
        <v>1749</v>
      </c>
      <c r="HE212" t="s">
        <v>1750</v>
      </c>
    </row>
    <row r="213" spans="1:213" x14ac:dyDescent="0.45">
      <c r="A213">
        <v>212</v>
      </c>
      <c r="B213">
        <f>_xlfn.IFNA(VLOOKUP(Wszystkie[[#This Row],[Zakończono wypełnianie]],Zakończone[],2,0),"BRAK")</f>
        <v>116</v>
      </c>
      <c r="C213" t="s">
        <v>1751</v>
      </c>
      <c r="D213" t="s">
        <v>118</v>
      </c>
      <c r="I213" t="s">
        <v>119</v>
      </c>
      <c r="J213" t="s">
        <v>1752</v>
      </c>
      <c r="K213" t="s">
        <v>1753</v>
      </c>
      <c r="L213">
        <v>625</v>
      </c>
      <c r="M213">
        <v>0</v>
      </c>
      <c r="N213" t="s">
        <v>122</v>
      </c>
      <c r="O213" s="1" t="s">
        <v>123</v>
      </c>
      <c r="AE213" s="1" t="s">
        <v>124</v>
      </c>
      <c r="AF213" t="s">
        <v>191</v>
      </c>
      <c r="AG213">
        <v>2009</v>
      </c>
      <c r="AH213" t="s">
        <v>126</v>
      </c>
      <c r="AI213" t="s">
        <v>192</v>
      </c>
      <c r="AJ213" t="s">
        <v>162</v>
      </c>
      <c r="AK213" t="s">
        <v>150</v>
      </c>
      <c r="AL213" t="s">
        <v>169</v>
      </c>
      <c r="AM213" t="s">
        <v>169</v>
      </c>
      <c r="AN213" t="s">
        <v>169</v>
      </c>
      <c r="AO213" t="s">
        <v>530</v>
      </c>
      <c r="AP213" t="s">
        <v>226</v>
      </c>
      <c r="AQ213" t="s">
        <v>759</v>
      </c>
      <c r="AS213" t="s">
        <v>1754</v>
      </c>
      <c r="AT213" t="s">
        <v>1755</v>
      </c>
      <c r="AV213" t="s">
        <v>1756</v>
      </c>
      <c r="AW213" s="1" t="s">
        <v>123</v>
      </c>
      <c r="CQ213" s="1" t="s">
        <v>123</v>
      </c>
      <c r="DA213" s="1" t="s">
        <v>123</v>
      </c>
      <c r="DK213" s="1" t="s">
        <v>123</v>
      </c>
      <c r="EN213" s="1" t="s">
        <v>123</v>
      </c>
      <c r="FN213" s="1" t="s">
        <v>123</v>
      </c>
      <c r="GV213" t="s">
        <v>1757</v>
      </c>
      <c r="GW213" t="s">
        <v>1758</v>
      </c>
      <c r="GX213" t="s">
        <v>1759</v>
      </c>
      <c r="GY213" t="s">
        <v>186</v>
      </c>
      <c r="GZ213">
        <v>1984</v>
      </c>
      <c r="HA213" t="s">
        <v>141</v>
      </c>
    </row>
    <row r="214" spans="1:213" x14ac:dyDescent="0.45">
      <c r="A214">
        <v>213</v>
      </c>
      <c r="B214" t="str">
        <f>_xlfn.IFNA(VLOOKUP(Wszystkie[[#This Row],[Zakończono wypełnianie]],Zakończone[],2,0),"BRAK")</f>
        <v>BRAK</v>
      </c>
      <c r="C214" t="s">
        <v>1760</v>
      </c>
      <c r="D214" t="s">
        <v>118</v>
      </c>
      <c r="I214" t="s">
        <v>286</v>
      </c>
      <c r="J214" t="s">
        <v>1761</v>
      </c>
      <c r="K214" t="s">
        <v>1761</v>
      </c>
      <c r="L214">
        <v>0</v>
      </c>
      <c r="M214">
        <v>0</v>
      </c>
      <c r="N214" t="s">
        <v>122</v>
      </c>
      <c r="O214" s="1" t="s">
        <v>123</v>
      </c>
      <c r="AE214" s="1" t="s">
        <v>124</v>
      </c>
      <c r="AW214" s="1"/>
      <c r="CQ214" s="1"/>
      <c r="DA214" s="1"/>
      <c r="DK214" s="1"/>
      <c r="EN214" s="1"/>
      <c r="FN214" s="1"/>
    </row>
    <row r="215" spans="1:213" x14ac:dyDescent="0.45">
      <c r="A215">
        <v>214</v>
      </c>
      <c r="B215">
        <f>_xlfn.IFNA(VLOOKUP(Wszystkie[[#This Row],[Zakończono wypełnianie]],Zakończone[],2,0),"BRAK")</f>
        <v>117</v>
      </c>
      <c r="C215" t="s">
        <v>1762</v>
      </c>
      <c r="D215" t="s">
        <v>118</v>
      </c>
      <c r="I215" t="s">
        <v>119</v>
      </c>
      <c r="J215" t="s">
        <v>1763</v>
      </c>
      <c r="K215" t="s">
        <v>1764</v>
      </c>
      <c r="L215">
        <v>336</v>
      </c>
      <c r="M215">
        <v>0</v>
      </c>
      <c r="N215" t="s">
        <v>122</v>
      </c>
      <c r="O215" s="1" t="s">
        <v>123</v>
      </c>
      <c r="AE215" s="1" t="s">
        <v>124</v>
      </c>
      <c r="AF215" t="s">
        <v>747</v>
      </c>
      <c r="AG215">
        <v>2002</v>
      </c>
      <c r="AH215" t="s">
        <v>126</v>
      </c>
      <c r="AI215" t="s">
        <v>1176</v>
      </c>
      <c r="AJ215" t="s">
        <v>129</v>
      </c>
      <c r="AK215" t="s">
        <v>129</v>
      </c>
      <c r="AL215" t="s">
        <v>129</v>
      </c>
      <c r="AM215" t="s">
        <v>129</v>
      </c>
      <c r="AN215" t="s">
        <v>129</v>
      </c>
      <c r="AO215" t="s">
        <v>1765</v>
      </c>
      <c r="AP215" t="s">
        <v>302</v>
      </c>
      <c r="AQ215" t="s">
        <v>226</v>
      </c>
      <c r="AS215" t="s">
        <v>1766</v>
      </c>
      <c r="AT215" t="s">
        <v>386</v>
      </c>
      <c r="AU215" t="s">
        <v>157</v>
      </c>
      <c r="AV215" t="s">
        <v>1767</v>
      </c>
      <c r="AW215" s="1" t="s">
        <v>123</v>
      </c>
      <c r="CQ215" s="1" t="s">
        <v>123</v>
      </c>
      <c r="DA215" s="1" t="s">
        <v>123</v>
      </c>
      <c r="DK215" s="1" t="s">
        <v>123</v>
      </c>
      <c r="EN215" s="1" t="s">
        <v>123</v>
      </c>
      <c r="FN215" s="1" t="s">
        <v>123</v>
      </c>
      <c r="GV215" t="s">
        <v>1768</v>
      </c>
      <c r="GW215" t="s">
        <v>1769</v>
      </c>
      <c r="GX215" t="s">
        <v>1769</v>
      </c>
      <c r="GY215" t="s">
        <v>186</v>
      </c>
      <c r="GZ215">
        <v>1977</v>
      </c>
      <c r="HA215" t="s">
        <v>141</v>
      </c>
      <c r="HC215" t="s">
        <v>386</v>
      </c>
      <c r="HD215" t="s">
        <v>386</v>
      </c>
    </row>
    <row r="216" spans="1:213" x14ac:dyDescent="0.45">
      <c r="A216">
        <v>215</v>
      </c>
      <c r="B216">
        <f>_xlfn.IFNA(VLOOKUP(Wszystkie[[#This Row],[Zakończono wypełnianie]],Zakończone[],2,0),"BRAK")</f>
        <v>118</v>
      </c>
      <c r="C216" t="s">
        <v>1131</v>
      </c>
      <c r="D216" t="s">
        <v>118</v>
      </c>
      <c r="I216" t="s">
        <v>119</v>
      </c>
      <c r="J216" t="s">
        <v>1770</v>
      </c>
      <c r="K216" t="s">
        <v>1771</v>
      </c>
      <c r="L216">
        <v>1129</v>
      </c>
      <c r="M216">
        <v>0</v>
      </c>
      <c r="N216" t="s">
        <v>122</v>
      </c>
      <c r="O216" s="1" t="s">
        <v>123</v>
      </c>
      <c r="Q216" t="s">
        <v>148</v>
      </c>
      <c r="AE216" s="1" t="s">
        <v>124</v>
      </c>
      <c r="AF216" t="s">
        <v>191</v>
      </c>
      <c r="AG216">
        <v>2014</v>
      </c>
      <c r="AH216" t="s">
        <v>126</v>
      </c>
      <c r="AI216" t="s">
        <v>1186</v>
      </c>
      <c r="AJ216" t="s">
        <v>162</v>
      </c>
      <c r="AK216" t="s">
        <v>150</v>
      </c>
      <c r="AL216" t="s">
        <v>162</v>
      </c>
      <c r="AM216" t="s">
        <v>162</v>
      </c>
      <c r="AN216" t="s">
        <v>150</v>
      </c>
      <c r="AO216">
        <v>1</v>
      </c>
      <c r="AP216" t="s">
        <v>131</v>
      </c>
      <c r="AQ216" t="s">
        <v>153</v>
      </c>
      <c r="AS216" t="s">
        <v>766</v>
      </c>
      <c r="AT216" t="s">
        <v>1772</v>
      </c>
      <c r="AU216" t="s">
        <v>172</v>
      </c>
      <c r="AW216" s="1" t="s">
        <v>123</v>
      </c>
      <c r="CQ216" s="1" t="s">
        <v>123</v>
      </c>
      <c r="DA216" s="1" t="s">
        <v>123</v>
      </c>
      <c r="DK216" s="1" t="s">
        <v>123</v>
      </c>
      <c r="EN216" s="1" t="s">
        <v>123</v>
      </c>
      <c r="FN216" s="1" t="s">
        <v>123</v>
      </c>
      <c r="GV216" t="s">
        <v>1773</v>
      </c>
      <c r="GW216" t="s">
        <v>1774</v>
      </c>
      <c r="GX216" t="s">
        <v>1775</v>
      </c>
      <c r="GY216" t="s">
        <v>140</v>
      </c>
      <c r="GZ216">
        <v>1990</v>
      </c>
      <c r="HA216" t="s">
        <v>141</v>
      </c>
      <c r="HC216" t="s">
        <v>1776</v>
      </c>
      <c r="HD216" t="s">
        <v>1777</v>
      </c>
    </row>
    <row r="217" spans="1:213" x14ac:dyDescent="0.45">
      <c r="A217">
        <v>216</v>
      </c>
      <c r="B217" t="str">
        <f>_xlfn.IFNA(VLOOKUP(Wszystkie[[#This Row],[Zakończono wypełnianie]],Zakończone[],2,0),"BRAK")</f>
        <v>BRAK</v>
      </c>
      <c r="C217" t="s">
        <v>1778</v>
      </c>
      <c r="D217" t="s">
        <v>118</v>
      </c>
      <c r="E217" t="s">
        <v>260</v>
      </c>
      <c r="I217" t="s">
        <v>286</v>
      </c>
      <c r="J217" t="s">
        <v>1779</v>
      </c>
      <c r="K217" t="s">
        <v>1779</v>
      </c>
      <c r="L217">
        <v>0</v>
      </c>
      <c r="M217">
        <v>0</v>
      </c>
      <c r="N217" t="s">
        <v>122</v>
      </c>
      <c r="O217" s="1" t="s">
        <v>416</v>
      </c>
      <c r="AE217" s="1"/>
      <c r="AW217" s="1"/>
      <c r="CQ217" s="1"/>
      <c r="DA217" s="1"/>
      <c r="DK217" s="1"/>
      <c r="EN217" s="1"/>
      <c r="FN217" s="1"/>
    </row>
    <row r="218" spans="1:213" x14ac:dyDescent="0.45">
      <c r="A218">
        <v>217</v>
      </c>
      <c r="B218">
        <f>_xlfn.IFNA(VLOOKUP(Wszystkie[[#This Row],[Zakończono wypełnianie]],Zakończone[],2,0),"BRAK")</f>
        <v>119</v>
      </c>
      <c r="C218" t="s">
        <v>1780</v>
      </c>
      <c r="D218" t="s">
        <v>118</v>
      </c>
      <c r="E218" t="s">
        <v>1781</v>
      </c>
      <c r="I218" t="s">
        <v>119</v>
      </c>
      <c r="J218" t="s">
        <v>1782</v>
      </c>
      <c r="K218" t="s">
        <v>1783</v>
      </c>
      <c r="L218">
        <v>968</v>
      </c>
      <c r="M218">
        <v>0</v>
      </c>
      <c r="N218" t="s">
        <v>122</v>
      </c>
      <c r="O218" s="1" t="s">
        <v>123</v>
      </c>
      <c r="AE218" s="1" t="s">
        <v>124</v>
      </c>
      <c r="AF218" t="s">
        <v>223</v>
      </c>
      <c r="AG218">
        <v>2011</v>
      </c>
      <c r="AH218" t="s">
        <v>148</v>
      </c>
      <c r="AI218" t="s">
        <v>1784</v>
      </c>
      <c r="AJ218" t="s">
        <v>150</v>
      </c>
      <c r="AK218" t="s">
        <v>162</v>
      </c>
      <c r="AL218" t="s">
        <v>169</v>
      </c>
      <c r="AM218" t="s">
        <v>150</v>
      </c>
      <c r="AN218" t="s">
        <v>150</v>
      </c>
      <c r="AO218">
        <v>2</v>
      </c>
      <c r="AP218" t="s">
        <v>302</v>
      </c>
      <c r="AQ218" t="s">
        <v>153</v>
      </c>
      <c r="AR218" t="s">
        <v>1785</v>
      </c>
      <c r="AS218" t="s">
        <v>1786</v>
      </c>
      <c r="AT218" t="s">
        <v>1787</v>
      </c>
      <c r="AU218" t="s">
        <v>157</v>
      </c>
      <c r="AW218" s="1" t="s">
        <v>123</v>
      </c>
      <c r="AX218" t="s">
        <v>132</v>
      </c>
      <c r="CQ218" s="1" t="s">
        <v>123</v>
      </c>
      <c r="DA218" s="1" t="s">
        <v>123</v>
      </c>
      <c r="DK218" s="1" t="s">
        <v>123</v>
      </c>
      <c r="EN218" s="1" t="s">
        <v>123</v>
      </c>
      <c r="FN218" s="1" t="s">
        <v>123</v>
      </c>
      <c r="GV218" t="s">
        <v>1788</v>
      </c>
      <c r="GW218" t="s">
        <v>1789</v>
      </c>
      <c r="GX218" t="s">
        <v>1790</v>
      </c>
      <c r="GY218" t="s">
        <v>140</v>
      </c>
      <c r="GZ218">
        <v>1986</v>
      </c>
      <c r="HA218" t="s">
        <v>398</v>
      </c>
      <c r="HC218" t="s">
        <v>1791</v>
      </c>
    </row>
    <row r="219" spans="1:213" x14ac:dyDescent="0.45">
      <c r="A219">
        <v>218</v>
      </c>
      <c r="B219">
        <f>_xlfn.IFNA(VLOOKUP(Wszystkie[[#This Row],[Zakończono wypełnianie]],Zakończone[],2,0),"BRAK")</f>
        <v>120</v>
      </c>
      <c r="C219" t="s">
        <v>1792</v>
      </c>
      <c r="D219" t="s">
        <v>118</v>
      </c>
      <c r="E219" t="s">
        <v>359</v>
      </c>
      <c r="I219" t="s">
        <v>119</v>
      </c>
      <c r="J219" t="s">
        <v>1793</v>
      </c>
      <c r="K219" t="s">
        <v>1794</v>
      </c>
      <c r="L219">
        <v>465</v>
      </c>
      <c r="M219">
        <v>0</v>
      </c>
      <c r="N219" t="s">
        <v>122</v>
      </c>
      <c r="O219" s="1" t="s">
        <v>123</v>
      </c>
      <c r="AE219" s="1" t="s">
        <v>124</v>
      </c>
      <c r="AF219" t="s">
        <v>191</v>
      </c>
      <c r="AG219">
        <v>2016</v>
      </c>
      <c r="AH219" t="s">
        <v>126</v>
      </c>
      <c r="AI219" t="s">
        <v>1795</v>
      </c>
      <c r="AJ219" t="s">
        <v>236</v>
      </c>
      <c r="AK219" t="s">
        <v>236</v>
      </c>
      <c r="AL219" t="s">
        <v>129</v>
      </c>
      <c r="AM219" t="s">
        <v>129</v>
      </c>
      <c r="AN219" t="s">
        <v>129</v>
      </c>
      <c r="AO219">
        <v>34</v>
      </c>
      <c r="AP219" t="s">
        <v>152</v>
      </c>
      <c r="AQ219" t="s">
        <v>152</v>
      </c>
      <c r="AR219" t="s">
        <v>1796</v>
      </c>
      <c r="AS219" t="s">
        <v>1797</v>
      </c>
      <c r="AT219" t="s">
        <v>1798</v>
      </c>
      <c r="AU219" t="s">
        <v>157</v>
      </c>
      <c r="AW219" s="1" t="s">
        <v>123</v>
      </c>
      <c r="AX219" t="s">
        <v>132</v>
      </c>
      <c r="CQ219" s="1" t="s">
        <v>123</v>
      </c>
      <c r="DA219" s="1" t="s">
        <v>123</v>
      </c>
      <c r="DK219" s="1" t="s">
        <v>123</v>
      </c>
      <c r="EN219" s="1" t="s">
        <v>123</v>
      </c>
      <c r="FN219" s="1" t="s">
        <v>123</v>
      </c>
      <c r="GV219" t="s">
        <v>1799</v>
      </c>
      <c r="GW219" t="s">
        <v>1800</v>
      </c>
      <c r="GX219" t="s">
        <v>1801</v>
      </c>
      <c r="GY219" t="s">
        <v>140</v>
      </c>
      <c r="GZ219">
        <v>2006</v>
      </c>
      <c r="HA219" t="s">
        <v>483</v>
      </c>
    </row>
    <row r="220" spans="1:213" x14ac:dyDescent="0.45">
      <c r="A220">
        <v>219</v>
      </c>
      <c r="B220" t="str">
        <f>_xlfn.IFNA(VLOOKUP(Wszystkie[[#This Row],[Zakończono wypełnianie]],Zakończone[],2,0),"BRAK")</f>
        <v>BRAK</v>
      </c>
      <c r="C220" t="s">
        <v>1802</v>
      </c>
      <c r="D220" t="s">
        <v>118</v>
      </c>
      <c r="E220" t="s">
        <v>359</v>
      </c>
      <c r="I220" t="s">
        <v>286</v>
      </c>
      <c r="J220" t="s">
        <v>1803</v>
      </c>
      <c r="K220" t="s">
        <v>1803</v>
      </c>
      <c r="L220">
        <v>0</v>
      </c>
      <c r="M220">
        <v>0</v>
      </c>
      <c r="N220" t="s">
        <v>122</v>
      </c>
      <c r="O220" s="1" t="s">
        <v>123</v>
      </c>
      <c r="AE220" s="1" t="s">
        <v>124</v>
      </c>
      <c r="AF220" t="s">
        <v>191</v>
      </c>
      <c r="AG220">
        <v>2016</v>
      </c>
      <c r="AH220" t="s">
        <v>126</v>
      </c>
      <c r="AI220" t="s">
        <v>1795</v>
      </c>
      <c r="AJ220" t="s">
        <v>236</v>
      </c>
      <c r="AK220" t="s">
        <v>236</v>
      </c>
      <c r="AL220" t="s">
        <v>151</v>
      </c>
      <c r="AM220" t="s">
        <v>129</v>
      </c>
      <c r="AN220" t="s">
        <v>132</v>
      </c>
      <c r="AO220" t="s">
        <v>1804</v>
      </c>
      <c r="AP220" t="s">
        <v>131</v>
      </c>
      <c r="AQ220" t="s">
        <v>132</v>
      </c>
      <c r="AR220" t="s">
        <v>1805</v>
      </c>
      <c r="AS220" t="s">
        <v>1806</v>
      </c>
      <c r="AT220" t="s">
        <v>1807</v>
      </c>
      <c r="AU220" t="s">
        <v>157</v>
      </c>
      <c r="AW220" s="1" t="s">
        <v>159</v>
      </c>
      <c r="AX220">
        <v>1</v>
      </c>
      <c r="CQ220" s="1"/>
      <c r="DA220" s="1"/>
      <c r="DK220" s="1"/>
      <c r="EN220" s="1"/>
      <c r="FN220" s="1"/>
    </row>
    <row r="221" spans="1:213" x14ac:dyDescent="0.45">
      <c r="A221">
        <v>220</v>
      </c>
      <c r="B221">
        <f>_xlfn.IFNA(VLOOKUP(Wszystkie[[#This Row],[Zakończono wypełnianie]],Zakończone[],2,0),"BRAK")</f>
        <v>121</v>
      </c>
      <c r="C221" t="s">
        <v>1336</v>
      </c>
      <c r="D221" t="s">
        <v>118</v>
      </c>
      <c r="I221" t="s">
        <v>119</v>
      </c>
      <c r="J221" t="s">
        <v>1808</v>
      </c>
      <c r="K221" t="s">
        <v>1809</v>
      </c>
      <c r="L221">
        <v>2379</v>
      </c>
      <c r="M221">
        <v>0</v>
      </c>
      <c r="N221" t="s">
        <v>122</v>
      </c>
      <c r="O221" s="1" t="s">
        <v>123</v>
      </c>
      <c r="AE221" s="1" t="s">
        <v>124</v>
      </c>
      <c r="AF221" t="s">
        <v>223</v>
      </c>
      <c r="AG221">
        <v>2012</v>
      </c>
      <c r="AH221" t="s">
        <v>148</v>
      </c>
      <c r="AI221" t="s">
        <v>1810</v>
      </c>
      <c r="AJ221" t="s">
        <v>150</v>
      </c>
      <c r="AK221" t="s">
        <v>162</v>
      </c>
      <c r="AL221" t="s">
        <v>150</v>
      </c>
      <c r="AM221" t="s">
        <v>162</v>
      </c>
      <c r="AN221" t="s">
        <v>150</v>
      </c>
      <c r="AO221" t="s">
        <v>237</v>
      </c>
      <c r="AP221" t="s">
        <v>132</v>
      </c>
      <c r="AQ221" t="s">
        <v>132</v>
      </c>
      <c r="AR221" t="s">
        <v>1811</v>
      </c>
      <c r="AS221" t="s">
        <v>1812</v>
      </c>
      <c r="AT221" t="s">
        <v>1813</v>
      </c>
      <c r="AU221" t="s">
        <v>230</v>
      </c>
      <c r="AV221" t="s">
        <v>1814</v>
      </c>
      <c r="AW221" s="1" t="s">
        <v>123</v>
      </c>
      <c r="CQ221" s="1" t="s">
        <v>123</v>
      </c>
      <c r="DA221" s="1" t="s">
        <v>123</v>
      </c>
      <c r="DK221" s="1" t="s">
        <v>123</v>
      </c>
      <c r="EN221" s="1" t="s">
        <v>123</v>
      </c>
      <c r="FN221" s="1" t="s">
        <v>123</v>
      </c>
      <c r="GV221" t="s">
        <v>1815</v>
      </c>
      <c r="GW221" t="s">
        <v>1816</v>
      </c>
      <c r="GX221" t="s">
        <v>1817</v>
      </c>
      <c r="GY221" t="s">
        <v>140</v>
      </c>
      <c r="GZ221">
        <v>1986</v>
      </c>
      <c r="HA221" t="s">
        <v>246</v>
      </c>
      <c r="HC221" t="s">
        <v>1818</v>
      </c>
      <c r="HD221" t="s">
        <v>1819</v>
      </c>
    </row>
    <row r="222" spans="1:213" x14ac:dyDescent="0.45">
      <c r="A222">
        <v>221</v>
      </c>
      <c r="B222" t="str">
        <f>_xlfn.IFNA(VLOOKUP(Wszystkie[[#This Row],[Zakończono wypełnianie]],Zakończone[],2,0),"BRAK")</f>
        <v>BRAK</v>
      </c>
      <c r="C222" t="s">
        <v>1352</v>
      </c>
      <c r="D222" t="s">
        <v>118</v>
      </c>
      <c r="I222" t="s">
        <v>286</v>
      </c>
      <c r="J222" t="s">
        <v>1820</v>
      </c>
      <c r="K222" t="s">
        <v>1820</v>
      </c>
      <c r="L222">
        <v>0</v>
      </c>
      <c r="M222">
        <v>0</v>
      </c>
      <c r="N222" t="s">
        <v>122</v>
      </c>
      <c r="O222" s="1" t="s">
        <v>416</v>
      </c>
      <c r="P222" t="s">
        <v>223</v>
      </c>
      <c r="Q222" t="s">
        <v>148</v>
      </c>
      <c r="R222" t="s">
        <v>1495</v>
      </c>
      <c r="S222" t="s">
        <v>128</v>
      </c>
      <c r="T222" t="s">
        <v>236</v>
      </c>
      <c r="U222" t="s">
        <v>129</v>
      </c>
      <c r="V222" t="s">
        <v>1821</v>
      </c>
      <c r="W222" t="s">
        <v>943</v>
      </c>
      <c r="X222" t="s">
        <v>194</v>
      </c>
      <c r="Y222" t="s">
        <v>1822</v>
      </c>
      <c r="Z222" t="s">
        <v>1823</v>
      </c>
      <c r="AA222" t="s">
        <v>1824</v>
      </c>
      <c r="AB222" t="s">
        <v>892</v>
      </c>
      <c r="AD222">
        <v>5</v>
      </c>
      <c r="AE222" s="1" t="s">
        <v>123</v>
      </c>
      <c r="AW222" s="1" t="s">
        <v>123</v>
      </c>
      <c r="AX222" t="s">
        <v>132</v>
      </c>
      <c r="CQ222" s="1" t="s">
        <v>123</v>
      </c>
      <c r="DA222" s="1" t="s">
        <v>123</v>
      </c>
      <c r="DK222" s="1" t="s">
        <v>123</v>
      </c>
      <c r="EN222" s="1" t="s">
        <v>123</v>
      </c>
      <c r="FN222" s="1" t="s">
        <v>123</v>
      </c>
    </row>
    <row r="223" spans="1:213" x14ac:dyDescent="0.45">
      <c r="A223">
        <v>222</v>
      </c>
      <c r="B223" t="str">
        <f>_xlfn.IFNA(VLOOKUP(Wszystkie[[#This Row],[Zakończono wypełnianie]],Zakończone[],2,0),"BRAK")</f>
        <v>BRAK</v>
      </c>
      <c r="C223" t="s">
        <v>1825</v>
      </c>
      <c r="D223" t="s">
        <v>118</v>
      </c>
      <c r="I223" t="s">
        <v>286</v>
      </c>
      <c r="J223" t="s">
        <v>1826</v>
      </c>
      <c r="K223" t="s">
        <v>1826</v>
      </c>
      <c r="L223">
        <v>0</v>
      </c>
      <c r="M223">
        <v>0</v>
      </c>
      <c r="N223" t="s">
        <v>122</v>
      </c>
      <c r="O223" s="1" t="s">
        <v>123</v>
      </c>
      <c r="AE223" s="1" t="s">
        <v>124</v>
      </c>
      <c r="AW223" s="1"/>
      <c r="CQ223" s="1"/>
      <c r="DA223" s="1"/>
      <c r="DK223" s="1"/>
      <c r="EN223" s="1"/>
      <c r="FN223" s="1"/>
    </row>
    <row r="224" spans="1:213" x14ac:dyDescent="0.45">
      <c r="A224">
        <v>223</v>
      </c>
      <c r="B224">
        <f>_xlfn.IFNA(VLOOKUP(Wszystkie[[#This Row],[Zakończono wypełnianie]],Zakończone[],2,0),"BRAK")</f>
        <v>122</v>
      </c>
      <c r="C224" t="s">
        <v>1827</v>
      </c>
      <c r="D224" t="s">
        <v>118</v>
      </c>
      <c r="I224" t="s">
        <v>119</v>
      </c>
      <c r="J224" t="s">
        <v>1828</v>
      </c>
      <c r="K224" t="s">
        <v>1829</v>
      </c>
      <c r="L224">
        <v>673</v>
      </c>
      <c r="M224">
        <v>0</v>
      </c>
      <c r="N224" t="s">
        <v>122</v>
      </c>
      <c r="O224" s="1" t="s">
        <v>123</v>
      </c>
      <c r="AE224" s="1" t="s">
        <v>124</v>
      </c>
      <c r="AF224" t="s">
        <v>1830</v>
      </c>
      <c r="AG224">
        <v>2005</v>
      </c>
      <c r="AH224" t="s">
        <v>148</v>
      </c>
      <c r="AI224" t="s">
        <v>1831</v>
      </c>
      <c r="AJ224" t="s">
        <v>162</v>
      </c>
      <c r="AK224" t="s">
        <v>169</v>
      </c>
      <c r="AL224" t="s">
        <v>169</v>
      </c>
      <c r="AM224" t="s">
        <v>128</v>
      </c>
      <c r="AN224" t="s">
        <v>162</v>
      </c>
      <c r="AO224" t="s">
        <v>237</v>
      </c>
      <c r="AP224" t="s">
        <v>302</v>
      </c>
      <c r="AQ224" t="s">
        <v>153</v>
      </c>
      <c r="AR224" t="s">
        <v>1832</v>
      </c>
      <c r="AS224" t="s">
        <v>1833</v>
      </c>
      <c r="AT224" t="s">
        <v>1834</v>
      </c>
      <c r="AV224" t="s">
        <v>158</v>
      </c>
      <c r="AW224" s="1" t="s">
        <v>123</v>
      </c>
      <c r="CQ224" s="1" t="s">
        <v>123</v>
      </c>
      <c r="DA224" s="1" t="s">
        <v>214</v>
      </c>
      <c r="DB224" t="s">
        <v>191</v>
      </c>
      <c r="DC224" t="s">
        <v>1835</v>
      </c>
      <c r="DD224" t="s">
        <v>150</v>
      </c>
      <c r="DE224" t="s">
        <v>150</v>
      </c>
      <c r="DF224" t="s">
        <v>151</v>
      </c>
      <c r="DG224" t="s">
        <v>150</v>
      </c>
      <c r="DH224" t="s">
        <v>169</v>
      </c>
      <c r="DI224" t="s">
        <v>169</v>
      </c>
      <c r="DJ224" t="s">
        <v>1836</v>
      </c>
      <c r="DK224" s="1" t="s">
        <v>123</v>
      </c>
      <c r="EN224" s="1" t="s">
        <v>123</v>
      </c>
      <c r="FN224" s="1" t="s">
        <v>123</v>
      </c>
      <c r="GV224" t="s">
        <v>1837</v>
      </c>
      <c r="GW224" t="s">
        <v>1838</v>
      </c>
      <c r="GX224" t="s">
        <v>1839</v>
      </c>
      <c r="GY224" t="s">
        <v>140</v>
      </c>
      <c r="GZ224">
        <v>1981</v>
      </c>
      <c r="HA224" t="s">
        <v>141</v>
      </c>
      <c r="HC224" t="s">
        <v>1840</v>
      </c>
    </row>
    <row r="225" spans="1:213" x14ac:dyDescent="0.45">
      <c r="A225">
        <v>224</v>
      </c>
      <c r="B225" t="str">
        <f>_xlfn.IFNA(VLOOKUP(Wszystkie[[#This Row],[Zakończono wypełnianie]],Zakończone[],2,0),"BRAK")</f>
        <v>BRAK</v>
      </c>
      <c r="C225" t="s">
        <v>1841</v>
      </c>
      <c r="D225" t="s">
        <v>118</v>
      </c>
      <c r="E225" t="s">
        <v>359</v>
      </c>
      <c r="I225" t="s">
        <v>286</v>
      </c>
      <c r="J225" t="s">
        <v>1842</v>
      </c>
      <c r="K225" t="s">
        <v>1842</v>
      </c>
      <c r="L225">
        <v>0</v>
      </c>
      <c r="M225">
        <v>0</v>
      </c>
      <c r="N225" t="s">
        <v>122</v>
      </c>
      <c r="O225" s="1" t="s">
        <v>123</v>
      </c>
      <c r="AE225" s="1" t="s">
        <v>124</v>
      </c>
      <c r="AW225" s="1"/>
      <c r="CQ225" s="1"/>
      <c r="DA225" s="1"/>
      <c r="DK225" s="1"/>
      <c r="EN225" s="1"/>
      <c r="FN225" s="1"/>
    </row>
    <row r="226" spans="1:213" x14ac:dyDescent="0.45">
      <c r="A226">
        <v>225</v>
      </c>
      <c r="B226" t="str">
        <f>_xlfn.IFNA(VLOOKUP(Wszystkie[[#This Row],[Zakończono wypełnianie]],Zakończone[],2,0),"BRAK")</f>
        <v>BRAK</v>
      </c>
      <c r="C226" t="s">
        <v>1131</v>
      </c>
      <c r="D226" t="s">
        <v>118</v>
      </c>
      <c r="I226" t="s">
        <v>286</v>
      </c>
      <c r="J226" t="s">
        <v>1843</v>
      </c>
      <c r="K226" t="s">
        <v>1843</v>
      </c>
      <c r="L226">
        <v>0</v>
      </c>
      <c r="M226">
        <v>0</v>
      </c>
      <c r="N226" t="s">
        <v>122</v>
      </c>
      <c r="O226" s="1" t="s">
        <v>123</v>
      </c>
      <c r="AE226" s="1" t="s">
        <v>124</v>
      </c>
      <c r="AW226" s="1"/>
      <c r="CQ226" s="1"/>
      <c r="DA226" s="1"/>
      <c r="DK226" s="1"/>
      <c r="EN226" s="1"/>
      <c r="FN226" s="1"/>
    </row>
    <row r="227" spans="1:213" x14ac:dyDescent="0.45">
      <c r="A227">
        <v>226</v>
      </c>
      <c r="B227" t="str">
        <f>_xlfn.IFNA(VLOOKUP(Wszystkie[[#This Row],[Zakończono wypełnianie]],Zakończone[],2,0),"BRAK")</f>
        <v>BRAK</v>
      </c>
      <c r="C227" t="s">
        <v>1331</v>
      </c>
      <c r="D227" t="s">
        <v>118</v>
      </c>
      <c r="I227" t="s">
        <v>286</v>
      </c>
      <c r="J227" t="s">
        <v>1844</v>
      </c>
      <c r="K227" t="s">
        <v>1844</v>
      </c>
      <c r="L227">
        <v>0</v>
      </c>
      <c r="M227">
        <v>0</v>
      </c>
      <c r="N227" t="s">
        <v>122</v>
      </c>
      <c r="O227" s="1" t="s">
        <v>416</v>
      </c>
      <c r="AE227" s="1"/>
      <c r="AW227" s="1"/>
      <c r="CQ227" s="1"/>
      <c r="DA227" s="1"/>
      <c r="DK227" s="1"/>
      <c r="EN227" s="1"/>
      <c r="FN227" s="1"/>
    </row>
    <row r="228" spans="1:213" x14ac:dyDescent="0.45">
      <c r="A228">
        <v>227</v>
      </c>
      <c r="B228">
        <f>_xlfn.IFNA(VLOOKUP(Wszystkie[[#This Row],[Zakończono wypełnianie]],Zakończone[],2,0),"BRAK")</f>
        <v>123</v>
      </c>
      <c r="C228" t="s">
        <v>1845</v>
      </c>
      <c r="D228" t="s">
        <v>118</v>
      </c>
      <c r="I228" t="s">
        <v>119</v>
      </c>
      <c r="J228" t="s">
        <v>1846</v>
      </c>
      <c r="K228" t="s">
        <v>1847</v>
      </c>
      <c r="L228">
        <v>790</v>
      </c>
      <c r="M228">
        <v>0</v>
      </c>
      <c r="N228" t="s">
        <v>122</v>
      </c>
      <c r="O228" s="1" t="s">
        <v>123</v>
      </c>
      <c r="AE228" s="1" t="s">
        <v>124</v>
      </c>
      <c r="AF228" t="s">
        <v>223</v>
      </c>
      <c r="AG228">
        <v>2018</v>
      </c>
      <c r="AH228" t="s">
        <v>148</v>
      </c>
      <c r="AI228" t="s">
        <v>461</v>
      </c>
      <c r="AJ228" t="s">
        <v>162</v>
      </c>
      <c r="AK228" t="s">
        <v>162</v>
      </c>
      <c r="AL228" t="s">
        <v>150</v>
      </c>
      <c r="AM228" t="s">
        <v>169</v>
      </c>
      <c r="AN228" t="s">
        <v>132</v>
      </c>
      <c r="AO228" t="s">
        <v>1848</v>
      </c>
      <c r="AP228" t="s">
        <v>302</v>
      </c>
      <c r="AQ228" t="s">
        <v>132</v>
      </c>
      <c r="AR228" t="s">
        <v>1849</v>
      </c>
      <c r="AS228" t="s">
        <v>1850</v>
      </c>
      <c r="AT228" t="s">
        <v>1851</v>
      </c>
      <c r="AU228" t="s">
        <v>157</v>
      </c>
      <c r="AW228" s="1" t="s">
        <v>123</v>
      </c>
      <c r="CQ228" s="1" t="s">
        <v>123</v>
      </c>
      <c r="DA228" s="1" t="s">
        <v>123</v>
      </c>
      <c r="DK228" s="1" t="s">
        <v>123</v>
      </c>
      <c r="EN228" s="1" t="s">
        <v>123</v>
      </c>
      <c r="FN228" s="1" t="s">
        <v>123</v>
      </c>
      <c r="GV228" t="s">
        <v>1852</v>
      </c>
      <c r="GW228" t="s">
        <v>1853</v>
      </c>
      <c r="GX228" t="s">
        <v>1854</v>
      </c>
      <c r="GY228" t="s">
        <v>140</v>
      </c>
      <c r="GZ228">
        <v>1994</v>
      </c>
      <c r="HA228" t="s">
        <v>141</v>
      </c>
      <c r="HB228" t="s">
        <v>1855</v>
      </c>
      <c r="HC228" t="s">
        <v>1856</v>
      </c>
    </row>
    <row r="229" spans="1:213" x14ac:dyDescent="0.45">
      <c r="A229">
        <v>228</v>
      </c>
      <c r="B229" t="str">
        <f>_xlfn.IFNA(VLOOKUP(Wszystkie[[#This Row],[Zakończono wypełnianie]],Zakończone[],2,0),"BRAK")</f>
        <v>BRAK</v>
      </c>
      <c r="C229" t="s">
        <v>1857</v>
      </c>
      <c r="D229" t="s">
        <v>118</v>
      </c>
      <c r="E229" t="s">
        <v>1781</v>
      </c>
      <c r="I229" t="s">
        <v>286</v>
      </c>
      <c r="J229" t="s">
        <v>1858</v>
      </c>
      <c r="K229" t="s">
        <v>1858</v>
      </c>
      <c r="L229">
        <v>0</v>
      </c>
      <c r="M229">
        <v>0</v>
      </c>
      <c r="N229" t="s">
        <v>122</v>
      </c>
      <c r="O229" s="1" t="s">
        <v>123</v>
      </c>
      <c r="AE229" s="1" t="s">
        <v>124</v>
      </c>
      <c r="AW229" s="1"/>
      <c r="CQ229" s="1"/>
      <c r="DA229" s="1"/>
      <c r="DK229" s="1"/>
      <c r="EN229" s="1"/>
      <c r="FN229" s="1"/>
    </row>
    <row r="230" spans="1:213" x14ac:dyDescent="0.45">
      <c r="A230">
        <v>137</v>
      </c>
      <c r="B230">
        <f>_xlfn.IFNA(VLOOKUP(Wszystkie[[#This Row],[Zakończono wypełnianie]],Zakończone[],2,0),"BRAK")</f>
        <v>83</v>
      </c>
      <c r="C230" t="s">
        <v>1142</v>
      </c>
      <c r="D230" t="s">
        <v>118</v>
      </c>
      <c r="I230" t="s">
        <v>119</v>
      </c>
      <c r="J230" t="s">
        <v>1288</v>
      </c>
      <c r="K230" t="s">
        <v>1289</v>
      </c>
      <c r="L230">
        <v>1208727</v>
      </c>
      <c r="M230">
        <v>0</v>
      </c>
      <c r="N230" t="s">
        <v>122</v>
      </c>
      <c r="O230" s="1" t="s">
        <v>123</v>
      </c>
      <c r="AE230" s="1" t="s">
        <v>124</v>
      </c>
      <c r="AF230" t="s">
        <v>1290</v>
      </c>
      <c r="AG230">
        <v>2012</v>
      </c>
      <c r="AH230" t="s">
        <v>148</v>
      </c>
      <c r="AI230" t="s">
        <v>1050</v>
      </c>
      <c r="AJ230" t="s">
        <v>162</v>
      </c>
      <c r="AK230" t="s">
        <v>151</v>
      </c>
      <c r="AL230" t="s">
        <v>162</v>
      </c>
      <c r="AM230" t="s">
        <v>151</v>
      </c>
      <c r="AN230" t="s">
        <v>128</v>
      </c>
      <c r="AO230" t="s">
        <v>237</v>
      </c>
      <c r="AP230" t="s">
        <v>132</v>
      </c>
      <c r="AQ230" t="s">
        <v>132</v>
      </c>
      <c r="AR230" t="s">
        <v>1291</v>
      </c>
      <c r="AS230" t="s">
        <v>1292</v>
      </c>
      <c r="AT230" t="s">
        <v>1293</v>
      </c>
      <c r="AU230" t="s">
        <v>892</v>
      </c>
      <c r="AW230" s="1" t="s">
        <v>123</v>
      </c>
      <c r="AX230" t="s">
        <v>132</v>
      </c>
      <c r="CQ230" s="1" t="s">
        <v>123</v>
      </c>
      <c r="DA230" s="1" t="s">
        <v>123</v>
      </c>
      <c r="DK230" s="1" t="s">
        <v>123</v>
      </c>
      <c r="EN230" s="1" t="s">
        <v>177</v>
      </c>
      <c r="EO230" t="s">
        <v>178</v>
      </c>
      <c r="EP230" t="s">
        <v>132</v>
      </c>
      <c r="EQ230" t="s">
        <v>191</v>
      </c>
      <c r="ER230" t="s">
        <v>162</v>
      </c>
      <c r="ES230" t="s">
        <v>151</v>
      </c>
      <c r="ET230" t="s">
        <v>128</v>
      </c>
      <c r="EU230" t="s">
        <v>178</v>
      </c>
      <c r="EV230" t="s">
        <v>1294</v>
      </c>
      <c r="EW230" t="s">
        <v>1295</v>
      </c>
      <c r="EX230" t="s">
        <v>173</v>
      </c>
      <c r="FN230" s="1" t="s">
        <v>123</v>
      </c>
      <c r="GV230" t="s">
        <v>1296</v>
      </c>
      <c r="GW230" t="s">
        <v>1297</v>
      </c>
      <c r="GX230" t="s">
        <v>1298</v>
      </c>
      <c r="GY230" t="s">
        <v>186</v>
      </c>
      <c r="GZ230">
        <v>1987</v>
      </c>
      <c r="HA230" t="s">
        <v>246</v>
      </c>
      <c r="HC230" t="s">
        <v>1299</v>
      </c>
      <c r="HD230" t="s">
        <v>1300</v>
      </c>
    </row>
    <row r="231" spans="1:213" x14ac:dyDescent="0.45">
      <c r="A231">
        <v>229</v>
      </c>
      <c r="B231" t="str">
        <f>_xlfn.IFNA(VLOOKUP(Wszystkie[[#This Row],[Zakończono wypełnianie]],Zakończone[],2,0),"BRAK")</f>
        <v>BRAK</v>
      </c>
      <c r="C231" t="s">
        <v>1859</v>
      </c>
      <c r="D231" t="s">
        <v>118</v>
      </c>
      <c r="E231" t="s">
        <v>1860</v>
      </c>
      <c r="I231" t="s">
        <v>286</v>
      </c>
      <c r="J231" t="s">
        <v>1861</v>
      </c>
      <c r="K231" t="s">
        <v>1861</v>
      </c>
      <c r="L231">
        <v>0</v>
      </c>
      <c r="M231">
        <v>0</v>
      </c>
      <c r="N231" t="s">
        <v>122</v>
      </c>
      <c r="O231" s="1" t="s">
        <v>123</v>
      </c>
      <c r="AE231" s="1" t="s">
        <v>124</v>
      </c>
      <c r="AW231" s="1"/>
      <c r="CQ231" s="1"/>
      <c r="DA231" s="1"/>
      <c r="DK231" s="1"/>
      <c r="EN231" s="1"/>
      <c r="FN231" s="1"/>
    </row>
    <row r="232" spans="1:213" x14ac:dyDescent="0.45">
      <c r="A232">
        <v>230</v>
      </c>
      <c r="B232" t="str">
        <f>_xlfn.IFNA(VLOOKUP(Wszystkie[[#This Row],[Zakończono wypełnianie]],Zakończone[],2,0),"BRAK")</f>
        <v>BRAK</v>
      </c>
      <c r="C232" t="s">
        <v>1862</v>
      </c>
      <c r="D232" t="s">
        <v>118</v>
      </c>
      <c r="E232" t="s">
        <v>400</v>
      </c>
      <c r="I232" t="s">
        <v>286</v>
      </c>
      <c r="J232" t="s">
        <v>1863</v>
      </c>
      <c r="K232" t="s">
        <v>1863</v>
      </c>
      <c r="L232">
        <v>0</v>
      </c>
      <c r="M232">
        <v>0</v>
      </c>
      <c r="N232" t="s">
        <v>122</v>
      </c>
      <c r="O232" s="1" t="s">
        <v>123</v>
      </c>
      <c r="AE232" s="1" t="s">
        <v>124</v>
      </c>
      <c r="AW232" s="1"/>
      <c r="CQ232" s="1"/>
      <c r="DA232" s="1"/>
      <c r="DK232" s="1"/>
      <c r="EN232" s="1"/>
      <c r="FN232" s="1"/>
    </row>
    <row r="233" spans="1:213" x14ac:dyDescent="0.45">
      <c r="A233">
        <v>231</v>
      </c>
      <c r="B233">
        <f>_xlfn.IFNA(VLOOKUP(Wszystkie[[#This Row],[Zakończono wypełnianie]],Zakończone[],2,0),"BRAK")</f>
        <v>124</v>
      </c>
      <c r="C233" t="s">
        <v>1864</v>
      </c>
      <c r="D233" t="s">
        <v>118</v>
      </c>
      <c r="E233" t="s">
        <v>359</v>
      </c>
      <c r="I233" t="s">
        <v>119</v>
      </c>
      <c r="J233" t="s">
        <v>1865</v>
      </c>
      <c r="K233" t="s">
        <v>1866</v>
      </c>
      <c r="L233">
        <v>607</v>
      </c>
      <c r="M233">
        <v>0</v>
      </c>
      <c r="N233" t="s">
        <v>122</v>
      </c>
      <c r="O233" s="1" t="s">
        <v>123</v>
      </c>
      <c r="AE233" s="1" t="s">
        <v>124</v>
      </c>
      <c r="AF233" t="s">
        <v>191</v>
      </c>
      <c r="AG233">
        <v>2015</v>
      </c>
      <c r="AH233" t="s">
        <v>148</v>
      </c>
      <c r="AI233" t="s">
        <v>1867</v>
      </c>
      <c r="AJ233" t="s">
        <v>162</v>
      </c>
      <c r="AK233" t="s">
        <v>150</v>
      </c>
      <c r="AL233" t="s">
        <v>169</v>
      </c>
      <c r="AM233" t="s">
        <v>151</v>
      </c>
      <c r="AN233" t="s">
        <v>162</v>
      </c>
      <c r="AO233" t="s">
        <v>1868</v>
      </c>
      <c r="AP233" t="s">
        <v>153</v>
      </c>
      <c r="AQ233" t="s">
        <v>226</v>
      </c>
      <c r="AR233" t="s">
        <v>1869</v>
      </c>
      <c r="AS233" t="s">
        <v>1870</v>
      </c>
      <c r="AT233" t="s">
        <v>1871</v>
      </c>
      <c r="AU233" t="s">
        <v>172</v>
      </c>
      <c r="AW233" s="1" t="s">
        <v>123</v>
      </c>
      <c r="AX233" t="s">
        <v>132</v>
      </c>
      <c r="CQ233" s="1" t="s">
        <v>123</v>
      </c>
      <c r="DA233" s="1" t="s">
        <v>123</v>
      </c>
      <c r="DK233" s="1" t="s">
        <v>123</v>
      </c>
      <c r="EN233" s="1" t="s">
        <v>123</v>
      </c>
      <c r="FN233" s="1" t="s">
        <v>123</v>
      </c>
      <c r="GV233" t="s">
        <v>276</v>
      </c>
      <c r="GW233" t="s">
        <v>1872</v>
      </c>
      <c r="GX233" t="s">
        <v>1873</v>
      </c>
      <c r="GY233" t="s">
        <v>186</v>
      </c>
      <c r="GZ233">
        <v>1991</v>
      </c>
      <c r="HA233" t="s">
        <v>398</v>
      </c>
    </row>
    <row r="234" spans="1:213" x14ac:dyDescent="0.45">
      <c r="A234">
        <v>232</v>
      </c>
      <c r="B234" t="str">
        <f>_xlfn.IFNA(VLOOKUP(Wszystkie[[#This Row],[Zakończono wypełnianie]],Zakończone[],2,0),"BRAK")</f>
        <v>BRAK</v>
      </c>
      <c r="C234" t="s">
        <v>1874</v>
      </c>
      <c r="D234" t="s">
        <v>118</v>
      </c>
      <c r="I234" t="s">
        <v>286</v>
      </c>
      <c r="J234" t="s">
        <v>1875</v>
      </c>
      <c r="K234" t="s">
        <v>1875</v>
      </c>
      <c r="L234">
        <v>0</v>
      </c>
      <c r="M234">
        <v>0</v>
      </c>
      <c r="N234" t="s">
        <v>122</v>
      </c>
      <c r="O234" s="1" t="s">
        <v>416</v>
      </c>
      <c r="P234" t="s">
        <v>223</v>
      </c>
      <c r="Q234" t="s">
        <v>148</v>
      </c>
      <c r="R234" t="s">
        <v>1876</v>
      </c>
      <c r="S234" t="s">
        <v>129</v>
      </c>
      <c r="T234" t="s">
        <v>236</v>
      </c>
      <c r="U234" t="s">
        <v>151</v>
      </c>
      <c r="V234" t="s">
        <v>1877</v>
      </c>
      <c r="W234" t="s">
        <v>302</v>
      </c>
      <c r="X234" t="s">
        <v>153</v>
      </c>
      <c r="Z234" t="s">
        <v>1878</v>
      </c>
      <c r="AA234" t="s">
        <v>1879</v>
      </c>
      <c r="AB234" t="s">
        <v>157</v>
      </c>
      <c r="AD234">
        <v>3</v>
      </c>
      <c r="AE234" s="1" t="s">
        <v>123</v>
      </c>
      <c r="AW234" s="1" t="s">
        <v>123</v>
      </c>
      <c r="CQ234" s="1" t="s">
        <v>123</v>
      </c>
      <c r="DA234" s="1" t="s">
        <v>123</v>
      </c>
      <c r="DK234" s="1" t="s">
        <v>123</v>
      </c>
      <c r="EN234" s="1" t="s">
        <v>123</v>
      </c>
      <c r="FN234" s="1" t="s">
        <v>123</v>
      </c>
    </row>
    <row r="235" spans="1:213" x14ac:dyDescent="0.45">
      <c r="A235">
        <v>233</v>
      </c>
      <c r="B235">
        <f>_xlfn.IFNA(VLOOKUP(Wszystkie[[#This Row],[Zakończono wypełnianie]],Zakończone[],2,0),"BRAK")</f>
        <v>125</v>
      </c>
      <c r="C235" t="s">
        <v>1880</v>
      </c>
      <c r="D235" t="s">
        <v>118</v>
      </c>
      <c r="E235" t="s">
        <v>359</v>
      </c>
      <c r="I235" t="s">
        <v>119</v>
      </c>
      <c r="J235" t="s">
        <v>1881</v>
      </c>
      <c r="K235" t="s">
        <v>1882</v>
      </c>
      <c r="L235">
        <v>627</v>
      </c>
      <c r="M235">
        <v>0</v>
      </c>
      <c r="N235" t="s">
        <v>122</v>
      </c>
      <c r="O235" s="1" t="s">
        <v>123</v>
      </c>
      <c r="AE235" s="1" t="s">
        <v>124</v>
      </c>
      <c r="AF235" t="s">
        <v>125</v>
      </c>
      <c r="AG235">
        <v>2011</v>
      </c>
      <c r="AH235" t="s">
        <v>126</v>
      </c>
      <c r="AI235" t="s">
        <v>1883</v>
      </c>
      <c r="AJ235" t="s">
        <v>169</v>
      </c>
      <c r="AK235" t="s">
        <v>169</v>
      </c>
      <c r="AL235" t="s">
        <v>169</v>
      </c>
      <c r="AM235" t="s">
        <v>151</v>
      </c>
      <c r="AN235" t="s">
        <v>150</v>
      </c>
      <c r="AO235" t="s">
        <v>1884</v>
      </c>
      <c r="AP235" t="s">
        <v>131</v>
      </c>
      <c r="AQ235" t="s">
        <v>153</v>
      </c>
      <c r="AR235" t="s">
        <v>1885</v>
      </c>
      <c r="AS235" t="s">
        <v>1886</v>
      </c>
      <c r="AT235" t="s">
        <v>1887</v>
      </c>
      <c r="AU235" t="s">
        <v>157</v>
      </c>
      <c r="AV235" t="s">
        <v>1888</v>
      </c>
      <c r="AW235" s="1" t="s">
        <v>123</v>
      </c>
      <c r="AX235" t="s">
        <v>132</v>
      </c>
      <c r="CQ235" s="1" t="s">
        <v>123</v>
      </c>
      <c r="DA235" s="1" t="s">
        <v>123</v>
      </c>
      <c r="DK235" s="1" t="s">
        <v>123</v>
      </c>
      <c r="EN235" s="1" t="s">
        <v>177</v>
      </c>
      <c r="EO235" t="s">
        <v>180</v>
      </c>
      <c r="EP235" t="s">
        <v>132</v>
      </c>
      <c r="EQ235" t="s">
        <v>1889</v>
      </c>
      <c r="ER235" t="s">
        <v>132</v>
      </c>
      <c r="ES235" t="s">
        <v>132</v>
      </c>
      <c r="ET235" t="s">
        <v>132</v>
      </c>
      <c r="EU235" t="s">
        <v>180</v>
      </c>
      <c r="EV235" t="s">
        <v>1889</v>
      </c>
      <c r="EW235" t="s">
        <v>1889</v>
      </c>
      <c r="EX235" t="s">
        <v>173</v>
      </c>
      <c r="FN235" s="1" t="s">
        <v>123</v>
      </c>
      <c r="GV235" t="s">
        <v>1889</v>
      </c>
      <c r="GW235" t="s">
        <v>1889</v>
      </c>
      <c r="GX235" t="s">
        <v>1889</v>
      </c>
      <c r="GY235" t="s">
        <v>140</v>
      </c>
      <c r="GZ235">
        <v>1987</v>
      </c>
      <c r="HA235" t="s">
        <v>220</v>
      </c>
      <c r="HC235" t="s">
        <v>1889</v>
      </c>
      <c r="HD235" t="s">
        <v>1889</v>
      </c>
    </row>
    <row r="236" spans="1:213" x14ac:dyDescent="0.45">
      <c r="A236">
        <v>234</v>
      </c>
      <c r="B236">
        <f>_xlfn.IFNA(VLOOKUP(Wszystkie[[#This Row],[Zakończono wypełnianie]],Zakończone[],2,0),"BRAK")</f>
        <v>126</v>
      </c>
      <c r="C236" t="s">
        <v>1890</v>
      </c>
      <c r="D236" t="s">
        <v>118</v>
      </c>
      <c r="I236" t="s">
        <v>119</v>
      </c>
      <c r="J236" t="s">
        <v>1891</v>
      </c>
      <c r="K236" t="s">
        <v>1892</v>
      </c>
      <c r="L236">
        <v>680</v>
      </c>
      <c r="M236">
        <v>0</v>
      </c>
      <c r="N236" t="s">
        <v>122</v>
      </c>
      <c r="O236" s="1" t="s">
        <v>123</v>
      </c>
      <c r="AE236" s="1" t="s">
        <v>124</v>
      </c>
      <c r="AF236" t="s">
        <v>191</v>
      </c>
      <c r="AG236">
        <v>2016</v>
      </c>
      <c r="AH236" t="s">
        <v>126</v>
      </c>
      <c r="AI236" t="s">
        <v>1893</v>
      </c>
      <c r="AJ236" t="s">
        <v>150</v>
      </c>
      <c r="AK236" t="s">
        <v>150</v>
      </c>
      <c r="AL236" t="s">
        <v>150</v>
      </c>
      <c r="AM236" t="s">
        <v>128</v>
      </c>
      <c r="AN236" t="s">
        <v>150</v>
      </c>
      <c r="AO236" t="s">
        <v>530</v>
      </c>
      <c r="AP236" t="s">
        <v>302</v>
      </c>
      <c r="AQ236" t="s">
        <v>226</v>
      </c>
      <c r="AS236" t="s">
        <v>1894</v>
      </c>
      <c r="AT236" t="s">
        <v>1895</v>
      </c>
      <c r="AU236" t="s">
        <v>157</v>
      </c>
      <c r="AW236" s="1" t="s">
        <v>123</v>
      </c>
      <c r="AX236" t="s">
        <v>132</v>
      </c>
      <c r="CQ236" s="1" t="s">
        <v>123</v>
      </c>
      <c r="DA236" s="1" t="s">
        <v>123</v>
      </c>
      <c r="DK236" s="1" t="s">
        <v>123</v>
      </c>
      <c r="EN236" s="1" t="s">
        <v>123</v>
      </c>
      <c r="FN236" s="1" t="s">
        <v>123</v>
      </c>
      <c r="GV236" t="s">
        <v>1896</v>
      </c>
      <c r="GW236" t="s">
        <v>1897</v>
      </c>
      <c r="GX236" t="s">
        <v>1898</v>
      </c>
      <c r="GY236" t="s">
        <v>140</v>
      </c>
      <c r="GZ236">
        <v>1991</v>
      </c>
      <c r="HA236" t="s">
        <v>398</v>
      </c>
    </row>
    <row r="237" spans="1:213" x14ac:dyDescent="0.45">
      <c r="A237">
        <v>235</v>
      </c>
      <c r="B237">
        <f>_xlfn.IFNA(VLOOKUP(Wszystkie[[#This Row],[Zakończono wypełnianie]],Zakończone[],2,0),"BRAK")</f>
        <v>127</v>
      </c>
      <c r="C237" t="s">
        <v>1899</v>
      </c>
      <c r="D237" t="s">
        <v>118</v>
      </c>
      <c r="E237" t="s">
        <v>359</v>
      </c>
      <c r="I237" t="s">
        <v>119</v>
      </c>
      <c r="J237" t="s">
        <v>1900</v>
      </c>
      <c r="K237" t="s">
        <v>1901</v>
      </c>
      <c r="L237">
        <v>650</v>
      </c>
      <c r="M237">
        <v>0</v>
      </c>
      <c r="N237" t="s">
        <v>122</v>
      </c>
      <c r="O237" s="1" t="s">
        <v>123</v>
      </c>
      <c r="AE237" s="1" t="s">
        <v>124</v>
      </c>
      <c r="AF237" t="s">
        <v>742</v>
      </c>
      <c r="AG237">
        <v>2009</v>
      </c>
      <c r="AH237" t="s">
        <v>148</v>
      </c>
      <c r="AI237" t="s">
        <v>1666</v>
      </c>
      <c r="AJ237" t="s">
        <v>162</v>
      </c>
      <c r="AK237" t="s">
        <v>151</v>
      </c>
      <c r="AL237" t="s">
        <v>236</v>
      </c>
      <c r="AM237" t="s">
        <v>236</v>
      </c>
      <c r="AN237" t="s">
        <v>128</v>
      </c>
      <c r="AO237">
        <v>9</v>
      </c>
      <c r="AP237" t="s">
        <v>131</v>
      </c>
      <c r="AQ237" t="s">
        <v>153</v>
      </c>
      <c r="AR237" t="s">
        <v>1902</v>
      </c>
      <c r="AS237" t="s">
        <v>1903</v>
      </c>
      <c r="AT237" t="s">
        <v>1904</v>
      </c>
      <c r="AV237" t="s">
        <v>1905</v>
      </c>
      <c r="AW237" s="1" t="s">
        <v>123</v>
      </c>
      <c r="AX237" t="s">
        <v>132</v>
      </c>
      <c r="CQ237" s="1" t="s">
        <v>123</v>
      </c>
      <c r="DA237" s="1" t="s">
        <v>123</v>
      </c>
      <c r="DK237" s="1" t="s">
        <v>123</v>
      </c>
      <c r="EN237" s="1" t="s">
        <v>123</v>
      </c>
      <c r="FN237" s="1" t="s">
        <v>123</v>
      </c>
      <c r="GV237" t="s">
        <v>1906</v>
      </c>
      <c r="GW237" t="s">
        <v>1907</v>
      </c>
      <c r="GX237" t="s">
        <v>1908</v>
      </c>
      <c r="GY237" t="s">
        <v>140</v>
      </c>
      <c r="GZ237">
        <v>1985</v>
      </c>
      <c r="HA237" t="s">
        <v>141</v>
      </c>
      <c r="HC237" t="s">
        <v>142</v>
      </c>
      <c r="HD237" t="s">
        <v>1909</v>
      </c>
    </row>
    <row r="238" spans="1:213" x14ac:dyDescent="0.45">
      <c r="A238">
        <v>236</v>
      </c>
      <c r="B238">
        <f>_xlfn.IFNA(VLOOKUP(Wszystkie[[#This Row],[Zakończono wypełnianie]],Zakończone[],2,0),"BRAK")</f>
        <v>128</v>
      </c>
      <c r="C238" t="s">
        <v>1910</v>
      </c>
      <c r="D238" t="s">
        <v>118</v>
      </c>
      <c r="E238" t="s">
        <v>1911</v>
      </c>
      <c r="I238" t="s">
        <v>119</v>
      </c>
      <c r="J238" t="s">
        <v>1912</v>
      </c>
      <c r="K238" t="s">
        <v>1913</v>
      </c>
      <c r="L238">
        <v>1026</v>
      </c>
      <c r="M238">
        <v>0</v>
      </c>
      <c r="N238" t="s">
        <v>122</v>
      </c>
      <c r="O238" s="1" t="s">
        <v>123</v>
      </c>
      <c r="AE238" s="1" t="s">
        <v>124</v>
      </c>
      <c r="AF238" t="s">
        <v>191</v>
      </c>
      <c r="AG238">
        <v>2011</v>
      </c>
      <c r="AH238" t="s">
        <v>126</v>
      </c>
      <c r="AI238" t="s">
        <v>1914</v>
      </c>
      <c r="AJ238" t="s">
        <v>150</v>
      </c>
      <c r="AK238" t="s">
        <v>162</v>
      </c>
      <c r="AL238" t="s">
        <v>150</v>
      </c>
      <c r="AM238" t="s">
        <v>151</v>
      </c>
      <c r="AN238" t="s">
        <v>169</v>
      </c>
      <c r="AO238" t="s">
        <v>1362</v>
      </c>
      <c r="AP238" t="s">
        <v>131</v>
      </c>
      <c r="AQ238" t="s">
        <v>759</v>
      </c>
      <c r="AR238" t="s">
        <v>1915</v>
      </c>
      <c r="AS238" t="s">
        <v>1916</v>
      </c>
      <c r="AT238" t="s">
        <v>1917</v>
      </c>
      <c r="AV238" t="s">
        <v>1918</v>
      </c>
      <c r="AW238" s="1" t="s">
        <v>123</v>
      </c>
      <c r="CQ238" s="1" t="s">
        <v>123</v>
      </c>
      <c r="DA238" s="1" t="s">
        <v>123</v>
      </c>
      <c r="DK238" s="1" t="s">
        <v>123</v>
      </c>
      <c r="EN238" s="1" t="s">
        <v>123</v>
      </c>
      <c r="FN238" s="1" t="s">
        <v>123</v>
      </c>
      <c r="GV238" t="s">
        <v>1919</v>
      </c>
      <c r="GW238" t="s">
        <v>1920</v>
      </c>
      <c r="GX238" t="s">
        <v>1921</v>
      </c>
      <c r="GY238" t="s">
        <v>140</v>
      </c>
      <c r="GZ238">
        <v>1987</v>
      </c>
      <c r="HA238" t="s">
        <v>220</v>
      </c>
      <c r="HC238" t="s">
        <v>1922</v>
      </c>
      <c r="HD238" t="s">
        <v>1923</v>
      </c>
      <c r="HE238" t="s">
        <v>1924</v>
      </c>
    </row>
    <row r="239" spans="1:213" x14ac:dyDescent="0.45">
      <c r="A239">
        <v>237</v>
      </c>
      <c r="B239" t="str">
        <f>_xlfn.IFNA(VLOOKUP(Wszystkie[[#This Row],[Zakończono wypełnianie]],Zakończone[],2,0),"BRAK")</f>
        <v>BRAK</v>
      </c>
      <c r="C239" t="s">
        <v>1925</v>
      </c>
      <c r="D239" t="s">
        <v>118</v>
      </c>
      <c r="I239" t="s">
        <v>286</v>
      </c>
      <c r="J239" t="s">
        <v>1926</v>
      </c>
      <c r="K239" t="s">
        <v>1926</v>
      </c>
      <c r="L239">
        <v>0</v>
      </c>
      <c r="M239">
        <v>0</v>
      </c>
      <c r="N239" t="s">
        <v>122</v>
      </c>
      <c r="O239" s="1" t="s">
        <v>123</v>
      </c>
      <c r="AE239" s="1" t="s">
        <v>124</v>
      </c>
      <c r="AW239" s="1"/>
      <c r="CQ239" s="1"/>
      <c r="DA239" s="1"/>
      <c r="DK239" s="1"/>
      <c r="EN239" s="1"/>
      <c r="FN239" s="1"/>
    </row>
    <row r="240" spans="1:213" x14ac:dyDescent="0.45">
      <c r="A240">
        <v>238</v>
      </c>
      <c r="B240">
        <f>_xlfn.IFNA(VLOOKUP(Wszystkie[[#This Row],[Zakończono wypełnianie]],Zakończone[],2,0),"BRAK")</f>
        <v>129</v>
      </c>
      <c r="C240" t="s">
        <v>1142</v>
      </c>
      <c r="D240" t="s">
        <v>118</v>
      </c>
      <c r="E240" t="s">
        <v>1927</v>
      </c>
      <c r="I240" t="s">
        <v>119</v>
      </c>
      <c r="J240" t="s">
        <v>1928</v>
      </c>
      <c r="K240" t="s">
        <v>1929</v>
      </c>
      <c r="L240">
        <v>1449</v>
      </c>
      <c r="M240">
        <v>0</v>
      </c>
      <c r="N240" t="s">
        <v>122</v>
      </c>
      <c r="O240" s="1" t="s">
        <v>123</v>
      </c>
      <c r="AE240" s="1" t="s">
        <v>124</v>
      </c>
      <c r="AF240" t="s">
        <v>1930</v>
      </c>
      <c r="AG240">
        <v>2007</v>
      </c>
      <c r="AH240" t="s">
        <v>126</v>
      </c>
      <c r="AI240" t="s">
        <v>1931</v>
      </c>
      <c r="AJ240" t="s">
        <v>162</v>
      </c>
      <c r="AK240" t="s">
        <v>162</v>
      </c>
      <c r="AL240" t="s">
        <v>169</v>
      </c>
      <c r="AM240" t="s">
        <v>169</v>
      </c>
      <c r="AN240" t="s">
        <v>169</v>
      </c>
      <c r="AO240" t="s">
        <v>1932</v>
      </c>
      <c r="AP240" t="s">
        <v>302</v>
      </c>
      <c r="AQ240" t="s">
        <v>153</v>
      </c>
      <c r="AR240" t="s">
        <v>1933</v>
      </c>
      <c r="AS240" t="s">
        <v>1934</v>
      </c>
      <c r="AT240" t="s">
        <v>1935</v>
      </c>
      <c r="AV240" t="s">
        <v>1936</v>
      </c>
      <c r="AW240" s="1" t="s">
        <v>123</v>
      </c>
      <c r="CQ240" s="1" t="s">
        <v>123</v>
      </c>
      <c r="DA240" s="1" t="s">
        <v>123</v>
      </c>
      <c r="DK240" s="1" t="s">
        <v>123</v>
      </c>
      <c r="EN240" s="1" t="s">
        <v>123</v>
      </c>
      <c r="FN240" s="1" t="s">
        <v>123</v>
      </c>
      <c r="GV240" t="s">
        <v>1937</v>
      </c>
      <c r="GW240" t="s">
        <v>1938</v>
      </c>
      <c r="GX240" t="s">
        <v>1939</v>
      </c>
      <c r="GY240" t="s">
        <v>186</v>
      </c>
      <c r="GZ240">
        <v>2007</v>
      </c>
      <c r="HA240" t="s">
        <v>398</v>
      </c>
      <c r="HC240" t="s">
        <v>1940</v>
      </c>
    </row>
    <row r="241" spans="1:212" x14ac:dyDescent="0.45">
      <c r="A241">
        <v>239</v>
      </c>
      <c r="B241" t="str">
        <f>_xlfn.IFNA(VLOOKUP(Wszystkie[[#This Row],[Zakończono wypełnianie]],Zakończone[],2,0),"BRAK")</f>
        <v>BRAK</v>
      </c>
      <c r="C241" t="s">
        <v>1941</v>
      </c>
      <c r="D241" t="s">
        <v>118</v>
      </c>
      <c r="I241" t="s">
        <v>286</v>
      </c>
      <c r="J241" t="s">
        <v>1942</v>
      </c>
      <c r="K241" t="s">
        <v>1942</v>
      </c>
      <c r="L241">
        <v>0</v>
      </c>
      <c r="M241">
        <v>0</v>
      </c>
      <c r="N241" t="s">
        <v>122</v>
      </c>
      <c r="O241" s="1" t="s">
        <v>123</v>
      </c>
      <c r="AE241" s="1" t="s">
        <v>124</v>
      </c>
      <c r="AW241" s="1"/>
      <c r="CQ241" s="1"/>
      <c r="DA241" s="1"/>
      <c r="DK241" s="1"/>
      <c r="EN241" s="1"/>
      <c r="FN241" s="1"/>
    </row>
    <row r="242" spans="1:212" x14ac:dyDescent="0.45">
      <c r="A242">
        <v>240</v>
      </c>
      <c r="B242" t="str">
        <f>_xlfn.IFNA(VLOOKUP(Wszystkie[[#This Row],[Zakończono wypełnianie]],Zakończone[],2,0),"BRAK")</f>
        <v>BRAK</v>
      </c>
      <c r="C242" t="s">
        <v>1943</v>
      </c>
      <c r="D242" t="s">
        <v>118</v>
      </c>
      <c r="I242" t="s">
        <v>286</v>
      </c>
      <c r="J242" t="s">
        <v>1944</v>
      </c>
      <c r="K242" t="s">
        <v>1944</v>
      </c>
      <c r="L242">
        <v>0</v>
      </c>
      <c r="M242">
        <v>0</v>
      </c>
      <c r="N242" t="s">
        <v>122</v>
      </c>
      <c r="O242" s="1" t="s">
        <v>123</v>
      </c>
      <c r="AE242" s="1" t="s">
        <v>124</v>
      </c>
      <c r="AF242" t="s">
        <v>191</v>
      </c>
      <c r="AG242">
        <v>1967</v>
      </c>
      <c r="AH242" t="s">
        <v>126</v>
      </c>
      <c r="AI242" t="s">
        <v>1945</v>
      </c>
      <c r="AJ242" t="s">
        <v>150</v>
      </c>
      <c r="AK242" t="s">
        <v>150</v>
      </c>
      <c r="AL242" t="s">
        <v>132</v>
      </c>
      <c r="AM242" t="s">
        <v>150</v>
      </c>
      <c r="AN242" t="s">
        <v>150</v>
      </c>
      <c r="AO242">
        <v>1</v>
      </c>
      <c r="AP242" t="s">
        <v>302</v>
      </c>
      <c r="AQ242" t="s">
        <v>153</v>
      </c>
      <c r="AR242" t="s">
        <v>1946</v>
      </c>
      <c r="AS242" t="s">
        <v>1947</v>
      </c>
      <c r="AT242" t="s">
        <v>1948</v>
      </c>
      <c r="AU242" t="s">
        <v>157</v>
      </c>
      <c r="AW242" s="1" t="s">
        <v>159</v>
      </c>
      <c r="AX242">
        <v>3</v>
      </c>
      <c r="CQ242" s="1"/>
      <c r="DA242" s="1"/>
      <c r="DK242" s="1"/>
      <c r="EN242" s="1"/>
      <c r="FN242" s="1"/>
    </row>
    <row r="243" spans="1:212" x14ac:dyDescent="0.45">
      <c r="A243">
        <v>241</v>
      </c>
      <c r="B243" t="str">
        <f>_xlfn.IFNA(VLOOKUP(Wszystkie[[#This Row],[Zakończono wypełnianie]],Zakończone[],2,0),"BRAK")</f>
        <v>BRAK</v>
      </c>
      <c r="C243" t="s">
        <v>1142</v>
      </c>
      <c r="D243" t="s">
        <v>118</v>
      </c>
      <c r="I243" t="s">
        <v>286</v>
      </c>
      <c r="J243" t="s">
        <v>1949</v>
      </c>
      <c r="K243" t="s">
        <v>1949</v>
      </c>
      <c r="L243">
        <v>0</v>
      </c>
      <c r="M243">
        <v>0</v>
      </c>
      <c r="N243" t="s">
        <v>122</v>
      </c>
      <c r="O243" s="1" t="s">
        <v>123</v>
      </c>
      <c r="AE243" s="1" t="s">
        <v>124</v>
      </c>
      <c r="AW243" s="1"/>
      <c r="CQ243" s="1"/>
      <c r="DA243" s="1"/>
      <c r="DK243" s="1"/>
      <c r="EN243" s="1"/>
      <c r="FN243" s="1"/>
    </row>
    <row r="244" spans="1:212" x14ac:dyDescent="0.45">
      <c r="A244">
        <v>242</v>
      </c>
      <c r="B244" t="str">
        <f>_xlfn.IFNA(VLOOKUP(Wszystkie[[#This Row],[Zakończono wypełnianie]],Zakończone[],2,0),"BRAK")</f>
        <v>BRAK</v>
      </c>
      <c r="C244" t="s">
        <v>1352</v>
      </c>
      <c r="D244" t="s">
        <v>118</v>
      </c>
      <c r="I244" t="s">
        <v>286</v>
      </c>
      <c r="J244" t="s">
        <v>1950</v>
      </c>
      <c r="K244" t="s">
        <v>1950</v>
      </c>
      <c r="L244">
        <v>0</v>
      </c>
      <c r="M244">
        <v>0</v>
      </c>
      <c r="N244" t="s">
        <v>122</v>
      </c>
      <c r="O244" s="1" t="s">
        <v>123</v>
      </c>
      <c r="AE244" s="1" t="s">
        <v>124</v>
      </c>
      <c r="AW244" s="1"/>
      <c r="CQ244" s="1"/>
      <c r="DA244" s="1"/>
      <c r="DK244" s="1"/>
      <c r="EN244" s="1"/>
      <c r="FN244" s="1"/>
    </row>
    <row r="245" spans="1:212" x14ac:dyDescent="0.45">
      <c r="A245">
        <v>243</v>
      </c>
      <c r="B245">
        <f>_xlfn.IFNA(VLOOKUP(Wszystkie[[#This Row],[Zakończono wypełnianie]],Zakończone[],2,0),"BRAK")</f>
        <v>130</v>
      </c>
      <c r="C245" t="s">
        <v>1951</v>
      </c>
      <c r="D245" t="s">
        <v>118</v>
      </c>
      <c r="I245" t="s">
        <v>119</v>
      </c>
      <c r="J245" t="s">
        <v>1952</v>
      </c>
      <c r="K245" t="s">
        <v>1953</v>
      </c>
      <c r="L245">
        <v>942</v>
      </c>
      <c r="M245">
        <v>0</v>
      </c>
      <c r="N245" t="s">
        <v>122</v>
      </c>
      <c r="O245" s="1" t="s">
        <v>123</v>
      </c>
      <c r="AE245" s="1" t="s">
        <v>124</v>
      </c>
      <c r="AF245" t="s">
        <v>1954</v>
      </c>
      <c r="AG245">
        <v>2012</v>
      </c>
      <c r="AH245" t="s">
        <v>148</v>
      </c>
      <c r="AI245" t="s">
        <v>161</v>
      </c>
      <c r="AJ245" t="s">
        <v>128</v>
      </c>
      <c r="AK245" t="s">
        <v>162</v>
      </c>
      <c r="AL245" t="s">
        <v>128</v>
      </c>
      <c r="AM245" t="s">
        <v>128</v>
      </c>
      <c r="AN245" t="s">
        <v>236</v>
      </c>
      <c r="AO245" t="s">
        <v>530</v>
      </c>
      <c r="AP245" t="s">
        <v>302</v>
      </c>
      <c r="AQ245" t="s">
        <v>131</v>
      </c>
      <c r="AR245" t="s">
        <v>1955</v>
      </c>
      <c r="AS245" t="s">
        <v>1956</v>
      </c>
      <c r="AT245" t="s">
        <v>1957</v>
      </c>
      <c r="AU245" t="s">
        <v>157</v>
      </c>
      <c r="AW245" s="1" t="s">
        <v>123</v>
      </c>
      <c r="AX245" t="s">
        <v>132</v>
      </c>
      <c r="CQ245" s="1" t="s">
        <v>123</v>
      </c>
      <c r="DA245" s="1" t="s">
        <v>123</v>
      </c>
      <c r="DK245" s="1" t="s">
        <v>123</v>
      </c>
      <c r="EN245" s="1" t="s">
        <v>123</v>
      </c>
      <c r="FN245" s="1" t="s">
        <v>123</v>
      </c>
      <c r="GV245" t="s">
        <v>1958</v>
      </c>
      <c r="GW245" t="s">
        <v>1959</v>
      </c>
      <c r="GX245" t="s">
        <v>1960</v>
      </c>
      <c r="GY245" t="s">
        <v>140</v>
      </c>
      <c r="GZ245">
        <v>1986</v>
      </c>
      <c r="HA245" t="s">
        <v>1630</v>
      </c>
      <c r="HC245" t="s">
        <v>1961</v>
      </c>
      <c r="HD245" t="s">
        <v>142</v>
      </c>
    </row>
    <row r="246" spans="1:212" x14ac:dyDescent="0.45">
      <c r="A246">
        <v>244</v>
      </c>
      <c r="B246" t="str">
        <f>_xlfn.IFNA(VLOOKUP(Wszystkie[[#This Row],[Zakończono wypełnianie]],Zakończone[],2,0),"BRAK")</f>
        <v>BRAK</v>
      </c>
      <c r="C246" t="s">
        <v>1336</v>
      </c>
      <c r="D246" t="s">
        <v>118</v>
      </c>
      <c r="I246" t="s">
        <v>286</v>
      </c>
      <c r="J246" t="s">
        <v>1962</v>
      </c>
      <c r="K246" t="s">
        <v>1962</v>
      </c>
      <c r="L246">
        <v>0</v>
      </c>
      <c r="M246">
        <v>0</v>
      </c>
      <c r="N246" t="s">
        <v>122</v>
      </c>
      <c r="O246" s="1" t="s">
        <v>123</v>
      </c>
      <c r="AE246" s="1" t="s">
        <v>124</v>
      </c>
      <c r="AF246" t="s">
        <v>1963</v>
      </c>
      <c r="AG246">
        <v>2006</v>
      </c>
      <c r="AH246" t="s">
        <v>126</v>
      </c>
      <c r="AI246" t="s">
        <v>192</v>
      </c>
      <c r="AJ246" t="s">
        <v>150</v>
      </c>
      <c r="AK246" t="s">
        <v>150</v>
      </c>
      <c r="AL246" t="s">
        <v>162</v>
      </c>
      <c r="AM246" t="s">
        <v>150</v>
      </c>
      <c r="AN246" t="s">
        <v>150</v>
      </c>
      <c r="AO246" t="s">
        <v>237</v>
      </c>
      <c r="AP246" t="s">
        <v>226</v>
      </c>
      <c r="AQ246" t="s">
        <v>759</v>
      </c>
      <c r="AS246" t="s">
        <v>1964</v>
      </c>
      <c r="AT246" t="s">
        <v>1539</v>
      </c>
      <c r="AU246" t="s">
        <v>230</v>
      </c>
      <c r="AW246" s="1" t="s">
        <v>123</v>
      </c>
      <c r="AX246" t="s">
        <v>132</v>
      </c>
      <c r="CQ246" s="1" t="s">
        <v>123</v>
      </c>
      <c r="DA246" s="1" t="s">
        <v>123</v>
      </c>
      <c r="DK246" s="1" t="s">
        <v>123</v>
      </c>
      <c r="EN246" s="1" t="s">
        <v>123</v>
      </c>
      <c r="FN246" s="1" t="s">
        <v>123</v>
      </c>
    </row>
    <row r="247" spans="1:212" x14ac:dyDescent="0.45">
      <c r="A247">
        <v>245</v>
      </c>
      <c r="B247">
        <f>_xlfn.IFNA(VLOOKUP(Wszystkie[[#This Row],[Zakończono wypełnianie]],Zakończone[],2,0),"BRAK")</f>
        <v>131</v>
      </c>
      <c r="C247" t="s">
        <v>1965</v>
      </c>
      <c r="D247" t="s">
        <v>118</v>
      </c>
      <c r="E247" t="s">
        <v>1966</v>
      </c>
      <c r="I247" t="s">
        <v>119</v>
      </c>
      <c r="J247" t="s">
        <v>1967</v>
      </c>
      <c r="K247" t="s">
        <v>1968</v>
      </c>
      <c r="L247">
        <v>504</v>
      </c>
      <c r="M247">
        <v>0</v>
      </c>
      <c r="N247" t="s">
        <v>122</v>
      </c>
      <c r="O247" s="1" t="s">
        <v>123</v>
      </c>
      <c r="AE247" s="1" t="s">
        <v>124</v>
      </c>
      <c r="AF247" t="s">
        <v>191</v>
      </c>
      <c r="AG247">
        <v>2003</v>
      </c>
      <c r="AH247" t="s">
        <v>126</v>
      </c>
      <c r="AI247" t="s">
        <v>127</v>
      </c>
      <c r="AJ247" t="s">
        <v>150</v>
      </c>
      <c r="AK247" t="s">
        <v>150</v>
      </c>
      <c r="AL247" t="s">
        <v>162</v>
      </c>
      <c r="AM247" t="s">
        <v>151</v>
      </c>
      <c r="AN247" t="s">
        <v>151</v>
      </c>
      <c r="AO247" t="s">
        <v>237</v>
      </c>
      <c r="AP247" t="s">
        <v>152</v>
      </c>
      <c r="AQ247" t="s">
        <v>131</v>
      </c>
      <c r="AR247" t="s">
        <v>1969</v>
      </c>
      <c r="AS247" t="s">
        <v>1970</v>
      </c>
      <c r="AT247" t="s">
        <v>1971</v>
      </c>
      <c r="AU247" t="s">
        <v>157</v>
      </c>
      <c r="AV247" t="s">
        <v>1972</v>
      </c>
      <c r="AW247" s="1" t="s">
        <v>123</v>
      </c>
      <c r="CQ247" s="1" t="s">
        <v>123</v>
      </c>
      <c r="DA247" s="1" t="s">
        <v>123</v>
      </c>
      <c r="DK247" s="1" t="s">
        <v>123</v>
      </c>
      <c r="EN247" s="1" t="s">
        <v>123</v>
      </c>
      <c r="FN247" s="1" t="s">
        <v>123</v>
      </c>
      <c r="GV247" t="s">
        <v>1973</v>
      </c>
      <c r="GW247" t="s">
        <v>1363</v>
      </c>
      <c r="GX247" t="s">
        <v>1974</v>
      </c>
      <c r="GY247" t="s">
        <v>140</v>
      </c>
      <c r="GZ247">
        <v>1979</v>
      </c>
      <c r="HA247" t="s">
        <v>141</v>
      </c>
    </row>
    <row r="248" spans="1:212" x14ac:dyDescent="0.45">
      <c r="A248">
        <v>246</v>
      </c>
      <c r="B248">
        <f>_xlfn.IFNA(VLOOKUP(Wszystkie[[#This Row],[Zakończono wypełnianie]],Zakończone[],2,0),"BRAK")</f>
        <v>132</v>
      </c>
      <c r="C248" t="s">
        <v>1975</v>
      </c>
      <c r="D248" t="s">
        <v>118</v>
      </c>
      <c r="E248" t="s">
        <v>1736</v>
      </c>
      <c r="I248" t="s">
        <v>119</v>
      </c>
      <c r="J248" t="s">
        <v>1976</v>
      </c>
      <c r="K248" t="s">
        <v>1977</v>
      </c>
      <c r="L248">
        <v>70</v>
      </c>
      <c r="M248">
        <v>0</v>
      </c>
      <c r="N248" t="s">
        <v>344</v>
      </c>
      <c r="O248" s="1" t="s">
        <v>416</v>
      </c>
      <c r="AE248" s="1"/>
      <c r="AW248" s="1"/>
      <c r="CQ248" s="1"/>
      <c r="DA248" s="1"/>
      <c r="DK248" s="1"/>
      <c r="EN248" s="1"/>
      <c r="FN248" s="1"/>
    </row>
    <row r="249" spans="1:212" x14ac:dyDescent="0.45">
      <c r="A249">
        <v>247</v>
      </c>
      <c r="B249" t="str">
        <f>_xlfn.IFNA(VLOOKUP(Wszystkie[[#This Row],[Zakończono wypełnianie]],Zakończone[],2,0),"BRAK")</f>
        <v>BRAK</v>
      </c>
      <c r="C249" t="s">
        <v>1975</v>
      </c>
      <c r="D249" t="s">
        <v>118</v>
      </c>
      <c r="E249" t="s">
        <v>992</v>
      </c>
      <c r="I249" t="s">
        <v>286</v>
      </c>
      <c r="J249" t="s">
        <v>1978</v>
      </c>
      <c r="K249" t="s">
        <v>1978</v>
      </c>
      <c r="L249">
        <v>0</v>
      </c>
      <c r="M249">
        <v>0</v>
      </c>
      <c r="N249" t="s">
        <v>122</v>
      </c>
      <c r="O249" s="1" t="s">
        <v>123</v>
      </c>
      <c r="AE249" s="1" t="s">
        <v>124</v>
      </c>
      <c r="AW249" s="1"/>
      <c r="CQ249" s="1"/>
      <c r="DA249" s="1"/>
      <c r="DK249" s="1"/>
      <c r="EN249" s="1"/>
      <c r="FN249" s="1"/>
    </row>
    <row r="250" spans="1:212" x14ac:dyDescent="0.45">
      <c r="A250">
        <v>248</v>
      </c>
      <c r="B250">
        <f>_xlfn.IFNA(VLOOKUP(Wszystkie[[#This Row],[Zakończono wypełnianie]],Zakończone[],2,0),"BRAK")</f>
        <v>133</v>
      </c>
      <c r="C250" t="s">
        <v>1142</v>
      </c>
      <c r="D250" t="s">
        <v>118</v>
      </c>
      <c r="I250" t="s">
        <v>119</v>
      </c>
      <c r="J250" t="s">
        <v>1979</v>
      </c>
      <c r="K250" t="s">
        <v>1980</v>
      </c>
      <c r="L250">
        <v>1026</v>
      </c>
      <c r="M250">
        <v>0</v>
      </c>
      <c r="N250" t="s">
        <v>122</v>
      </c>
      <c r="O250" s="1" t="s">
        <v>416</v>
      </c>
      <c r="P250" t="s">
        <v>1981</v>
      </c>
      <c r="Q250" t="s">
        <v>148</v>
      </c>
      <c r="R250" t="s">
        <v>1982</v>
      </c>
      <c r="S250" t="s">
        <v>162</v>
      </c>
      <c r="T250" t="s">
        <v>162</v>
      </c>
      <c r="U250" t="s">
        <v>150</v>
      </c>
      <c r="V250" t="s">
        <v>1983</v>
      </c>
      <c r="W250" t="s">
        <v>1984</v>
      </c>
      <c r="X250" t="s">
        <v>194</v>
      </c>
      <c r="Y250" t="s">
        <v>1985</v>
      </c>
      <c r="Z250" t="s">
        <v>1986</v>
      </c>
      <c r="AA250" t="s">
        <v>1987</v>
      </c>
      <c r="AB250" t="s">
        <v>157</v>
      </c>
      <c r="AD250">
        <v>4</v>
      </c>
      <c r="AE250" s="1" t="s">
        <v>123</v>
      </c>
      <c r="AW250" s="1" t="s">
        <v>123</v>
      </c>
      <c r="CQ250" s="1" t="s">
        <v>123</v>
      </c>
      <c r="DA250" s="1" t="s">
        <v>123</v>
      </c>
      <c r="DK250" s="1" t="s">
        <v>123</v>
      </c>
      <c r="EN250" s="1" t="s">
        <v>123</v>
      </c>
      <c r="FN250" s="1" t="s">
        <v>123</v>
      </c>
      <c r="GV250" t="s">
        <v>1988</v>
      </c>
      <c r="GW250" t="s">
        <v>1989</v>
      </c>
      <c r="GX250" t="s">
        <v>1990</v>
      </c>
      <c r="GY250" t="s">
        <v>186</v>
      </c>
      <c r="GZ250">
        <v>1992</v>
      </c>
      <c r="HA250" t="s">
        <v>246</v>
      </c>
      <c r="HC250" t="s">
        <v>1991</v>
      </c>
    </row>
    <row r="251" spans="1:212" x14ac:dyDescent="0.45">
      <c r="A251">
        <v>249</v>
      </c>
      <c r="B251" t="str">
        <f>_xlfn.IFNA(VLOOKUP(Wszystkie[[#This Row],[Zakończono wypełnianie]],Zakończone[],2,0),"BRAK")</f>
        <v>BRAK</v>
      </c>
      <c r="C251" t="s">
        <v>1992</v>
      </c>
      <c r="D251" t="s">
        <v>118</v>
      </c>
      <c r="I251" t="s">
        <v>286</v>
      </c>
      <c r="J251" t="s">
        <v>1993</v>
      </c>
      <c r="K251" t="s">
        <v>1993</v>
      </c>
      <c r="L251">
        <v>0</v>
      </c>
      <c r="M251">
        <v>0</v>
      </c>
      <c r="N251" t="s">
        <v>122</v>
      </c>
      <c r="O251" s="1" t="s">
        <v>123</v>
      </c>
      <c r="AE251" s="1" t="s">
        <v>124</v>
      </c>
      <c r="AW251" s="1"/>
      <c r="CQ251" s="1"/>
      <c r="DA251" s="1"/>
      <c r="DK251" s="1"/>
      <c r="EN251" s="1"/>
      <c r="FN251" s="1"/>
    </row>
    <row r="252" spans="1:212" x14ac:dyDescent="0.45">
      <c r="A252">
        <v>250</v>
      </c>
      <c r="B252" t="str">
        <f>_xlfn.IFNA(VLOOKUP(Wszystkie[[#This Row],[Zakończono wypełnianie]],Zakończone[],2,0),"BRAK")</f>
        <v>BRAK</v>
      </c>
      <c r="C252" t="s">
        <v>1994</v>
      </c>
      <c r="D252" t="s">
        <v>118</v>
      </c>
      <c r="E252" t="s">
        <v>359</v>
      </c>
      <c r="I252" t="s">
        <v>286</v>
      </c>
      <c r="J252" t="s">
        <v>1995</v>
      </c>
      <c r="K252" t="s">
        <v>1995</v>
      </c>
      <c r="L252">
        <v>0</v>
      </c>
      <c r="M252">
        <v>0</v>
      </c>
      <c r="N252" t="s">
        <v>122</v>
      </c>
      <c r="O252" s="1" t="s">
        <v>123</v>
      </c>
      <c r="AE252" s="1" t="s">
        <v>124</v>
      </c>
      <c r="AW252" s="1"/>
      <c r="CQ252" s="1"/>
      <c r="DA252" s="1"/>
      <c r="DK252" s="1"/>
      <c r="EN252" s="1"/>
      <c r="FN252" s="1"/>
    </row>
    <row r="253" spans="1:212" x14ac:dyDescent="0.45">
      <c r="A253">
        <v>251</v>
      </c>
      <c r="B253" t="str">
        <f>_xlfn.IFNA(VLOOKUP(Wszystkie[[#This Row],[Zakończono wypełnianie]],Zakończone[],2,0),"BRAK")</f>
        <v>BRAK</v>
      </c>
      <c r="C253" t="s">
        <v>1996</v>
      </c>
      <c r="D253" t="s">
        <v>118</v>
      </c>
      <c r="E253" t="s">
        <v>359</v>
      </c>
      <c r="I253" t="s">
        <v>286</v>
      </c>
      <c r="J253" t="s">
        <v>1997</v>
      </c>
      <c r="K253" t="s">
        <v>1997</v>
      </c>
      <c r="L253">
        <v>0</v>
      </c>
      <c r="M253">
        <v>0</v>
      </c>
      <c r="N253" t="s">
        <v>122</v>
      </c>
      <c r="O253" s="1" t="s">
        <v>123</v>
      </c>
      <c r="AE253" s="1" t="s">
        <v>124</v>
      </c>
      <c r="AW253" s="1"/>
      <c r="CQ253" s="1"/>
      <c r="DA253" s="1"/>
      <c r="DK253" s="1"/>
      <c r="EN253" s="1"/>
      <c r="FN253" s="1"/>
    </row>
    <row r="254" spans="1:212" x14ac:dyDescent="0.45">
      <c r="A254">
        <v>252</v>
      </c>
      <c r="B254" t="str">
        <f>_xlfn.IFNA(VLOOKUP(Wszystkie[[#This Row],[Zakończono wypełnianie]],Zakończone[],2,0),"BRAK")</f>
        <v>BRAK</v>
      </c>
      <c r="C254" t="s">
        <v>1998</v>
      </c>
      <c r="D254" t="s">
        <v>118</v>
      </c>
      <c r="E254" t="s">
        <v>359</v>
      </c>
      <c r="I254" t="s">
        <v>286</v>
      </c>
      <c r="J254" t="s">
        <v>1999</v>
      </c>
      <c r="K254" t="s">
        <v>1999</v>
      </c>
      <c r="L254">
        <v>0</v>
      </c>
      <c r="M254">
        <v>0</v>
      </c>
      <c r="N254" t="s">
        <v>122</v>
      </c>
      <c r="O254" s="1" t="s">
        <v>123</v>
      </c>
      <c r="AE254" s="1" t="s">
        <v>124</v>
      </c>
      <c r="AW254" s="1"/>
      <c r="CQ254" s="1"/>
      <c r="DA254" s="1"/>
      <c r="DK254" s="1"/>
      <c r="EN254" s="1"/>
      <c r="FN254" s="1"/>
    </row>
    <row r="255" spans="1:212" x14ac:dyDescent="0.45">
      <c r="A255">
        <v>253</v>
      </c>
      <c r="B255" t="str">
        <f>_xlfn.IFNA(VLOOKUP(Wszystkie[[#This Row],[Zakończono wypełnianie]],Zakończone[],2,0),"BRAK")</f>
        <v>BRAK</v>
      </c>
      <c r="C255" t="s">
        <v>2000</v>
      </c>
      <c r="D255" t="s">
        <v>118</v>
      </c>
      <c r="E255" t="s">
        <v>359</v>
      </c>
      <c r="I255" t="s">
        <v>286</v>
      </c>
      <c r="J255" t="s">
        <v>2001</v>
      </c>
      <c r="K255" t="s">
        <v>2001</v>
      </c>
      <c r="L255">
        <v>0</v>
      </c>
      <c r="M255">
        <v>0</v>
      </c>
      <c r="N255" t="s">
        <v>122</v>
      </c>
      <c r="O255" s="1" t="s">
        <v>416</v>
      </c>
      <c r="P255" t="s">
        <v>2002</v>
      </c>
      <c r="Q255" t="s">
        <v>148</v>
      </c>
      <c r="R255" t="s">
        <v>2003</v>
      </c>
      <c r="S255" t="s">
        <v>236</v>
      </c>
      <c r="T255" t="s">
        <v>236</v>
      </c>
      <c r="U255" t="s">
        <v>236</v>
      </c>
      <c r="V255" t="s">
        <v>2004</v>
      </c>
      <c r="W255" t="s">
        <v>302</v>
      </c>
      <c r="X255" t="s">
        <v>153</v>
      </c>
      <c r="Y255" t="s">
        <v>2005</v>
      </c>
      <c r="Z255" t="s">
        <v>2006</v>
      </c>
      <c r="AA255" t="s">
        <v>2007</v>
      </c>
      <c r="AB255" t="s">
        <v>172</v>
      </c>
      <c r="AD255">
        <v>6</v>
      </c>
      <c r="AE255" s="1" t="s">
        <v>124</v>
      </c>
      <c r="AW255" s="1"/>
      <c r="CQ255" s="1"/>
      <c r="DA255" s="1"/>
      <c r="DK255" s="1"/>
      <c r="EN255" s="1"/>
      <c r="FN255" s="1"/>
    </row>
    <row r="256" spans="1:212" x14ac:dyDescent="0.45">
      <c r="A256">
        <v>254</v>
      </c>
      <c r="B256" t="str">
        <f>_xlfn.IFNA(VLOOKUP(Wszystkie[[#This Row],[Zakończono wypełnianie]],Zakończone[],2,0),"BRAK")</f>
        <v>BRAK</v>
      </c>
      <c r="C256" t="s">
        <v>2008</v>
      </c>
      <c r="D256" t="s">
        <v>118</v>
      </c>
      <c r="E256" t="s">
        <v>359</v>
      </c>
      <c r="I256" t="s">
        <v>286</v>
      </c>
      <c r="J256" t="s">
        <v>2009</v>
      </c>
      <c r="K256" t="s">
        <v>2009</v>
      </c>
      <c r="L256">
        <v>0</v>
      </c>
      <c r="M256">
        <v>0</v>
      </c>
      <c r="N256" t="s">
        <v>122</v>
      </c>
      <c r="O256" s="1" t="s">
        <v>123</v>
      </c>
      <c r="AE256" s="1" t="s">
        <v>124</v>
      </c>
      <c r="AW256" s="1"/>
      <c r="CQ256" s="1"/>
      <c r="DA256" s="1"/>
      <c r="DK256" s="1"/>
      <c r="EN256" s="1"/>
      <c r="FN256" s="1"/>
    </row>
    <row r="257" spans="1:213" x14ac:dyDescent="0.45">
      <c r="A257">
        <v>255</v>
      </c>
      <c r="B257" t="str">
        <f>_xlfn.IFNA(VLOOKUP(Wszystkie[[#This Row],[Zakończono wypełnianie]],Zakończone[],2,0),"BRAK")</f>
        <v>BRAK</v>
      </c>
      <c r="C257" t="s">
        <v>2010</v>
      </c>
      <c r="D257" t="s">
        <v>118</v>
      </c>
      <c r="I257" t="s">
        <v>286</v>
      </c>
      <c r="J257" t="s">
        <v>2011</v>
      </c>
      <c r="K257" t="s">
        <v>2011</v>
      </c>
      <c r="L257">
        <v>0</v>
      </c>
      <c r="M257">
        <v>0</v>
      </c>
      <c r="O257" s="1"/>
      <c r="AE257" s="1"/>
      <c r="AW257" s="1"/>
      <c r="CQ257" s="1"/>
      <c r="DA257" s="1"/>
      <c r="DK257" s="1"/>
      <c r="EN257" s="1"/>
      <c r="FN257" s="1"/>
    </row>
    <row r="258" spans="1:213" x14ac:dyDescent="0.45">
      <c r="A258">
        <v>256</v>
      </c>
      <c r="B258" t="str">
        <f>_xlfn.IFNA(VLOOKUP(Wszystkie[[#This Row],[Zakończono wypełnianie]],Zakończone[],2,0),"BRAK")</f>
        <v>BRAK</v>
      </c>
      <c r="C258" t="s">
        <v>2012</v>
      </c>
      <c r="D258" t="s">
        <v>118</v>
      </c>
      <c r="I258" t="s">
        <v>286</v>
      </c>
      <c r="J258" t="s">
        <v>2013</v>
      </c>
      <c r="K258" t="s">
        <v>2013</v>
      </c>
      <c r="L258">
        <v>0</v>
      </c>
      <c r="M258">
        <v>0</v>
      </c>
      <c r="O258" s="1"/>
      <c r="AE258" s="1"/>
      <c r="AW258" s="1"/>
      <c r="CQ258" s="1"/>
      <c r="DA258" s="1"/>
      <c r="DK258" s="1"/>
      <c r="EN258" s="1"/>
      <c r="FN258" s="1"/>
    </row>
    <row r="259" spans="1:213" x14ac:dyDescent="0.45">
      <c r="A259">
        <v>257</v>
      </c>
      <c r="B259">
        <f>_xlfn.IFNA(VLOOKUP(Wszystkie[[#This Row],[Zakończono wypełnianie]],Zakończone[],2,0),"BRAK")</f>
        <v>134</v>
      </c>
      <c r="C259" t="s">
        <v>2014</v>
      </c>
      <c r="D259" t="s">
        <v>118</v>
      </c>
      <c r="I259" t="s">
        <v>119</v>
      </c>
      <c r="J259" t="s">
        <v>2015</v>
      </c>
      <c r="K259" t="s">
        <v>2016</v>
      </c>
      <c r="L259">
        <v>1430</v>
      </c>
      <c r="M259">
        <v>0</v>
      </c>
      <c r="N259" t="s">
        <v>122</v>
      </c>
      <c r="O259" s="1" t="s">
        <v>123</v>
      </c>
      <c r="AE259" s="1" t="s">
        <v>124</v>
      </c>
      <c r="AF259" t="s">
        <v>191</v>
      </c>
      <c r="AG259">
        <v>1989</v>
      </c>
      <c r="AH259" t="s">
        <v>126</v>
      </c>
      <c r="AI259" t="s">
        <v>2017</v>
      </c>
      <c r="AJ259" t="s">
        <v>150</v>
      </c>
      <c r="AK259" t="s">
        <v>150</v>
      </c>
      <c r="AL259" t="s">
        <v>162</v>
      </c>
      <c r="AM259" t="s">
        <v>162</v>
      </c>
      <c r="AN259" t="s">
        <v>162</v>
      </c>
      <c r="AO259">
        <v>0</v>
      </c>
      <c r="AP259" t="s">
        <v>226</v>
      </c>
      <c r="AQ259" t="s">
        <v>226</v>
      </c>
      <c r="AR259" t="s">
        <v>2018</v>
      </c>
      <c r="AS259" t="s">
        <v>1229</v>
      </c>
      <c r="AT259" t="s">
        <v>1229</v>
      </c>
      <c r="AU259" t="s">
        <v>157</v>
      </c>
      <c r="AV259" t="s">
        <v>1271</v>
      </c>
      <c r="AW259" s="1" t="s">
        <v>159</v>
      </c>
      <c r="AX259">
        <v>1</v>
      </c>
      <c r="AY259" t="s">
        <v>191</v>
      </c>
      <c r="AZ259">
        <v>2016</v>
      </c>
      <c r="BA259" t="s">
        <v>126</v>
      </c>
      <c r="BB259" t="s">
        <v>2019</v>
      </c>
      <c r="BC259" t="s">
        <v>150</v>
      </c>
      <c r="BD259" t="s">
        <v>150</v>
      </c>
      <c r="BE259" t="s">
        <v>151</v>
      </c>
      <c r="BF259" t="s">
        <v>128</v>
      </c>
      <c r="BG259" t="s">
        <v>162</v>
      </c>
      <c r="BH259" t="s">
        <v>2020</v>
      </c>
      <c r="BI259" t="s">
        <v>2021</v>
      </c>
      <c r="BJ259" t="s">
        <v>157</v>
      </c>
      <c r="BM259" t="s">
        <v>173</v>
      </c>
      <c r="CQ259" s="1" t="s">
        <v>123</v>
      </c>
      <c r="DA259" s="1" t="s">
        <v>123</v>
      </c>
      <c r="DK259" s="1" t="s">
        <v>123</v>
      </c>
      <c r="EN259" s="1" t="s">
        <v>123</v>
      </c>
      <c r="FN259" s="1" t="s">
        <v>2022</v>
      </c>
      <c r="FO259" t="s">
        <v>2023</v>
      </c>
      <c r="FP259" t="s">
        <v>2024</v>
      </c>
      <c r="FQ259">
        <v>1</v>
      </c>
      <c r="FR259" t="s">
        <v>191</v>
      </c>
      <c r="FS259" t="s">
        <v>150</v>
      </c>
      <c r="FT259" t="s">
        <v>150</v>
      </c>
      <c r="FU259" t="s">
        <v>150</v>
      </c>
      <c r="FV259" t="s">
        <v>150</v>
      </c>
      <c r="FW259" t="s">
        <v>150</v>
      </c>
      <c r="FX259" t="s">
        <v>150</v>
      </c>
      <c r="FY259" t="s">
        <v>150</v>
      </c>
      <c r="GA259" t="s">
        <v>2025</v>
      </c>
      <c r="GB259" t="s">
        <v>173</v>
      </c>
      <c r="GV259" t="s">
        <v>1229</v>
      </c>
      <c r="GW259" t="s">
        <v>1229</v>
      </c>
      <c r="GX259" t="s">
        <v>1229</v>
      </c>
      <c r="GY259" t="s">
        <v>186</v>
      </c>
      <c r="GZ259">
        <v>1965</v>
      </c>
      <c r="HA259" t="s">
        <v>220</v>
      </c>
      <c r="HC259" t="s">
        <v>2026</v>
      </c>
      <c r="HE259" t="s">
        <v>2027</v>
      </c>
    </row>
    <row r="260" spans="1:213" x14ac:dyDescent="0.45">
      <c r="A260">
        <v>258</v>
      </c>
      <c r="B260">
        <f>_xlfn.IFNA(VLOOKUP(Wszystkie[[#This Row],[Zakończono wypełnianie]],Zakończone[],2,0),"BRAK")</f>
        <v>135</v>
      </c>
      <c r="C260" t="s">
        <v>2014</v>
      </c>
      <c r="D260" t="s">
        <v>118</v>
      </c>
      <c r="I260" t="s">
        <v>119</v>
      </c>
      <c r="J260" t="s">
        <v>2028</v>
      </c>
      <c r="K260" t="s">
        <v>2029</v>
      </c>
      <c r="L260">
        <v>721</v>
      </c>
      <c r="M260">
        <v>0</v>
      </c>
      <c r="N260" t="s">
        <v>122</v>
      </c>
      <c r="O260" s="1" t="s">
        <v>123</v>
      </c>
      <c r="AE260" s="1" t="s">
        <v>124</v>
      </c>
      <c r="AF260" t="s">
        <v>234</v>
      </c>
      <c r="AG260">
        <v>1985</v>
      </c>
      <c r="AH260" t="s">
        <v>148</v>
      </c>
      <c r="AI260" t="s">
        <v>2030</v>
      </c>
      <c r="AJ260" t="s">
        <v>169</v>
      </c>
      <c r="AK260" t="s">
        <v>169</v>
      </c>
      <c r="AL260" t="s">
        <v>150</v>
      </c>
      <c r="AM260" t="s">
        <v>128</v>
      </c>
      <c r="AN260" t="s">
        <v>128</v>
      </c>
      <c r="AO260">
        <v>4</v>
      </c>
      <c r="AP260" t="s">
        <v>131</v>
      </c>
      <c r="AQ260" t="s">
        <v>131</v>
      </c>
      <c r="AR260" t="s">
        <v>2031</v>
      </c>
      <c r="AS260" t="s">
        <v>1229</v>
      </c>
      <c r="AT260" t="s">
        <v>1229</v>
      </c>
      <c r="AU260" t="s">
        <v>157</v>
      </c>
      <c r="AV260" t="s">
        <v>2032</v>
      </c>
      <c r="AW260" s="1" t="s">
        <v>123</v>
      </c>
      <c r="CQ260" s="1" t="s">
        <v>123</v>
      </c>
      <c r="DA260" s="1" t="s">
        <v>123</v>
      </c>
      <c r="DK260" s="1" t="s">
        <v>174</v>
      </c>
      <c r="DL260" t="s">
        <v>394</v>
      </c>
      <c r="DP260" t="s">
        <v>234</v>
      </c>
      <c r="DQ260" t="s">
        <v>162</v>
      </c>
      <c r="DR260" t="s">
        <v>162</v>
      </c>
      <c r="DS260" t="s">
        <v>162</v>
      </c>
      <c r="DT260" t="s">
        <v>132</v>
      </c>
      <c r="DU260" t="s">
        <v>132</v>
      </c>
      <c r="DV260" t="s">
        <v>132</v>
      </c>
      <c r="DW260" t="s">
        <v>162</v>
      </c>
      <c r="DX260">
        <v>20</v>
      </c>
      <c r="DY260">
        <v>60</v>
      </c>
      <c r="DZ260">
        <v>0</v>
      </c>
      <c r="EA260">
        <v>0</v>
      </c>
      <c r="EB260">
        <v>0</v>
      </c>
      <c r="EC260">
        <v>20</v>
      </c>
      <c r="ED260">
        <v>0</v>
      </c>
      <c r="EF260">
        <v>20</v>
      </c>
      <c r="EG260">
        <v>60</v>
      </c>
      <c r="EH260">
        <v>0</v>
      </c>
      <c r="EI260">
        <v>0</v>
      </c>
      <c r="EJ260">
        <v>0</v>
      </c>
      <c r="EK260">
        <v>20</v>
      </c>
      <c r="EL260">
        <v>0</v>
      </c>
      <c r="EN260" s="1" t="s">
        <v>123</v>
      </c>
      <c r="FN260" s="1" t="s">
        <v>123</v>
      </c>
      <c r="GV260" t="s">
        <v>2033</v>
      </c>
      <c r="GW260" t="s">
        <v>1229</v>
      </c>
      <c r="GX260" t="s">
        <v>1229</v>
      </c>
      <c r="GY260" t="s">
        <v>186</v>
      </c>
      <c r="GZ260">
        <v>1961</v>
      </c>
      <c r="HA260" t="s">
        <v>141</v>
      </c>
    </row>
    <row r="261" spans="1:213" x14ac:dyDescent="0.45">
      <c r="A261">
        <v>259</v>
      </c>
      <c r="B261">
        <f>_xlfn.IFNA(VLOOKUP(Wszystkie[[#This Row],[Zakończono wypełnianie]],Zakończone[],2,0),"BRAK")</f>
        <v>136</v>
      </c>
      <c r="C261" t="s">
        <v>2014</v>
      </c>
      <c r="D261" t="s">
        <v>118</v>
      </c>
      <c r="I261" t="s">
        <v>119</v>
      </c>
      <c r="J261" t="s">
        <v>2034</v>
      </c>
      <c r="K261" t="s">
        <v>2035</v>
      </c>
      <c r="L261">
        <v>1151</v>
      </c>
      <c r="M261">
        <v>0</v>
      </c>
      <c r="N261" t="s">
        <v>122</v>
      </c>
      <c r="O261" s="1" t="s">
        <v>123</v>
      </c>
      <c r="AE261" s="1" t="s">
        <v>124</v>
      </c>
      <c r="AF261" t="s">
        <v>223</v>
      </c>
      <c r="AG261">
        <v>1987</v>
      </c>
      <c r="AH261" t="s">
        <v>148</v>
      </c>
      <c r="AI261" t="s">
        <v>554</v>
      </c>
      <c r="AJ261" t="s">
        <v>132</v>
      </c>
      <c r="AK261" t="s">
        <v>132</v>
      </c>
      <c r="AL261" t="s">
        <v>132</v>
      </c>
      <c r="AM261" t="s">
        <v>132</v>
      </c>
      <c r="AN261" t="s">
        <v>132</v>
      </c>
      <c r="AO261" t="s">
        <v>2036</v>
      </c>
      <c r="AP261" t="s">
        <v>132</v>
      </c>
      <c r="AQ261" t="s">
        <v>132</v>
      </c>
      <c r="AS261" t="s">
        <v>1229</v>
      </c>
      <c r="AT261" t="s">
        <v>1229</v>
      </c>
      <c r="AU261" t="s">
        <v>157</v>
      </c>
      <c r="AV261" t="s">
        <v>2037</v>
      </c>
      <c r="AW261" s="1" t="s">
        <v>159</v>
      </c>
      <c r="AX261">
        <v>3</v>
      </c>
      <c r="AY261" t="s">
        <v>191</v>
      </c>
      <c r="AZ261">
        <v>2020</v>
      </c>
      <c r="BA261" t="s">
        <v>126</v>
      </c>
      <c r="BB261" t="s">
        <v>2038</v>
      </c>
      <c r="BC261" t="s">
        <v>150</v>
      </c>
      <c r="BD261" t="s">
        <v>162</v>
      </c>
      <c r="BE261" t="s">
        <v>169</v>
      </c>
      <c r="BF261" t="s">
        <v>150</v>
      </c>
      <c r="BG261" t="s">
        <v>132</v>
      </c>
      <c r="BH261" t="s">
        <v>2039</v>
      </c>
      <c r="BI261" t="s">
        <v>2040</v>
      </c>
      <c r="BJ261" t="s">
        <v>157</v>
      </c>
      <c r="BM261" t="s">
        <v>166</v>
      </c>
      <c r="BN261" t="s">
        <v>191</v>
      </c>
      <c r="BO261">
        <v>2013</v>
      </c>
      <c r="BP261" t="s">
        <v>126</v>
      </c>
      <c r="BQ261" t="s">
        <v>1867</v>
      </c>
      <c r="BR261" t="s">
        <v>162</v>
      </c>
      <c r="BS261" t="s">
        <v>150</v>
      </c>
      <c r="BT261" t="s">
        <v>162</v>
      </c>
      <c r="BU261" t="s">
        <v>162</v>
      </c>
      <c r="BV261" t="s">
        <v>162</v>
      </c>
      <c r="BW261" t="s">
        <v>237</v>
      </c>
      <c r="BY261" t="s">
        <v>157</v>
      </c>
      <c r="CA261" t="s">
        <v>2041</v>
      </c>
      <c r="CB261" t="s">
        <v>238</v>
      </c>
      <c r="CC261" t="s">
        <v>191</v>
      </c>
      <c r="CD261">
        <v>2016</v>
      </c>
      <c r="CE261" t="s">
        <v>126</v>
      </c>
      <c r="CF261" t="s">
        <v>2042</v>
      </c>
      <c r="CG261" t="s">
        <v>151</v>
      </c>
      <c r="CH261" t="s">
        <v>162</v>
      </c>
      <c r="CI261" t="s">
        <v>150</v>
      </c>
      <c r="CJ261" t="s">
        <v>169</v>
      </c>
      <c r="CK261" t="s">
        <v>150</v>
      </c>
      <c r="CL261" t="s">
        <v>237</v>
      </c>
      <c r="CM261" t="s">
        <v>2043</v>
      </c>
      <c r="CN261" t="s">
        <v>157</v>
      </c>
      <c r="CQ261" s="1" t="s">
        <v>123</v>
      </c>
      <c r="DA261" s="1" t="s">
        <v>123</v>
      </c>
      <c r="DK261" s="1" t="s">
        <v>123</v>
      </c>
      <c r="EN261" s="1" t="s">
        <v>123</v>
      </c>
      <c r="FN261" s="1" t="s">
        <v>123</v>
      </c>
      <c r="GV261" t="s">
        <v>1229</v>
      </c>
      <c r="GW261" t="s">
        <v>1229</v>
      </c>
      <c r="GX261" t="s">
        <v>1229</v>
      </c>
      <c r="GY261" t="s">
        <v>186</v>
      </c>
      <c r="GZ261">
        <v>1962</v>
      </c>
      <c r="HA261" t="s">
        <v>141</v>
      </c>
      <c r="HD261" t="s">
        <v>2044</v>
      </c>
      <c r="HE261" t="s">
        <v>2045</v>
      </c>
    </row>
    <row r="262" spans="1:213" x14ac:dyDescent="0.45">
      <c r="A262">
        <v>260</v>
      </c>
      <c r="B262">
        <f>_xlfn.IFNA(VLOOKUP(Wszystkie[[#This Row],[Zakończono wypełnianie]],Zakończone[],2,0),"BRAK")</f>
        <v>137</v>
      </c>
      <c r="C262" t="s">
        <v>2014</v>
      </c>
      <c r="D262" t="s">
        <v>118</v>
      </c>
      <c r="I262" t="s">
        <v>119</v>
      </c>
      <c r="J262" t="s">
        <v>2046</v>
      </c>
      <c r="K262" t="s">
        <v>2047</v>
      </c>
      <c r="L262">
        <v>707</v>
      </c>
      <c r="M262">
        <v>0</v>
      </c>
      <c r="N262" t="s">
        <v>122</v>
      </c>
      <c r="O262" s="1" t="s">
        <v>123</v>
      </c>
      <c r="AE262" s="1" t="s">
        <v>124</v>
      </c>
      <c r="AF262" t="s">
        <v>191</v>
      </c>
      <c r="AG262">
        <v>1985</v>
      </c>
      <c r="AH262" t="s">
        <v>126</v>
      </c>
      <c r="AI262" t="s">
        <v>2017</v>
      </c>
      <c r="AJ262" t="s">
        <v>150</v>
      </c>
      <c r="AK262" t="s">
        <v>150</v>
      </c>
      <c r="AL262" t="s">
        <v>151</v>
      </c>
      <c r="AM262" t="s">
        <v>236</v>
      </c>
      <c r="AN262" t="s">
        <v>150</v>
      </c>
      <c r="AO262" t="s">
        <v>237</v>
      </c>
      <c r="AP262" t="s">
        <v>152</v>
      </c>
      <c r="AQ262" t="s">
        <v>759</v>
      </c>
      <c r="AR262" t="s">
        <v>2048</v>
      </c>
      <c r="AS262" t="s">
        <v>1229</v>
      </c>
      <c r="AT262" t="s">
        <v>1229</v>
      </c>
      <c r="AU262" t="s">
        <v>157</v>
      </c>
      <c r="AV262" t="s">
        <v>2032</v>
      </c>
      <c r="AW262" s="1" t="s">
        <v>159</v>
      </c>
      <c r="AX262">
        <v>1</v>
      </c>
      <c r="AY262" t="s">
        <v>191</v>
      </c>
      <c r="AZ262">
        <v>2018</v>
      </c>
      <c r="BA262" t="s">
        <v>126</v>
      </c>
      <c r="BB262" t="s">
        <v>2049</v>
      </c>
      <c r="BC262" t="s">
        <v>151</v>
      </c>
      <c r="BD262" t="s">
        <v>151</v>
      </c>
      <c r="BE262" t="s">
        <v>128</v>
      </c>
      <c r="BF262" t="s">
        <v>162</v>
      </c>
      <c r="BG262" t="s">
        <v>132</v>
      </c>
      <c r="BH262">
        <v>12</v>
      </c>
      <c r="BI262" t="s">
        <v>2050</v>
      </c>
      <c r="BJ262" t="s">
        <v>157</v>
      </c>
      <c r="BM262" t="s">
        <v>173</v>
      </c>
      <c r="CQ262" s="1" t="s">
        <v>123</v>
      </c>
      <c r="DA262" s="1" t="s">
        <v>123</v>
      </c>
      <c r="DK262" s="1" t="s">
        <v>123</v>
      </c>
      <c r="EN262" s="1" t="s">
        <v>177</v>
      </c>
      <c r="EO262" t="s">
        <v>178</v>
      </c>
      <c r="EP262">
        <v>2</v>
      </c>
      <c r="EQ262" t="s">
        <v>191</v>
      </c>
      <c r="ER262" t="s">
        <v>151</v>
      </c>
      <c r="ES262" t="s">
        <v>162</v>
      </c>
      <c r="ET262" t="s">
        <v>151</v>
      </c>
      <c r="EU262" t="s">
        <v>178</v>
      </c>
      <c r="EV262" t="s">
        <v>2051</v>
      </c>
      <c r="EW262" t="s">
        <v>2052</v>
      </c>
      <c r="EX262" t="s">
        <v>1206</v>
      </c>
      <c r="EY262" t="s">
        <v>223</v>
      </c>
      <c r="EZ262" t="s">
        <v>162</v>
      </c>
      <c r="FA262" t="s">
        <v>162</v>
      </c>
      <c r="FB262" t="s">
        <v>151</v>
      </c>
      <c r="FC262" t="s">
        <v>178</v>
      </c>
      <c r="FD262" t="s">
        <v>2053</v>
      </c>
      <c r="FE262" t="s">
        <v>2054</v>
      </c>
      <c r="FF262" t="s">
        <v>173</v>
      </c>
      <c r="FN262" s="1" t="s">
        <v>123</v>
      </c>
      <c r="GV262" t="s">
        <v>1229</v>
      </c>
      <c r="GW262" t="s">
        <v>1229</v>
      </c>
      <c r="GX262" t="s">
        <v>1229</v>
      </c>
      <c r="GY262" t="s">
        <v>186</v>
      </c>
      <c r="GZ262">
        <v>1959</v>
      </c>
      <c r="HA262" t="s">
        <v>141</v>
      </c>
      <c r="HC262" t="s">
        <v>2055</v>
      </c>
      <c r="HE262" t="s">
        <v>2056</v>
      </c>
    </row>
    <row r="263" spans="1:213" x14ac:dyDescent="0.45">
      <c r="A263">
        <v>261</v>
      </c>
      <c r="B263">
        <f>_xlfn.IFNA(VLOOKUP(Wszystkie[[#This Row],[Zakończono wypełnianie]],Zakończone[],2,0),"BRAK")</f>
        <v>138</v>
      </c>
      <c r="C263" t="s">
        <v>2014</v>
      </c>
      <c r="D263" t="s">
        <v>118</v>
      </c>
      <c r="I263" t="s">
        <v>119</v>
      </c>
      <c r="J263" t="s">
        <v>2057</v>
      </c>
      <c r="K263" t="s">
        <v>2058</v>
      </c>
      <c r="L263">
        <v>616</v>
      </c>
      <c r="M263">
        <v>0</v>
      </c>
      <c r="N263" t="s">
        <v>122</v>
      </c>
      <c r="O263" s="1" t="s">
        <v>123</v>
      </c>
      <c r="AE263" s="1" t="s">
        <v>124</v>
      </c>
      <c r="AF263" t="s">
        <v>223</v>
      </c>
      <c r="AG263">
        <v>1992</v>
      </c>
      <c r="AH263" t="s">
        <v>148</v>
      </c>
      <c r="AI263" t="s">
        <v>2059</v>
      </c>
      <c r="AJ263" t="s">
        <v>150</v>
      </c>
      <c r="AK263" t="s">
        <v>169</v>
      </c>
      <c r="AL263" t="s">
        <v>150</v>
      </c>
      <c r="AM263" t="s">
        <v>151</v>
      </c>
      <c r="AN263" t="s">
        <v>162</v>
      </c>
      <c r="AO263">
        <v>0</v>
      </c>
      <c r="AP263" t="s">
        <v>131</v>
      </c>
      <c r="AQ263" t="s">
        <v>302</v>
      </c>
      <c r="AR263" t="s">
        <v>2060</v>
      </c>
      <c r="AS263" t="s">
        <v>1229</v>
      </c>
      <c r="AT263" t="s">
        <v>1229</v>
      </c>
      <c r="AU263" t="s">
        <v>157</v>
      </c>
      <c r="AV263" t="s">
        <v>2032</v>
      </c>
      <c r="AW263" s="1" t="s">
        <v>159</v>
      </c>
      <c r="AX263">
        <v>1</v>
      </c>
      <c r="AY263" t="s">
        <v>445</v>
      </c>
      <c r="AZ263">
        <v>2019</v>
      </c>
      <c r="BA263" t="s">
        <v>148</v>
      </c>
      <c r="BB263" t="s">
        <v>461</v>
      </c>
      <c r="BC263" t="s">
        <v>169</v>
      </c>
      <c r="BD263" t="s">
        <v>169</v>
      </c>
      <c r="BE263" t="s">
        <v>169</v>
      </c>
      <c r="BF263" t="s">
        <v>169</v>
      </c>
      <c r="BG263" t="s">
        <v>132</v>
      </c>
      <c r="BH263" t="s">
        <v>2020</v>
      </c>
      <c r="BI263" t="s">
        <v>2061</v>
      </c>
      <c r="BJ263" t="s">
        <v>157</v>
      </c>
      <c r="BL263" t="s">
        <v>2062</v>
      </c>
      <c r="BM263" t="s">
        <v>173</v>
      </c>
      <c r="CQ263" s="1" t="s">
        <v>123</v>
      </c>
      <c r="DA263" s="1" t="s">
        <v>123</v>
      </c>
      <c r="DK263" s="1" t="s">
        <v>123</v>
      </c>
      <c r="EN263" s="1" t="s">
        <v>123</v>
      </c>
      <c r="FN263" s="1" t="s">
        <v>2022</v>
      </c>
      <c r="FO263" t="s">
        <v>2023</v>
      </c>
      <c r="FP263" t="s">
        <v>2063</v>
      </c>
      <c r="FQ263">
        <v>1</v>
      </c>
      <c r="FR263" t="s">
        <v>191</v>
      </c>
      <c r="FS263" t="s">
        <v>150</v>
      </c>
      <c r="FT263" t="s">
        <v>150</v>
      </c>
      <c r="FU263" t="s">
        <v>169</v>
      </c>
      <c r="FV263" t="s">
        <v>169</v>
      </c>
      <c r="FW263" t="s">
        <v>132</v>
      </c>
      <c r="FX263" t="s">
        <v>132</v>
      </c>
      <c r="FY263" t="s">
        <v>169</v>
      </c>
      <c r="GB263" t="s">
        <v>173</v>
      </c>
      <c r="GV263" t="s">
        <v>1229</v>
      </c>
      <c r="GW263" t="s">
        <v>1229</v>
      </c>
      <c r="GX263" t="s">
        <v>1229</v>
      </c>
      <c r="GY263" t="s">
        <v>186</v>
      </c>
      <c r="GZ263">
        <v>1968</v>
      </c>
      <c r="HA263" t="s">
        <v>220</v>
      </c>
      <c r="HC263" t="s">
        <v>2055</v>
      </c>
      <c r="HE263" t="s">
        <v>2064</v>
      </c>
    </row>
    <row r="264" spans="1:213" ht="14.65" thickBot="1" x14ac:dyDescent="0.5">
      <c r="N264" s="1">
        <f>COUNTIF(Wszystkie[Czy jesteś osobą pełnoletnią?],"*")</f>
        <v>259</v>
      </c>
      <c r="O264" s="1">
        <f>COUNTIF(Wszystkie[Czy jesteś studentem uczelni wyższej?],"*")</f>
        <v>252</v>
      </c>
      <c r="AE264" s="1">
        <f>COUNTIF(Wszystkie[Czy jesteś absolwentem uczelni wyższej?],"*")</f>
        <v>227</v>
      </c>
      <c r="AW264" s="1">
        <f>COUNTIF(Wszystkie[Czy jesteś rodzicem / opiekunem absolwenta uczelni wyższej?],"*")</f>
        <v>157</v>
      </c>
      <c r="CQ264" s="1">
        <f>COUNTIF(Wszystkie[Czy jesteś aktualnie pracownikiem administracyjnym uczelni wyższej?],"*")</f>
        <v>151</v>
      </c>
      <c r="DA264" s="1">
        <f>COUNTIF(Wszystkie[Czy jesteś aktualnie pracownikiem naukowym lub dydaktycznym uczelni wyższej?],"*")</f>
        <v>149</v>
      </c>
      <c r="DK264" s="1">
        <f>COUNTIF(Wszystkie[Czy jesteś przedstawicielem władz uczelni z grupy rektorów, prorektorów, dziekanów, prodziekanów, członków senatu lub członków rady uczelni?],"*")</f>
        <v>149</v>
      </c>
      <c r="EN264" s="1">
        <f>COUNTIF(Wszystkie[Czy jesteś przedstawicielem firmy, w której są zatrudniani absolwenci uczelni wyższych (tytuł licencjata, magistra lub wyższy)?],"*")</f>
        <v>148</v>
      </c>
      <c r="FN264" s="1">
        <f>COUNTIF(Wszystkie[Czy jesteś przedstawicielem władz samorządowych lub centralnych Rzeczypospolitej Polskiej?],"*")</f>
        <v>144</v>
      </c>
    </row>
    <row r="265" spans="1:213" ht="15" thickTop="1" thickBot="1" x14ac:dyDescent="0.5">
      <c r="N265" s="5">
        <f>COUNTIF(Wszystkie[Czy jesteś osobą pełnoletnią?],"*"&amp;"Tak"&amp;"*")</f>
        <v>255</v>
      </c>
      <c r="O265" s="5">
        <f>COUNTIF(Wszystkie[Czy jesteś studentem uczelni wyższej?],"*"&amp;"Tak"&amp;"*")</f>
        <v>46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5">
        <f>COUNTIF(Wszystkie[Czy jesteś absolwentem uczelni wyższej?],"*"&amp;"Tak"&amp;"*")</f>
        <v>202</v>
      </c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5">
        <f>COUNTIF(Wszystkie[Czy jesteś rodzicem / opiekunem absolwenta uczelni wyższej?],"*"&amp;"Tak"&amp;"*")</f>
        <v>24</v>
      </c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5">
        <f>COUNTIF(Wszystkie[Czy jesteś aktualnie pracownikiem administracyjnym uczelni wyższej?],"*"&amp;"Tak"&amp;"*")</f>
        <v>6</v>
      </c>
      <c r="CR265" s="4"/>
      <c r="CS265" s="4"/>
      <c r="CT265" s="4"/>
      <c r="CU265" s="4"/>
      <c r="CV265" s="4"/>
      <c r="CW265" s="4"/>
      <c r="CX265" s="4"/>
      <c r="CY265" s="4"/>
      <c r="CZ265" s="4"/>
      <c r="DA265" s="5">
        <f>COUNTIF(Wszystkie[Czy jesteś aktualnie pracownikiem naukowym lub dydaktycznym uczelni wyższej?],"*"&amp;"Tak"&amp;"*")</f>
        <v>17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5">
        <f>COUNTIF(Wszystkie[Czy jesteś przedstawicielem władz uczelni z grupy rektorów, prorektorów, dziekanów, prodziekanów, członków senatu lub członków rady uczelni?],"*"&amp;"Tak"&amp;"*")</f>
        <v>6</v>
      </c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5">
        <f>COUNTIF(Wszystkie[Czy jesteś przedstawicielem firmy, w której są zatrudniani absolwenci uczelni wyższych (tytuł licencjata, magistra lub wyższy)?],"*"&amp;"Tak"&amp;"*")</f>
        <v>21</v>
      </c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5">
        <f>COUNTIF(Wszystkie[Czy jesteś przedstawicielem władz samorządowych lub centralnych Rzeczypospolitej Polskiej?],"*"&amp;"Tak"&amp;"*")</f>
        <v>2</v>
      </c>
    </row>
    <row r="266" spans="1:213" ht="15" thickTop="1" thickBot="1" x14ac:dyDescent="0.5">
      <c r="N266" s="5">
        <f>COUNTIF(Wszystkie[Czy jesteś osobą pełnoletnią?],"*"&amp;"Nie"&amp;"*")</f>
        <v>4</v>
      </c>
      <c r="O266" s="5">
        <f>COUNTIF(Wszystkie[Czy jesteś studentem uczelni wyższej?],"*"&amp;"Nie (przejście"&amp;"*")</f>
        <v>206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5">
        <f>COUNTIF(Wszystkie[Czy jesteś absolwentem uczelni wyższej?],"*"&amp;"Nie (przejście"&amp;"*")</f>
        <v>25</v>
      </c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5">
        <f>COUNTIF(Wszystkie[Czy jesteś rodzicem / opiekunem absolwenta uczelni wyższej?],"*"&amp;"Nie (przejście"&amp;"*")</f>
        <v>133</v>
      </c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5">
        <f>COUNTIF(Wszystkie[Czy jesteś aktualnie pracownikiem administracyjnym uczelni wyższej?],"*"&amp;"Nie (przejście"&amp;"*")</f>
        <v>145</v>
      </c>
      <c r="CR266" s="4"/>
      <c r="CS266" s="4"/>
      <c r="CT266" s="4"/>
      <c r="CU266" s="4"/>
      <c r="CV266" s="4"/>
      <c r="CW266" s="4"/>
      <c r="CX266" s="4"/>
      <c r="CY266" s="4"/>
      <c r="CZ266" s="4"/>
      <c r="DA266" s="5">
        <f>COUNTIF(Wszystkie[Czy jesteś aktualnie pracownikiem naukowym lub dydaktycznym uczelni wyższej?],"*"&amp;"Nie (przejście"&amp;"*")</f>
        <v>132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5">
        <f>COUNTIF(Wszystkie[Czy jesteś przedstawicielem władz uczelni z grupy rektorów, prorektorów, dziekanów, prodziekanów, członków senatu lub członków rady uczelni?],"*"&amp;"Nie (przejście"&amp;"*")</f>
        <v>143</v>
      </c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5">
        <f>COUNTIF(Wszystkie[Czy jesteś przedstawicielem firmy, w której są zatrudniani absolwenci uczelni wyższych (tytuł licencjata, magistra lub wyższy)?],"*"&amp;"Nie (przejście"&amp;"*")</f>
        <v>127</v>
      </c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5">
        <f>COUNTIF(Wszystkie[Czy jesteś przedstawicielem władz samorządowych lub centralnych Rzeczypospolitej Polskiej?],"*"&amp;"Nie (przejście"&amp;"*")</f>
        <v>142</v>
      </c>
    </row>
    <row r="267" spans="1:213" ht="14.65" thickTop="1" x14ac:dyDescent="0.45">
      <c r="N267" s="5">
        <f>COUNTBLANK(Wszystkie[Czy jesteś osobą pełnoletnią?])</f>
        <v>2</v>
      </c>
      <c r="O267" s="5">
        <f>COUNTBLANK(Wszystkie[Czy jesteś studentem uczelni wyższej?])</f>
        <v>9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5">
        <f>COUNTBLANK(Wszystkie[Czy jesteś absolwentem uczelni wyższej?])</f>
        <v>34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5">
        <f>COUNTBLANK(Wszystkie[Czy jesteś rodzicem / opiekunem absolwenta uczelni wyższej?])</f>
        <v>104</v>
      </c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5">
        <f>COUNTBLANK(Wszystkie[Czy jesteś aktualnie pracownikiem administracyjnym uczelni wyższej?])</f>
        <v>110</v>
      </c>
      <c r="CR267" s="4"/>
      <c r="CS267" s="4"/>
      <c r="CT267" s="4"/>
      <c r="CU267" s="4"/>
      <c r="CV267" s="4"/>
      <c r="CW267" s="4"/>
      <c r="CX267" s="4"/>
      <c r="CY267" s="4"/>
      <c r="CZ267" s="4"/>
      <c r="DA267" s="5">
        <f>COUNTBLANK(Wszystkie[Czy jesteś aktualnie pracownikiem naukowym lub dydaktycznym uczelni wyższej?])</f>
        <v>112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5">
        <f>COUNTBLANK(Wszystkie[Czy jesteś przedstawicielem władz uczelni z grupy rektorów, prorektorów, dziekanów, prodziekanów, członków senatu lub członków rady uczelni?])</f>
        <v>112</v>
      </c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5">
        <f>COUNTBLANK(Wszystkie[Czy jesteś przedstawicielem firmy, w której są zatrudniani absolwenci uczelni wyższych (tytuł licencjata, magistra lub wyższy)?])</f>
        <v>113</v>
      </c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5">
        <f>COUNTBLANK(Wszystkie[Czy jesteś przedstawicielem władz samorządowych lub centralnych Rzeczypospolitej Polskiej?])</f>
        <v>117</v>
      </c>
    </row>
    <row r="268" spans="1:213" x14ac:dyDescent="0.45">
      <c r="N268">
        <f>SUM(N265:N267)</f>
        <v>261</v>
      </c>
      <c r="O268">
        <f t="shared" ref="O268:BZ268" si="0">SUM(O265:O267)</f>
        <v>261</v>
      </c>
      <c r="P268">
        <f t="shared" si="0"/>
        <v>0</v>
      </c>
      <c r="Q268">
        <f t="shared" si="0"/>
        <v>0</v>
      </c>
      <c r="R268">
        <f t="shared" si="0"/>
        <v>0</v>
      </c>
      <c r="S268">
        <f t="shared" si="0"/>
        <v>0</v>
      </c>
      <c r="T268">
        <f t="shared" si="0"/>
        <v>0</v>
      </c>
      <c r="U268">
        <f t="shared" si="0"/>
        <v>0</v>
      </c>
      <c r="V268">
        <f t="shared" si="0"/>
        <v>0</v>
      </c>
      <c r="W268">
        <f t="shared" si="0"/>
        <v>0</v>
      </c>
      <c r="X268">
        <f t="shared" si="0"/>
        <v>0</v>
      </c>
      <c r="Y268">
        <f t="shared" si="0"/>
        <v>0</v>
      </c>
      <c r="Z268">
        <f t="shared" si="0"/>
        <v>0</v>
      </c>
      <c r="AA268">
        <f t="shared" si="0"/>
        <v>0</v>
      </c>
      <c r="AB268">
        <f t="shared" si="0"/>
        <v>0</v>
      </c>
      <c r="AC268">
        <f t="shared" si="0"/>
        <v>0</v>
      </c>
      <c r="AD268">
        <f t="shared" si="0"/>
        <v>0</v>
      </c>
      <c r="AE268">
        <f t="shared" si="0"/>
        <v>261</v>
      </c>
      <c r="AF268">
        <f t="shared" si="0"/>
        <v>0</v>
      </c>
      <c r="AG268">
        <f t="shared" si="0"/>
        <v>0</v>
      </c>
      <c r="AH268">
        <f t="shared" si="0"/>
        <v>0</v>
      </c>
      <c r="AI268">
        <f t="shared" si="0"/>
        <v>0</v>
      </c>
      <c r="AJ268">
        <f t="shared" si="0"/>
        <v>0</v>
      </c>
      <c r="AK268">
        <f t="shared" si="0"/>
        <v>0</v>
      </c>
      <c r="AL268">
        <f t="shared" si="0"/>
        <v>0</v>
      </c>
      <c r="AM268">
        <f t="shared" si="0"/>
        <v>0</v>
      </c>
      <c r="AN268">
        <f t="shared" si="0"/>
        <v>0</v>
      </c>
      <c r="AO268">
        <f t="shared" si="0"/>
        <v>0</v>
      </c>
      <c r="AP268">
        <f t="shared" si="0"/>
        <v>0</v>
      </c>
      <c r="AQ268">
        <f t="shared" si="0"/>
        <v>0</v>
      </c>
      <c r="AR268">
        <f t="shared" si="0"/>
        <v>0</v>
      </c>
      <c r="AS268">
        <f t="shared" si="0"/>
        <v>0</v>
      </c>
      <c r="AT268">
        <f t="shared" si="0"/>
        <v>0</v>
      </c>
      <c r="AU268">
        <f t="shared" si="0"/>
        <v>0</v>
      </c>
      <c r="AV268">
        <f t="shared" si="0"/>
        <v>0</v>
      </c>
      <c r="AW268">
        <f t="shared" si="0"/>
        <v>261</v>
      </c>
      <c r="AX268">
        <f t="shared" si="0"/>
        <v>0</v>
      </c>
      <c r="AY268">
        <f t="shared" si="0"/>
        <v>0</v>
      </c>
      <c r="AZ268">
        <f t="shared" si="0"/>
        <v>0</v>
      </c>
      <c r="BA268">
        <f t="shared" si="0"/>
        <v>0</v>
      </c>
      <c r="BB268">
        <f t="shared" si="0"/>
        <v>0</v>
      </c>
      <c r="BC268">
        <f t="shared" si="0"/>
        <v>0</v>
      </c>
      <c r="BD268">
        <f t="shared" si="0"/>
        <v>0</v>
      </c>
      <c r="BE268">
        <f t="shared" si="0"/>
        <v>0</v>
      </c>
      <c r="BF268">
        <f t="shared" si="0"/>
        <v>0</v>
      </c>
      <c r="BG268">
        <f t="shared" si="0"/>
        <v>0</v>
      </c>
      <c r="BH268">
        <f t="shared" si="0"/>
        <v>0</v>
      </c>
      <c r="BI268">
        <f t="shared" si="0"/>
        <v>0</v>
      </c>
      <c r="BJ268">
        <f t="shared" si="0"/>
        <v>0</v>
      </c>
      <c r="BK268">
        <f t="shared" si="0"/>
        <v>0</v>
      </c>
      <c r="BL268">
        <f t="shared" si="0"/>
        <v>0</v>
      </c>
      <c r="BM268">
        <f t="shared" si="0"/>
        <v>0</v>
      </c>
      <c r="BN268">
        <f t="shared" si="0"/>
        <v>0</v>
      </c>
      <c r="BO268">
        <f t="shared" si="0"/>
        <v>0</v>
      </c>
      <c r="BP268">
        <f t="shared" si="0"/>
        <v>0</v>
      </c>
      <c r="BQ268">
        <f t="shared" si="0"/>
        <v>0</v>
      </c>
      <c r="BR268">
        <f t="shared" si="0"/>
        <v>0</v>
      </c>
      <c r="BS268">
        <f t="shared" si="0"/>
        <v>0</v>
      </c>
      <c r="BT268">
        <f t="shared" si="0"/>
        <v>0</v>
      </c>
      <c r="BU268">
        <f t="shared" si="0"/>
        <v>0</v>
      </c>
      <c r="BV268">
        <f t="shared" si="0"/>
        <v>0</v>
      </c>
      <c r="BW268">
        <f t="shared" si="0"/>
        <v>0</v>
      </c>
      <c r="BX268">
        <f t="shared" si="0"/>
        <v>0</v>
      </c>
      <c r="BY268">
        <f t="shared" si="0"/>
        <v>0</v>
      </c>
      <c r="BZ268">
        <f t="shared" si="0"/>
        <v>0</v>
      </c>
      <c r="CA268">
        <f t="shared" ref="CA268:DK268" si="1">SUM(CA265:CA267)</f>
        <v>0</v>
      </c>
      <c r="CB268">
        <f t="shared" si="1"/>
        <v>0</v>
      </c>
      <c r="CC268">
        <f t="shared" si="1"/>
        <v>0</v>
      </c>
      <c r="CD268">
        <f t="shared" si="1"/>
        <v>0</v>
      </c>
      <c r="CE268">
        <f t="shared" si="1"/>
        <v>0</v>
      </c>
      <c r="CF268">
        <f t="shared" si="1"/>
        <v>0</v>
      </c>
      <c r="CG268">
        <f t="shared" si="1"/>
        <v>0</v>
      </c>
      <c r="CH268">
        <f t="shared" si="1"/>
        <v>0</v>
      </c>
      <c r="CI268">
        <f t="shared" si="1"/>
        <v>0</v>
      </c>
      <c r="CJ268">
        <f t="shared" si="1"/>
        <v>0</v>
      </c>
      <c r="CK268">
        <f t="shared" si="1"/>
        <v>0</v>
      </c>
      <c r="CL268">
        <f t="shared" si="1"/>
        <v>0</v>
      </c>
      <c r="CM268">
        <f t="shared" si="1"/>
        <v>0</v>
      </c>
      <c r="CN268">
        <f t="shared" si="1"/>
        <v>0</v>
      </c>
      <c r="CO268">
        <f t="shared" si="1"/>
        <v>0</v>
      </c>
      <c r="CP268">
        <f t="shared" si="1"/>
        <v>0</v>
      </c>
      <c r="CQ268">
        <f t="shared" si="1"/>
        <v>261</v>
      </c>
      <c r="CR268">
        <f t="shared" si="1"/>
        <v>0</v>
      </c>
      <c r="CS268">
        <f t="shared" si="1"/>
        <v>0</v>
      </c>
      <c r="CT268">
        <f t="shared" si="1"/>
        <v>0</v>
      </c>
      <c r="CU268">
        <f t="shared" si="1"/>
        <v>0</v>
      </c>
      <c r="CV268">
        <f t="shared" si="1"/>
        <v>0</v>
      </c>
      <c r="CW268">
        <f t="shared" si="1"/>
        <v>0</v>
      </c>
      <c r="CX268">
        <f t="shared" si="1"/>
        <v>0</v>
      </c>
      <c r="CY268">
        <f t="shared" si="1"/>
        <v>0</v>
      </c>
      <c r="CZ268">
        <f t="shared" si="1"/>
        <v>0</v>
      </c>
      <c r="DA268">
        <f t="shared" si="1"/>
        <v>261</v>
      </c>
      <c r="DB268">
        <f t="shared" si="1"/>
        <v>0</v>
      </c>
      <c r="DC268">
        <f t="shared" si="1"/>
        <v>0</v>
      </c>
      <c r="DD268">
        <f t="shared" si="1"/>
        <v>0</v>
      </c>
      <c r="DE268">
        <f t="shared" si="1"/>
        <v>0</v>
      </c>
      <c r="DF268">
        <f t="shared" si="1"/>
        <v>0</v>
      </c>
      <c r="DG268">
        <f t="shared" si="1"/>
        <v>0</v>
      </c>
      <c r="DH268">
        <f t="shared" si="1"/>
        <v>0</v>
      </c>
      <c r="DI268">
        <f t="shared" si="1"/>
        <v>0</v>
      </c>
      <c r="DJ268">
        <f t="shared" si="1"/>
        <v>0</v>
      </c>
      <c r="DK268">
        <f t="shared" si="1"/>
        <v>261</v>
      </c>
      <c r="DL268">
        <f>SUM(DL265:DL267)</f>
        <v>0</v>
      </c>
      <c r="DM268">
        <f t="shared" ref="DM268" si="2">SUM(DM265:DM267)</f>
        <v>0</v>
      </c>
      <c r="DN268">
        <f t="shared" ref="DN268" si="3">SUM(DN265:DN267)</f>
        <v>0</v>
      </c>
      <c r="DO268">
        <f t="shared" ref="DO268" si="4">SUM(DO265:DO267)</f>
        <v>0</v>
      </c>
      <c r="DP268">
        <f t="shared" ref="DP268" si="5">SUM(DP265:DP267)</f>
        <v>0</v>
      </c>
      <c r="DQ268">
        <f t="shared" ref="DQ268" si="6">SUM(DQ265:DQ267)</f>
        <v>0</v>
      </c>
      <c r="DR268">
        <f t="shared" ref="DR268" si="7">SUM(DR265:DR267)</f>
        <v>0</v>
      </c>
      <c r="DS268">
        <f t="shared" ref="DS268" si="8">SUM(DS265:DS267)</f>
        <v>0</v>
      </c>
      <c r="DT268">
        <f t="shared" ref="DT268" si="9">SUM(DT265:DT267)</f>
        <v>0</v>
      </c>
      <c r="DU268">
        <f t="shared" ref="DU268" si="10">SUM(DU265:DU267)</f>
        <v>0</v>
      </c>
      <c r="DV268">
        <f t="shared" ref="DV268" si="11">SUM(DV265:DV267)</f>
        <v>0</v>
      </c>
      <c r="DW268">
        <f t="shared" ref="DW268" si="12">SUM(DW265:DW267)</f>
        <v>0</v>
      </c>
      <c r="DX268">
        <f t="shared" ref="DX268" si="13">SUM(DX265:DX267)</f>
        <v>0</v>
      </c>
      <c r="DY268">
        <f t="shared" ref="DY268" si="14">SUM(DY265:DY267)</f>
        <v>0</v>
      </c>
      <c r="DZ268">
        <f t="shared" ref="DZ268" si="15">SUM(DZ265:DZ267)</f>
        <v>0</v>
      </c>
      <c r="EA268">
        <f t="shared" ref="EA268" si="16">SUM(EA265:EA267)</f>
        <v>0</v>
      </c>
      <c r="EB268">
        <f t="shared" ref="EB268" si="17">SUM(EB265:EB267)</f>
        <v>0</v>
      </c>
      <c r="EC268">
        <f t="shared" ref="EC268" si="18">SUM(EC265:EC267)</f>
        <v>0</v>
      </c>
      <c r="ED268">
        <f t="shared" ref="ED268" si="19">SUM(ED265:ED267)</f>
        <v>0</v>
      </c>
      <c r="EE268">
        <f t="shared" ref="EE268" si="20">SUM(EE265:EE267)</f>
        <v>0</v>
      </c>
      <c r="EF268">
        <f t="shared" ref="EF268" si="21">SUM(EF265:EF267)</f>
        <v>0</v>
      </c>
      <c r="EG268">
        <f t="shared" ref="EG268" si="22">SUM(EG265:EG267)</f>
        <v>0</v>
      </c>
      <c r="EH268">
        <f t="shared" ref="EH268" si="23">SUM(EH265:EH267)</f>
        <v>0</v>
      </c>
      <c r="EI268">
        <f t="shared" ref="EI268" si="24">SUM(EI265:EI267)</f>
        <v>0</v>
      </c>
      <c r="EJ268">
        <f t="shared" ref="EJ268" si="25">SUM(EJ265:EJ267)</f>
        <v>0</v>
      </c>
      <c r="EK268">
        <f t="shared" ref="EK268" si="26">SUM(EK265:EK267)</f>
        <v>0</v>
      </c>
      <c r="EL268">
        <f t="shared" ref="EL268" si="27">SUM(EL265:EL267)</f>
        <v>0</v>
      </c>
      <c r="EM268">
        <f t="shared" ref="EM268" si="28">SUM(EM265:EM267)</f>
        <v>0</v>
      </c>
      <c r="EN268">
        <f t="shared" ref="EN268" si="29">SUM(EN265:EN267)</f>
        <v>261</v>
      </c>
      <c r="EO268">
        <f t="shared" ref="EO268" si="30">SUM(EO265:EO267)</f>
        <v>0</v>
      </c>
      <c r="EP268">
        <f t="shared" ref="EP268" si="31">SUM(EP265:EP267)</f>
        <v>0</v>
      </c>
      <c r="EQ268">
        <f t="shared" ref="EQ268" si="32">SUM(EQ265:EQ267)</f>
        <v>0</v>
      </c>
      <c r="ER268">
        <f t="shared" ref="ER268" si="33">SUM(ER265:ER267)</f>
        <v>0</v>
      </c>
      <c r="ES268">
        <f t="shared" ref="ES268" si="34">SUM(ES265:ES267)</f>
        <v>0</v>
      </c>
      <c r="ET268">
        <f t="shared" ref="ET268" si="35">SUM(ET265:ET267)</f>
        <v>0</v>
      </c>
      <c r="EU268">
        <f t="shared" ref="EU268" si="36">SUM(EU265:EU267)</f>
        <v>0</v>
      </c>
      <c r="EV268">
        <f t="shared" ref="EV268" si="37">SUM(EV265:EV267)</f>
        <v>0</v>
      </c>
      <c r="EW268">
        <f t="shared" ref="EW268" si="38">SUM(EW265:EW267)</f>
        <v>0</v>
      </c>
      <c r="EX268">
        <f t="shared" ref="EX268" si="39">SUM(EX265:EX267)</f>
        <v>0</v>
      </c>
      <c r="EY268">
        <f t="shared" ref="EY268" si="40">SUM(EY265:EY267)</f>
        <v>0</v>
      </c>
      <c r="EZ268">
        <f t="shared" ref="EZ268" si="41">SUM(EZ265:EZ267)</f>
        <v>0</v>
      </c>
      <c r="FA268">
        <f t="shared" ref="FA268" si="42">SUM(FA265:FA267)</f>
        <v>0</v>
      </c>
      <c r="FB268">
        <f t="shared" ref="FB268" si="43">SUM(FB265:FB267)</f>
        <v>0</v>
      </c>
      <c r="FC268">
        <f t="shared" ref="FC268" si="44">SUM(FC265:FC267)</f>
        <v>0</v>
      </c>
      <c r="FD268">
        <f t="shared" ref="FD268" si="45">SUM(FD265:FD267)</f>
        <v>0</v>
      </c>
      <c r="FE268">
        <f t="shared" ref="FE268" si="46">SUM(FE265:FE267)</f>
        <v>0</v>
      </c>
      <c r="FF268">
        <f t="shared" ref="FF268" si="47">SUM(FF265:FF267)</f>
        <v>0</v>
      </c>
      <c r="FG268">
        <f t="shared" ref="FG268" si="48">SUM(FG265:FG267)</f>
        <v>0</v>
      </c>
      <c r="FH268">
        <f t="shared" ref="FH268" si="49">SUM(FH265:FH267)</f>
        <v>0</v>
      </c>
      <c r="FI268">
        <f t="shared" ref="FI268" si="50">SUM(FI265:FI267)</f>
        <v>0</v>
      </c>
      <c r="FJ268">
        <f t="shared" ref="FJ268" si="51">SUM(FJ265:FJ267)</f>
        <v>0</v>
      </c>
      <c r="FK268">
        <f t="shared" ref="FK268" si="52">SUM(FK265:FK267)</f>
        <v>0</v>
      </c>
      <c r="FL268">
        <f t="shared" ref="FL268" si="53">SUM(FL265:FL267)</f>
        <v>0</v>
      </c>
      <c r="FM268">
        <f t="shared" ref="FM268" si="54">SUM(FM265:FM267)</f>
        <v>0</v>
      </c>
      <c r="FN268">
        <f t="shared" ref="FN268" si="55">SUM(FN265:FN267)</f>
        <v>261</v>
      </c>
    </row>
    <row r="274" spans="14:15" x14ac:dyDescent="0.45">
      <c r="N274" t="s">
        <v>2341</v>
      </c>
    </row>
    <row r="275" spans="14:15" x14ac:dyDescent="0.45">
      <c r="N275" t="s">
        <v>2342</v>
      </c>
    </row>
    <row r="276" spans="14:15" x14ac:dyDescent="0.45">
      <c r="N276" t="s">
        <v>2345</v>
      </c>
      <c r="O276" s="30">
        <f>138/259</f>
        <v>0.53281853281853286</v>
      </c>
    </row>
    <row r="277" spans="14:15" x14ac:dyDescent="0.45">
      <c r="N277" t="s">
        <v>2344</v>
      </c>
    </row>
    <row r="278" spans="14:15" x14ac:dyDescent="0.45">
      <c r="N278" t="s">
        <v>2343</v>
      </c>
    </row>
    <row r="279" spans="14:15" x14ac:dyDescent="0.45">
      <c r="N279" t="s">
        <v>2345</v>
      </c>
      <c r="O279" s="30">
        <f>133/249</f>
        <v>0.53413654618473894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K2:K263">
    <cfRule type="duplicateValues" dxfId="17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B41-8CD2-4818-A787-7CA57EF99F14}">
  <dimension ref="A1:HD140"/>
  <sheetViews>
    <sheetView topLeftCell="A4" workbookViewId="0"/>
  </sheetViews>
  <sheetFormatPr defaultRowHeight="14.25" x14ac:dyDescent="0.45"/>
  <cols>
    <col min="1" max="1" width="18.06640625" style="2" customWidth="1"/>
    <col min="2" max="2" width="5.1328125" style="2" customWidth="1"/>
    <col min="4" max="4" width="9.33203125" style="2" customWidth="1"/>
    <col min="5" max="5" width="9.53125" style="2" customWidth="1"/>
    <col min="6" max="6" width="34.265625" style="2" customWidth="1"/>
    <col min="8" max="8" width="16.46484375" style="2" customWidth="1"/>
    <col min="10" max="10" width="20.46484375" style="2" customWidth="1"/>
    <col min="12" max="12" width="26.73046875" style="2" customWidth="1"/>
    <col min="13" max="13" width="9.06640625" style="2"/>
    <col min="15" max="15" width="22.46484375" style="2" customWidth="1"/>
    <col min="17" max="17" width="15.265625" style="2" customWidth="1"/>
    <col min="18" max="18" width="10.46484375" style="2" customWidth="1"/>
    <col min="19" max="19" width="26.59765625" style="2" customWidth="1"/>
    <col min="20" max="20" width="33.6640625" style="2" customWidth="1"/>
    <col min="21" max="31" width="34.265625" style="2" customWidth="1"/>
    <col min="32" max="32" width="10.86328125" style="2" customWidth="1"/>
    <col min="33" max="33" width="29.06640625" style="2" customWidth="1"/>
    <col min="34" max="34" width="15.86328125" style="2" customWidth="1"/>
    <col min="35" max="49" width="34.265625" style="2" customWidth="1"/>
    <col min="50" max="50" width="9.06640625" style="2"/>
    <col min="51" max="51" width="10.86328125" style="2" customWidth="1"/>
    <col min="52" max="52" width="30.796875" style="2" customWidth="1"/>
    <col min="53" max="53" width="16.86328125" style="2" customWidth="1"/>
    <col min="54" max="67" width="34.265625" style="2" customWidth="1"/>
    <col min="68" max="68" width="16.86328125" style="2" customWidth="1"/>
    <col min="69" max="82" width="34.265625" style="2" customWidth="1"/>
    <col min="83" max="83" width="17.86328125" style="2" customWidth="1"/>
    <col min="84" max="97" width="34.265625" style="2" customWidth="1"/>
    <col min="98" max="98" width="17.86328125" style="2" customWidth="1"/>
    <col min="99" max="101" width="34.265625" style="2" customWidth="1"/>
    <col min="102" max="102" width="26.19921875" style="2" customWidth="1"/>
    <col min="103" max="104" width="34.265625" style="2" customWidth="1"/>
    <col min="105" max="105" width="30.6640625" style="2" customWidth="1"/>
    <col min="106" max="111" width="34.265625" style="2" customWidth="1"/>
    <col min="112" max="112" width="28.19921875" style="2" customWidth="1"/>
    <col min="113" max="114" width="34.265625" style="2" customWidth="1"/>
    <col min="115" max="115" width="32.6640625" style="2" customWidth="1"/>
    <col min="116" max="120" width="34.265625" style="2" customWidth="1"/>
    <col min="121" max="121" width="27.3984375" style="2" customWidth="1"/>
    <col min="122" max="124" width="11.86328125" style="2" customWidth="1"/>
    <col min="125" max="139" width="34.265625" style="2" customWidth="1"/>
    <col min="140" max="140" width="17.86328125" style="2" customWidth="1"/>
    <col min="141" max="147" width="34.265625" style="2" customWidth="1"/>
    <col min="148" max="148" width="17.86328125" style="2" customWidth="1"/>
    <col min="149" max="150" width="34.265625" style="2" customWidth="1"/>
    <col min="151" max="151" width="25.6640625" style="2" customWidth="1"/>
    <col min="152" max="158" width="34.265625" style="2" customWidth="1"/>
    <col min="159" max="159" width="32.265625" style="2" customWidth="1"/>
    <col min="160" max="177" width="34.265625" style="2" customWidth="1"/>
    <col min="178" max="178" width="27.6640625" style="2" customWidth="1"/>
    <col min="179" max="179" width="34.06640625" style="2" customWidth="1"/>
    <col min="180" max="186" width="34.265625" style="2" customWidth="1"/>
    <col min="187" max="187" width="17.86328125" style="2" customWidth="1"/>
    <col min="188" max="188" width="34.265625" style="2" customWidth="1"/>
    <col min="189" max="189" width="32.53125" style="2" customWidth="1"/>
    <col min="190" max="198" width="34.265625" style="2" customWidth="1"/>
    <col min="199" max="199" width="33.19921875" style="2" customWidth="1"/>
    <col min="200" max="209" width="34.265625" style="2" customWidth="1"/>
    <col min="210" max="211" width="11.86328125" style="2" customWidth="1"/>
    <col min="212" max="212" width="9.06640625" style="2"/>
    <col min="213" max="213" width="14.265625" style="2" customWidth="1"/>
    <col min="214" max="214" width="34.265625" style="2" customWidth="1"/>
    <col min="215" max="215" width="18.86328125" style="2" customWidth="1"/>
    <col min="216" max="217" width="34.265625" style="2" customWidth="1"/>
    <col min="218" max="16384" width="9.06640625" style="2"/>
  </cols>
  <sheetData>
    <row r="1" spans="1:212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18</v>
      </c>
      <c r="V1" s="2" t="s">
        <v>19</v>
      </c>
      <c r="X1" s="2" t="s">
        <v>20</v>
      </c>
      <c r="Y1" s="2" t="s">
        <v>21</v>
      </c>
      <c r="AA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N1" s="2" t="s">
        <v>29</v>
      </c>
      <c r="AO1" s="2" t="s">
        <v>30</v>
      </c>
      <c r="AQ1" s="2" t="s">
        <v>31</v>
      </c>
      <c r="AR1" s="2" t="s">
        <v>32</v>
      </c>
      <c r="AT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17</v>
      </c>
      <c r="BG1" s="2" t="s">
        <v>40</v>
      </c>
      <c r="BH1" s="2" t="s">
        <v>41</v>
      </c>
      <c r="BI1" s="2" t="s">
        <v>42</v>
      </c>
      <c r="BK1" s="2" t="s">
        <v>43</v>
      </c>
      <c r="BL1" s="2" t="s">
        <v>44</v>
      </c>
      <c r="BM1" s="2" t="s">
        <v>36</v>
      </c>
      <c r="BN1" s="2" t="s">
        <v>37</v>
      </c>
      <c r="BO1" s="2" t="s">
        <v>38</v>
      </c>
      <c r="BP1" s="2" t="s">
        <v>39</v>
      </c>
      <c r="BQ1" s="2" t="s">
        <v>17</v>
      </c>
      <c r="BV1" s="2" t="s">
        <v>40</v>
      </c>
      <c r="BW1" s="2" t="s">
        <v>41</v>
      </c>
      <c r="BX1" s="2" t="s">
        <v>42</v>
      </c>
      <c r="BZ1" s="2" t="s">
        <v>43</v>
      </c>
      <c r="CA1" s="2" t="s">
        <v>45</v>
      </c>
      <c r="CB1" s="2" t="s">
        <v>36</v>
      </c>
      <c r="CC1" s="2" t="s">
        <v>37</v>
      </c>
      <c r="CD1" s="2" t="s">
        <v>38</v>
      </c>
      <c r="CE1" s="2" t="s">
        <v>39</v>
      </c>
      <c r="CF1" s="2" t="s">
        <v>17</v>
      </c>
      <c r="CK1" s="2" t="s">
        <v>40</v>
      </c>
      <c r="CL1" s="2" t="s">
        <v>41</v>
      </c>
      <c r="CM1" s="2" t="s">
        <v>42</v>
      </c>
      <c r="CO1" s="2" t="s">
        <v>43</v>
      </c>
      <c r="CP1" s="2" t="s">
        <v>46</v>
      </c>
      <c r="CQ1" s="2" t="s">
        <v>47</v>
      </c>
      <c r="CR1" s="2" t="s">
        <v>48</v>
      </c>
      <c r="CS1" s="2" t="s">
        <v>17</v>
      </c>
      <c r="CY1" s="2" t="s">
        <v>41</v>
      </c>
      <c r="CZ1" s="2" t="s">
        <v>49</v>
      </c>
      <c r="DA1" s="2" t="s">
        <v>47</v>
      </c>
      <c r="DB1" s="2" t="s">
        <v>48</v>
      </c>
      <c r="DC1" s="2" t="s">
        <v>17</v>
      </c>
      <c r="DI1" s="2" t="s">
        <v>31</v>
      </c>
      <c r="DJ1" s="2" t="s">
        <v>50</v>
      </c>
      <c r="DK1" s="2" t="s">
        <v>51</v>
      </c>
      <c r="DO1" s="2" t="s">
        <v>52</v>
      </c>
      <c r="DP1" s="2" t="s">
        <v>17</v>
      </c>
      <c r="DW1" s="2" t="s">
        <v>53</v>
      </c>
      <c r="EE1" s="2" t="s">
        <v>54</v>
      </c>
      <c r="EM1" s="2" t="s">
        <v>55</v>
      </c>
      <c r="EN1" s="2" t="s">
        <v>56</v>
      </c>
      <c r="EO1" s="2" t="s">
        <v>57</v>
      </c>
      <c r="EP1" s="2" t="s">
        <v>58</v>
      </c>
      <c r="EQ1" s="2" t="s">
        <v>17</v>
      </c>
      <c r="ET1" s="2" t="s">
        <v>59</v>
      </c>
      <c r="EU1" s="2" t="s">
        <v>60</v>
      </c>
      <c r="EV1" s="2" t="s">
        <v>61</v>
      </c>
      <c r="EW1" s="2" t="s">
        <v>62</v>
      </c>
      <c r="EX1" s="2" t="s">
        <v>58</v>
      </c>
      <c r="EY1" s="2" t="s">
        <v>17</v>
      </c>
      <c r="FB1" s="2" t="s">
        <v>59</v>
      </c>
      <c r="FC1" s="2" t="s">
        <v>60</v>
      </c>
      <c r="FD1" s="2" t="s">
        <v>61</v>
      </c>
      <c r="FE1" s="2" t="s">
        <v>63</v>
      </c>
      <c r="FF1" s="2" t="s">
        <v>58</v>
      </c>
      <c r="FG1" s="2" t="s">
        <v>17</v>
      </c>
      <c r="FJ1" s="2" t="s">
        <v>59</v>
      </c>
      <c r="FK1" s="2" t="s">
        <v>60</v>
      </c>
      <c r="FL1" s="2" t="s">
        <v>64</v>
      </c>
      <c r="FM1" s="2" t="s">
        <v>65</v>
      </c>
      <c r="FN1" s="2" t="s">
        <v>66</v>
      </c>
      <c r="FO1" s="2" t="s">
        <v>67</v>
      </c>
      <c r="FP1" s="2" t="s">
        <v>57</v>
      </c>
      <c r="FQ1" s="2" t="s">
        <v>68</v>
      </c>
      <c r="FR1" s="2" t="s">
        <v>17</v>
      </c>
      <c r="FZ1" s="2" t="s">
        <v>69</v>
      </c>
      <c r="GA1" s="2" t="s">
        <v>70</v>
      </c>
      <c r="GB1" s="2" t="s">
        <v>68</v>
      </c>
      <c r="GC1" s="2" t="s">
        <v>17</v>
      </c>
      <c r="GJ1" s="2" t="s">
        <v>71</v>
      </c>
      <c r="GK1" s="2" t="s">
        <v>72</v>
      </c>
      <c r="GL1" s="2" t="s">
        <v>68</v>
      </c>
      <c r="GM1" s="2" t="s">
        <v>17</v>
      </c>
      <c r="GT1" s="2" t="s">
        <v>71</v>
      </c>
      <c r="GU1" s="2" t="s">
        <v>73</v>
      </c>
      <c r="GX1" s="2" t="s">
        <v>74</v>
      </c>
      <c r="GY1" s="2" t="s">
        <v>75</v>
      </c>
      <c r="GZ1" s="2" t="s">
        <v>76</v>
      </c>
      <c r="HB1" s="2" t="s">
        <v>77</v>
      </c>
      <c r="HC1" s="2" t="s">
        <v>78</v>
      </c>
      <c r="HD1" s="2" t="s">
        <v>79</v>
      </c>
    </row>
    <row r="2" spans="1:212" x14ac:dyDescent="0.4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80</v>
      </c>
      <c r="S2" s="2" t="s">
        <v>81</v>
      </c>
      <c r="T2" s="2" t="s">
        <v>82</v>
      </c>
      <c r="U2" s="2" t="s">
        <v>18</v>
      </c>
      <c r="V2" s="2" t="s">
        <v>83</v>
      </c>
      <c r="W2" s="2" t="s">
        <v>84</v>
      </c>
      <c r="X2" s="2" t="s">
        <v>20</v>
      </c>
      <c r="Y2" s="2" t="s">
        <v>21</v>
      </c>
      <c r="Z2" s="2" t="s">
        <v>2065</v>
      </c>
      <c r="AA2" s="2" t="s">
        <v>22</v>
      </c>
      <c r="AB2" s="2" t="s">
        <v>85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86</v>
      </c>
      <c r="AJ2" s="2" t="s">
        <v>2166</v>
      </c>
      <c r="AK2" s="2" t="s">
        <v>87</v>
      </c>
      <c r="AL2" s="2" t="s">
        <v>88</v>
      </c>
      <c r="AM2" s="2" t="s">
        <v>89</v>
      </c>
      <c r="AN2" s="2" t="s">
        <v>29</v>
      </c>
      <c r="AO2" s="2" t="s">
        <v>2167</v>
      </c>
      <c r="AP2" s="2" t="s">
        <v>2168</v>
      </c>
      <c r="AQ2" s="2" t="s">
        <v>31</v>
      </c>
      <c r="AR2" s="2" t="s">
        <v>32</v>
      </c>
      <c r="AS2" s="2" t="s">
        <v>2069</v>
      </c>
      <c r="AT2" s="2" t="s">
        <v>33</v>
      </c>
      <c r="AU2" s="2" t="s">
        <v>2169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2170</v>
      </c>
      <c r="BC2" s="2" t="s">
        <v>2171</v>
      </c>
      <c r="BD2" s="2" t="s">
        <v>90</v>
      </c>
      <c r="BE2" s="2" t="s">
        <v>91</v>
      </c>
      <c r="BF2" s="2" t="s">
        <v>92</v>
      </c>
      <c r="BG2" s="2" t="s">
        <v>40</v>
      </c>
      <c r="BH2" s="2" t="s">
        <v>41</v>
      </c>
      <c r="BI2" s="2" t="s">
        <v>42</v>
      </c>
      <c r="BJ2" s="2" t="s">
        <v>2172</v>
      </c>
      <c r="BK2" s="2" t="s">
        <v>43</v>
      </c>
      <c r="BL2" s="2" t="s">
        <v>44</v>
      </c>
      <c r="BM2" s="2" t="s">
        <v>2173</v>
      </c>
      <c r="BN2" s="2" t="s">
        <v>2174</v>
      </c>
      <c r="BO2" s="2" t="s">
        <v>2175</v>
      </c>
      <c r="BP2" s="2" t="s">
        <v>2176</v>
      </c>
      <c r="BQ2" s="2" t="s">
        <v>2177</v>
      </c>
      <c r="BR2" s="2" t="s">
        <v>2178</v>
      </c>
      <c r="BS2" s="2" t="s">
        <v>2179</v>
      </c>
      <c r="BT2" s="2" t="s">
        <v>2180</v>
      </c>
      <c r="BU2" s="2" t="s">
        <v>2181</v>
      </c>
      <c r="BV2" s="2" t="s">
        <v>2182</v>
      </c>
      <c r="BW2" s="2" t="s">
        <v>2183</v>
      </c>
      <c r="BX2" s="2" t="s">
        <v>2184</v>
      </c>
      <c r="BY2" s="2" t="s">
        <v>2185</v>
      </c>
      <c r="BZ2" s="2" t="s">
        <v>2186</v>
      </c>
      <c r="CA2" s="2" t="s">
        <v>45</v>
      </c>
      <c r="CB2" s="2" t="s">
        <v>2187</v>
      </c>
      <c r="CC2" s="2" t="s">
        <v>2188</v>
      </c>
      <c r="CD2" s="2" t="s">
        <v>2189</v>
      </c>
      <c r="CE2" s="2" t="s">
        <v>2190</v>
      </c>
      <c r="CF2" s="2" t="s">
        <v>2191</v>
      </c>
      <c r="CG2" s="2" t="s">
        <v>2192</v>
      </c>
      <c r="CH2" s="2" t="s">
        <v>2193</v>
      </c>
      <c r="CI2" s="2" t="s">
        <v>2194</v>
      </c>
      <c r="CJ2" s="2" t="s">
        <v>2195</v>
      </c>
      <c r="CK2" s="2" t="s">
        <v>2196</v>
      </c>
      <c r="CL2" s="2" t="s">
        <v>2197</v>
      </c>
      <c r="CM2" s="2" t="s">
        <v>2198</v>
      </c>
      <c r="CN2" s="2" t="s">
        <v>2199</v>
      </c>
      <c r="CO2" s="2" t="s">
        <v>2200</v>
      </c>
      <c r="CP2" s="2" t="s">
        <v>46</v>
      </c>
      <c r="CQ2" s="2" t="s">
        <v>47</v>
      </c>
      <c r="CR2" s="2" t="s">
        <v>48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2201</v>
      </c>
      <c r="CZ2" s="2" t="s">
        <v>49</v>
      </c>
      <c r="DA2" s="2" t="s">
        <v>2202</v>
      </c>
      <c r="DB2" s="2" t="s">
        <v>2203</v>
      </c>
      <c r="DC2" s="2" t="s">
        <v>2204</v>
      </c>
      <c r="DD2" s="2" t="s">
        <v>2205</v>
      </c>
      <c r="DE2" s="2" t="s">
        <v>2206</v>
      </c>
      <c r="DF2" s="2" t="s">
        <v>2207</v>
      </c>
      <c r="DG2" s="2" t="s">
        <v>2208</v>
      </c>
      <c r="DH2" s="2" t="s">
        <v>2209</v>
      </c>
      <c r="DI2" s="2" t="s">
        <v>2210</v>
      </c>
      <c r="DJ2" s="2" t="s">
        <v>50</v>
      </c>
      <c r="DK2" s="2" t="s">
        <v>51</v>
      </c>
      <c r="DL2" s="2" t="s">
        <v>2211</v>
      </c>
      <c r="DM2" s="2" t="s">
        <v>2212</v>
      </c>
      <c r="DN2" s="2" t="s">
        <v>2213</v>
      </c>
      <c r="DO2" s="2" t="s">
        <v>52</v>
      </c>
      <c r="DP2" s="2" t="s">
        <v>99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112</v>
      </c>
      <c r="ED2" s="2" t="s">
        <v>2214</v>
      </c>
      <c r="EE2" s="2" t="s">
        <v>2215</v>
      </c>
      <c r="EF2" s="2" t="s">
        <v>2216</v>
      </c>
      <c r="EG2" s="2" t="s">
        <v>2217</v>
      </c>
      <c r="EH2" s="2" t="s">
        <v>2218</v>
      </c>
      <c r="EI2" s="2" t="s">
        <v>2219</v>
      </c>
      <c r="EJ2" s="2" t="s">
        <v>2220</v>
      </c>
      <c r="EK2" s="2" t="s">
        <v>2221</v>
      </c>
      <c r="EL2" s="2" t="s">
        <v>2222</v>
      </c>
      <c r="EM2" s="2" t="s">
        <v>55</v>
      </c>
      <c r="EN2" s="2" t="s">
        <v>56</v>
      </c>
      <c r="EO2" s="2" t="s">
        <v>57</v>
      </c>
      <c r="EP2" s="2" t="s">
        <v>58</v>
      </c>
      <c r="EQ2" s="2" t="s">
        <v>113</v>
      </c>
      <c r="ER2" s="2" t="s">
        <v>114</v>
      </c>
      <c r="ES2" s="2" t="s">
        <v>115</v>
      </c>
      <c r="ET2" s="2" t="s">
        <v>59</v>
      </c>
      <c r="EU2" s="2" t="s">
        <v>60</v>
      </c>
      <c r="EV2" s="2" t="s">
        <v>61</v>
      </c>
      <c r="EW2" s="2" t="s">
        <v>62</v>
      </c>
      <c r="EX2" s="2" t="s">
        <v>2223</v>
      </c>
      <c r="EY2" s="2" t="s">
        <v>2224</v>
      </c>
      <c r="EZ2" s="2" t="s">
        <v>2225</v>
      </c>
      <c r="FA2" s="2" t="s">
        <v>2226</v>
      </c>
      <c r="FB2" s="2" t="s">
        <v>2227</v>
      </c>
      <c r="FC2" s="2" t="s">
        <v>2228</v>
      </c>
      <c r="FD2" s="2" t="s">
        <v>2229</v>
      </c>
      <c r="FE2" s="2" t="s">
        <v>63</v>
      </c>
      <c r="FF2" s="2" t="s">
        <v>2230</v>
      </c>
      <c r="FG2" s="2" t="s">
        <v>2231</v>
      </c>
      <c r="FH2" s="2" t="s">
        <v>2232</v>
      </c>
      <c r="FI2" s="2" t="s">
        <v>2233</v>
      </c>
      <c r="FJ2" s="2" t="s">
        <v>2234</v>
      </c>
      <c r="FK2" s="2" t="s">
        <v>2235</v>
      </c>
      <c r="FL2" s="2" t="s">
        <v>64</v>
      </c>
      <c r="FM2" s="2" t="s">
        <v>65</v>
      </c>
      <c r="FN2" s="2" t="s">
        <v>66</v>
      </c>
      <c r="FO2" s="2" t="s">
        <v>67</v>
      </c>
      <c r="FP2" s="2" t="s">
        <v>2236</v>
      </c>
      <c r="FQ2" s="2" t="s">
        <v>68</v>
      </c>
      <c r="FR2" s="2" t="s">
        <v>116</v>
      </c>
      <c r="FS2" s="2" t="s">
        <v>2237</v>
      </c>
      <c r="FT2" s="2" t="s">
        <v>2238</v>
      </c>
      <c r="FU2" s="2" t="s">
        <v>2239</v>
      </c>
      <c r="FV2" s="2" t="s">
        <v>2240</v>
      </c>
      <c r="FW2" s="2" t="s">
        <v>2241</v>
      </c>
      <c r="FX2" s="2" t="s">
        <v>2242</v>
      </c>
      <c r="FY2" s="2" t="s">
        <v>2243</v>
      </c>
      <c r="FZ2" s="2" t="s">
        <v>69</v>
      </c>
      <c r="GA2" s="2" t="s">
        <v>70</v>
      </c>
      <c r="GB2" s="2" t="s">
        <v>2244</v>
      </c>
      <c r="GC2" s="2" t="s">
        <v>2245</v>
      </c>
      <c r="GD2" s="2" t="s">
        <v>2246</v>
      </c>
      <c r="GE2" s="2" t="s">
        <v>2247</v>
      </c>
      <c r="GF2" s="2" t="s">
        <v>2248</v>
      </c>
      <c r="GG2" s="2" t="s">
        <v>2249</v>
      </c>
      <c r="GH2" s="2" t="s">
        <v>2250</v>
      </c>
      <c r="GI2" s="2" t="s">
        <v>2251</v>
      </c>
      <c r="GJ2" s="2" t="s">
        <v>71</v>
      </c>
      <c r="GK2" s="2" t="s">
        <v>72</v>
      </c>
      <c r="GL2" s="2" t="s">
        <v>2252</v>
      </c>
      <c r="GM2" s="2" t="s">
        <v>2253</v>
      </c>
      <c r="GN2" s="2" t="s">
        <v>2254</v>
      </c>
      <c r="GO2" s="2" t="s">
        <v>2255</v>
      </c>
      <c r="GP2" s="2" t="s">
        <v>2256</v>
      </c>
      <c r="GQ2" s="2" t="s">
        <v>2257</v>
      </c>
      <c r="GR2" s="2" t="s">
        <v>2258</v>
      </c>
      <c r="GS2" s="2" t="s">
        <v>2259</v>
      </c>
      <c r="GT2" s="2" t="s">
        <v>2260</v>
      </c>
      <c r="GU2" s="2" t="s">
        <v>73</v>
      </c>
      <c r="GV2" s="2" t="s">
        <v>2261</v>
      </c>
      <c r="GW2" s="2" t="s">
        <v>2262</v>
      </c>
      <c r="GX2" s="2" t="s">
        <v>74</v>
      </c>
      <c r="GY2" s="2" t="s">
        <v>75</v>
      </c>
      <c r="GZ2" s="2" t="s">
        <v>76</v>
      </c>
      <c r="HA2" s="2" t="s">
        <v>2263</v>
      </c>
      <c r="HB2" s="2" t="s">
        <v>77</v>
      </c>
      <c r="HC2" s="2" t="s">
        <v>78</v>
      </c>
      <c r="HD2" s="2" t="s">
        <v>79</v>
      </c>
    </row>
    <row r="3" spans="1:212" x14ac:dyDescent="0.45">
      <c r="A3" s="2" t="s">
        <v>121</v>
      </c>
      <c r="B3" s="2">
        <v>1</v>
      </c>
      <c r="C3" s="2" t="s">
        <v>117</v>
      </c>
      <c r="D3" s="2" t="s">
        <v>118</v>
      </c>
      <c r="G3" s="2"/>
      <c r="I3" s="2" t="s">
        <v>119</v>
      </c>
      <c r="J3" s="2" t="s">
        <v>120</v>
      </c>
      <c r="K3" s="2">
        <v>65871</v>
      </c>
      <c r="L3" s="2">
        <v>0</v>
      </c>
      <c r="M3" s="2" t="s">
        <v>122</v>
      </c>
      <c r="N3" s="2" t="s">
        <v>123</v>
      </c>
      <c r="P3" s="2"/>
      <c r="AD3" s="2" t="s">
        <v>124</v>
      </c>
      <c r="AE3" s="2" t="s">
        <v>125</v>
      </c>
      <c r="AG3" s="2" t="s">
        <v>126</v>
      </c>
      <c r="AH3" s="2" t="s">
        <v>127</v>
      </c>
      <c r="AI3" s="2" t="s">
        <v>128</v>
      </c>
      <c r="AJ3" s="2" t="s">
        <v>128</v>
      </c>
      <c r="AK3" s="2" t="s">
        <v>129</v>
      </c>
      <c r="AL3" s="2" t="s">
        <v>129</v>
      </c>
      <c r="AM3" s="2" t="s">
        <v>129</v>
      </c>
      <c r="AN3" s="2" t="s">
        <v>130</v>
      </c>
      <c r="AO3" s="2" t="s">
        <v>131</v>
      </c>
      <c r="AP3" s="2" t="s">
        <v>132</v>
      </c>
      <c r="AQ3" s="2" t="s">
        <v>133</v>
      </c>
      <c r="AR3" s="2" t="s">
        <v>134</v>
      </c>
      <c r="AS3" s="2" t="s">
        <v>135</v>
      </c>
      <c r="AU3" s="2" t="s">
        <v>136</v>
      </c>
      <c r="AV3" s="2" t="s">
        <v>123</v>
      </c>
      <c r="CP3" s="2" t="s">
        <v>123</v>
      </c>
      <c r="CZ3" s="2" t="s">
        <v>123</v>
      </c>
      <c r="DJ3" s="2" t="s">
        <v>123</v>
      </c>
      <c r="EM3" s="2" t="s">
        <v>123</v>
      </c>
      <c r="FM3" s="2" t="s">
        <v>123</v>
      </c>
      <c r="FN3" s="2" t="s">
        <v>132</v>
      </c>
      <c r="GU3" s="2" t="s">
        <v>137</v>
      </c>
      <c r="GV3" s="2" t="s">
        <v>138</v>
      </c>
      <c r="GW3" s="2" t="s">
        <v>139</v>
      </c>
      <c r="GX3" s="2" t="s">
        <v>140</v>
      </c>
      <c r="GY3" s="2">
        <v>1987</v>
      </c>
      <c r="GZ3" s="2" t="s">
        <v>141</v>
      </c>
      <c r="HB3" s="2" t="s">
        <v>142</v>
      </c>
      <c r="HC3" s="2" t="s">
        <v>142</v>
      </c>
      <c r="HD3" s="2" t="s">
        <v>143</v>
      </c>
    </row>
    <row r="4" spans="1:212" x14ac:dyDescent="0.45">
      <c r="A4" s="2" t="s">
        <v>146</v>
      </c>
      <c r="B4" s="2">
        <v>2</v>
      </c>
      <c r="C4" s="2" t="s">
        <v>144</v>
      </c>
      <c r="D4" s="2" t="s">
        <v>118</v>
      </c>
      <c r="G4" s="2"/>
      <c r="I4" s="2" t="s">
        <v>119</v>
      </c>
      <c r="J4" s="2" t="s">
        <v>145</v>
      </c>
      <c r="K4" s="2">
        <v>1573</v>
      </c>
      <c r="L4" s="2">
        <v>0</v>
      </c>
      <c r="M4" s="2" t="s">
        <v>122</v>
      </c>
      <c r="N4" s="2" t="s">
        <v>123</v>
      </c>
      <c r="P4" s="2"/>
      <c r="AD4" s="2" t="s">
        <v>124</v>
      </c>
      <c r="AE4" s="2" t="s">
        <v>147</v>
      </c>
      <c r="AF4" s="2">
        <v>1986</v>
      </c>
      <c r="AG4" s="2" t="s">
        <v>148</v>
      </c>
      <c r="AH4" s="2" t="s">
        <v>149</v>
      </c>
      <c r="AI4" s="2" t="s">
        <v>150</v>
      </c>
      <c r="AJ4" s="2" t="s">
        <v>150</v>
      </c>
      <c r="AK4" s="2" t="s">
        <v>150</v>
      </c>
      <c r="AL4" s="2" t="s">
        <v>151</v>
      </c>
      <c r="AM4" s="2" t="s">
        <v>150</v>
      </c>
      <c r="AN4" s="2">
        <v>3</v>
      </c>
      <c r="AO4" s="2" t="s">
        <v>152</v>
      </c>
      <c r="AP4" s="2" t="s">
        <v>153</v>
      </c>
      <c r="AQ4" s="2" t="s">
        <v>154</v>
      </c>
      <c r="AR4" s="2" t="s">
        <v>155</v>
      </c>
      <c r="AS4" s="2" t="s">
        <v>156</v>
      </c>
      <c r="AT4" s="2" t="s">
        <v>157</v>
      </c>
      <c r="AU4" s="2" t="s">
        <v>158</v>
      </c>
      <c r="AV4" s="2" t="s">
        <v>159</v>
      </c>
      <c r="AW4" s="2">
        <v>2</v>
      </c>
      <c r="AX4" s="2" t="s">
        <v>160</v>
      </c>
      <c r="AY4" s="2">
        <v>2013</v>
      </c>
      <c r="AZ4" s="2" t="s">
        <v>148</v>
      </c>
      <c r="BA4" s="2" t="s">
        <v>161</v>
      </c>
      <c r="BB4" s="2" t="s">
        <v>162</v>
      </c>
      <c r="BC4" s="2" t="s">
        <v>150</v>
      </c>
      <c r="BD4" s="2" t="s">
        <v>150</v>
      </c>
      <c r="BE4" s="2" t="s">
        <v>150</v>
      </c>
      <c r="BF4" s="2" t="s">
        <v>150</v>
      </c>
      <c r="BG4" s="2" t="s">
        <v>163</v>
      </c>
      <c r="BH4" s="2" t="s">
        <v>164</v>
      </c>
      <c r="BI4" s="2" t="s">
        <v>157</v>
      </c>
      <c r="BK4" s="2" t="s">
        <v>165</v>
      </c>
      <c r="BL4" s="2" t="s">
        <v>166</v>
      </c>
      <c r="BM4" s="2" t="s">
        <v>167</v>
      </c>
      <c r="BN4" s="2">
        <v>2015</v>
      </c>
      <c r="BO4" s="2" t="s">
        <v>148</v>
      </c>
      <c r="BP4" s="2" t="s">
        <v>168</v>
      </c>
      <c r="BQ4" s="2" t="s">
        <v>150</v>
      </c>
      <c r="BR4" s="2" t="s">
        <v>169</v>
      </c>
      <c r="BS4" s="2" t="s">
        <v>150</v>
      </c>
      <c r="BT4" s="2" t="s">
        <v>150</v>
      </c>
      <c r="BU4" s="2" t="s">
        <v>150</v>
      </c>
      <c r="BV4" s="2" t="s">
        <v>170</v>
      </c>
      <c r="BW4" s="2" t="s">
        <v>171</v>
      </c>
      <c r="BX4" s="2" t="s">
        <v>172</v>
      </c>
      <c r="CA4" s="2" t="s">
        <v>173</v>
      </c>
      <c r="CP4" s="2" t="s">
        <v>123</v>
      </c>
      <c r="CZ4" s="2" t="s">
        <v>123</v>
      </c>
      <c r="DJ4" s="2" t="s">
        <v>174</v>
      </c>
      <c r="DN4" s="2" t="s">
        <v>175</v>
      </c>
      <c r="DO4" s="2" t="s">
        <v>176</v>
      </c>
      <c r="DP4" s="2" t="s">
        <v>162</v>
      </c>
      <c r="DQ4" s="2" t="s">
        <v>150</v>
      </c>
      <c r="DR4" s="2" t="s">
        <v>151</v>
      </c>
      <c r="DS4" s="2" t="s">
        <v>151</v>
      </c>
      <c r="DT4" s="2" t="s">
        <v>162</v>
      </c>
      <c r="DU4" s="2" t="s">
        <v>162</v>
      </c>
      <c r="DV4" s="2" t="s">
        <v>150</v>
      </c>
      <c r="DW4" s="2">
        <v>25</v>
      </c>
      <c r="DX4" s="2">
        <v>25</v>
      </c>
      <c r="DY4" s="2">
        <v>2</v>
      </c>
      <c r="DZ4" s="2">
        <v>5</v>
      </c>
      <c r="EA4" s="2">
        <v>8</v>
      </c>
      <c r="EB4" s="2">
        <v>25</v>
      </c>
      <c r="EC4" s="2">
        <v>10</v>
      </c>
      <c r="EE4" s="2">
        <v>20</v>
      </c>
      <c r="EF4" s="2">
        <v>20</v>
      </c>
      <c r="EG4" s="2">
        <v>1</v>
      </c>
      <c r="EH4" s="2">
        <v>4</v>
      </c>
      <c r="EI4" s="2">
        <v>25</v>
      </c>
      <c r="EJ4" s="2">
        <v>25</v>
      </c>
      <c r="EK4" s="2">
        <v>5</v>
      </c>
      <c r="EM4" s="2" t="s">
        <v>177</v>
      </c>
      <c r="EN4" s="2" t="s">
        <v>178</v>
      </c>
      <c r="EO4" s="2">
        <v>1</v>
      </c>
      <c r="EP4" s="2" t="s">
        <v>179</v>
      </c>
      <c r="EQ4" s="2" t="s">
        <v>150</v>
      </c>
      <c r="ER4" s="2" t="s">
        <v>150</v>
      </c>
      <c r="ES4" s="2" t="s">
        <v>151</v>
      </c>
      <c r="ET4" s="2" t="s">
        <v>180</v>
      </c>
      <c r="EU4" s="2" t="s">
        <v>181</v>
      </c>
      <c r="EV4" s="2" t="s">
        <v>182</v>
      </c>
      <c r="EW4" s="2" t="s">
        <v>173</v>
      </c>
      <c r="FM4" s="2" t="s">
        <v>123</v>
      </c>
      <c r="FN4" s="2" t="s">
        <v>132</v>
      </c>
      <c r="GU4" s="2" t="s">
        <v>183</v>
      </c>
      <c r="GV4" s="2" t="s">
        <v>184</v>
      </c>
      <c r="GW4" s="2" t="s">
        <v>185</v>
      </c>
      <c r="GX4" s="2" t="s">
        <v>186</v>
      </c>
      <c r="GY4" s="2">
        <v>1961</v>
      </c>
      <c r="GZ4" s="2" t="s">
        <v>141</v>
      </c>
      <c r="HB4" s="2" t="s">
        <v>187</v>
      </c>
    </row>
    <row r="5" spans="1:212" x14ac:dyDescent="0.45">
      <c r="A5" s="2" t="s">
        <v>190</v>
      </c>
      <c r="B5" s="2">
        <v>3</v>
      </c>
      <c r="C5" s="2" t="s">
        <v>188</v>
      </c>
      <c r="D5" s="2" t="s">
        <v>118</v>
      </c>
      <c r="G5" s="2"/>
      <c r="I5" s="2" t="s">
        <v>119</v>
      </c>
      <c r="J5" s="2" t="s">
        <v>189</v>
      </c>
      <c r="K5" s="2">
        <v>853</v>
      </c>
      <c r="L5" s="2">
        <v>0</v>
      </c>
      <c r="M5" s="2" t="s">
        <v>122</v>
      </c>
      <c r="N5" s="2" t="s">
        <v>123</v>
      </c>
      <c r="P5" s="2"/>
      <c r="AD5" s="2" t="s">
        <v>124</v>
      </c>
      <c r="AE5" s="2" t="s">
        <v>191</v>
      </c>
      <c r="AF5" s="2">
        <v>2017</v>
      </c>
      <c r="AG5" s="2" t="s">
        <v>126</v>
      </c>
      <c r="AH5" s="2" t="s">
        <v>192</v>
      </c>
      <c r="AI5" s="2" t="s">
        <v>150</v>
      </c>
      <c r="AJ5" s="2" t="s">
        <v>150</v>
      </c>
      <c r="AK5" s="2" t="s">
        <v>162</v>
      </c>
      <c r="AL5" s="2" t="s">
        <v>169</v>
      </c>
      <c r="AM5" s="2" t="s">
        <v>169</v>
      </c>
      <c r="AN5" s="2" t="s">
        <v>193</v>
      </c>
      <c r="AO5" s="2" t="s">
        <v>194</v>
      </c>
      <c r="AP5" s="2" t="s">
        <v>194</v>
      </c>
      <c r="AQ5" s="2" t="s">
        <v>195</v>
      </c>
      <c r="AR5" s="2" t="s">
        <v>196</v>
      </c>
      <c r="AS5" s="2" t="s">
        <v>197</v>
      </c>
      <c r="AT5" s="2" t="s">
        <v>157</v>
      </c>
      <c r="AV5" s="2" t="s">
        <v>123</v>
      </c>
      <c r="CP5" s="2" t="s">
        <v>123</v>
      </c>
      <c r="CZ5" s="2" t="s">
        <v>123</v>
      </c>
      <c r="DJ5" s="2" t="s">
        <v>123</v>
      </c>
      <c r="EM5" s="2" t="s">
        <v>123</v>
      </c>
      <c r="FM5" s="2" t="s">
        <v>123</v>
      </c>
      <c r="FN5" s="2" t="s">
        <v>132</v>
      </c>
      <c r="GU5" s="2" t="s">
        <v>198</v>
      </c>
      <c r="GV5" s="2" t="s">
        <v>199</v>
      </c>
      <c r="GW5" s="2" t="s">
        <v>200</v>
      </c>
      <c r="GX5" s="2" t="s">
        <v>186</v>
      </c>
      <c r="GY5" s="2">
        <v>1991</v>
      </c>
      <c r="GZ5" s="2" t="s">
        <v>141</v>
      </c>
      <c r="HB5" s="2" t="s">
        <v>201</v>
      </c>
    </row>
    <row r="6" spans="1:212" x14ac:dyDescent="0.45">
      <c r="A6" s="2" t="s">
        <v>204</v>
      </c>
      <c r="B6" s="2">
        <v>4</v>
      </c>
      <c r="C6" s="2" t="s">
        <v>202</v>
      </c>
      <c r="D6" s="2" t="s">
        <v>118</v>
      </c>
      <c r="G6" s="2"/>
      <c r="I6" s="2" t="s">
        <v>119</v>
      </c>
      <c r="J6" s="2" t="s">
        <v>203</v>
      </c>
      <c r="K6" s="2">
        <v>3161</v>
      </c>
      <c r="L6" s="2">
        <v>0</v>
      </c>
      <c r="M6" s="2" t="s">
        <v>122</v>
      </c>
      <c r="N6" s="2" t="s">
        <v>123</v>
      </c>
      <c r="P6" s="2"/>
      <c r="AD6" s="2" t="s">
        <v>124</v>
      </c>
      <c r="AE6" s="2" t="s">
        <v>205</v>
      </c>
      <c r="AF6" s="2" t="s">
        <v>206</v>
      </c>
      <c r="AG6" s="2" t="s">
        <v>148</v>
      </c>
      <c r="AH6" s="2" t="s">
        <v>207</v>
      </c>
      <c r="AI6" s="2" t="s">
        <v>150</v>
      </c>
      <c r="AJ6" s="2" t="s">
        <v>150</v>
      </c>
      <c r="AK6" s="2" t="s">
        <v>162</v>
      </c>
      <c r="AL6" s="2" t="s">
        <v>162</v>
      </c>
      <c r="AM6" s="2" t="s">
        <v>162</v>
      </c>
      <c r="AN6" s="2" t="s">
        <v>208</v>
      </c>
      <c r="AO6" s="2" t="s">
        <v>209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157</v>
      </c>
      <c r="AU6" s="2" t="s">
        <v>213</v>
      </c>
      <c r="AV6" s="2" t="s">
        <v>123</v>
      </c>
      <c r="CP6" s="2" t="s">
        <v>123</v>
      </c>
      <c r="CZ6" s="2" t="s">
        <v>214</v>
      </c>
      <c r="DA6" s="2" t="s">
        <v>205</v>
      </c>
      <c r="DB6" s="2" t="s">
        <v>215</v>
      </c>
      <c r="DC6" s="2" t="s">
        <v>150</v>
      </c>
      <c r="DD6" s="2" t="s">
        <v>169</v>
      </c>
      <c r="DE6" s="2" t="s">
        <v>169</v>
      </c>
      <c r="DF6" s="2" t="s">
        <v>150</v>
      </c>
      <c r="DG6" s="2" t="s">
        <v>151</v>
      </c>
      <c r="DH6" s="2" t="s">
        <v>151</v>
      </c>
      <c r="DI6" s="2" t="s">
        <v>216</v>
      </c>
      <c r="DJ6" s="2" t="s">
        <v>123</v>
      </c>
      <c r="EM6" s="2" t="s">
        <v>123</v>
      </c>
      <c r="EN6" s="2" t="s">
        <v>178</v>
      </c>
      <c r="EO6" s="2" t="s">
        <v>132</v>
      </c>
      <c r="FM6" s="2" t="s">
        <v>123</v>
      </c>
      <c r="FN6" s="2" t="s">
        <v>132</v>
      </c>
      <c r="GU6" s="2" t="s">
        <v>217</v>
      </c>
      <c r="GV6" s="2" t="s">
        <v>218</v>
      </c>
      <c r="GW6" s="2" t="s">
        <v>219</v>
      </c>
      <c r="GX6" s="2" t="s">
        <v>140</v>
      </c>
      <c r="GY6" s="2">
        <v>1961</v>
      </c>
      <c r="GZ6" s="2" t="s">
        <v>220</v>
      </c>
    </row>
    <row r="7" spans="1:212" x14ac:dyDescent="0.45">
      <c r="A7" s="2" t="s">
        <v>222</v>
      </c>
      <c r="B7" s="2">
        <v>5</v>
      </c>
      <c r="C7" s="2" t="s">
        <v>202</v>
      </c>
      <c r="D7" s="2" t="s">
        <v>118</v>
      </c>
      <c r="G7" s="2"/>
      <c r="I7" s="2" t="s">
        <v>119</v>
      </c>
      <c r="J7" s="2" t="s">
        <v>221</v>
      </c>
      <c r="K7" s="2">
        <v>1659</v>
      </c>
      <c r="L7" s="2">
        <v>0</v>
      </c>
      <c r="M7" s="2" t="s">
        <v>122</v>
      </c>
      <c r="N7" s="2" t="s">
        <v>123</v>
      </c>
      <c r="P7" s="2"/>
      <c r="AD7" s="2" t="s">
        <v>124</v>
      </c>
      <c r="AE7" s="2" t="s">
        <v>223</v>
      </c>
      <c r="AF7" s="2">
        <v>1999</v>
      </c>
      <c r="AG7" s="2" t="s">
        <v>148</v>
      </c>
      <c r="AH7" s="2" t="s">
        <v>224</v>
      </c>
      <c r="AI7" s="2" t="s">
        <v>162</v>
      </c>
      <c r="AJ7" s="2" t="s">
        <v>162</v>
      </c>
      <c r="AK7" s="2" t="s">
        <v>150</v>
      </c>
      <c r="AL7" s="2" t="s">
        <v>150</v>
      </c>
      <c r="AM7" s="2" t="s">
        <v>169</v>
      </c>
      <c r="AN7" s="2" t="s">
        <v>225</v>
      </c>
      <c r="AO7" s="2" t="s">
        <v>153</v>
      </c>
      <c r="AP7" s="2" t="s">
        <v>226</v>
      </c>
      <c r="AQ7" s="2" t="s">
        <v>227</v>
      </c>
      <c r="AR7" s="2" t="s">
        <v>228</v>
      </c>
      <c r="AS7" s="2" t="s">
        <v>229</v>
      </c>
      <c r="AT7" s="2" t="s">
        <v>230</v>
      </c>
      <c r="AV7" s="2" t="s">
        <v>159</v>
      </c>
      <c r="AW7" s="2">
        <v>3</v>
      </c>
      <c r="AX7" s="2" t="s">
        <v>191</v>
      </c>
      <c r="AY7" s="2">
        <v>2011</v>
      </c>
      <c r="AZ7" s="2" t="s">
        <v>126</v>
      </c>
      <c r="BA7" s="2" t="s">
        <v>231</v>
      </c>
      <c r="BB7" s="2" t="s">
        <v>169</v>
      </c>
      <c r="BC7" s="2" t="s">
        <v>169</v>
      </c>
      <c r="BD7" s="2" t="s">
        <v>150</v>
      </c>
      <c r="BE7" s="2" t="s">
        <v>162</v>
      </c>
      <c r="BF7" s="2" t="s">
        <v>150</v>
      </c>
      <c r="BG7" s="2">
        <v>1</v>
      </c>
      <c r="BH7" s="2" t="s">
        <v>232</v>
      </c>
      <c r="BI7" s="2" t="s">
        <v>157</v>
      </c>
      <c r="BK7" s="2" t="s">
        <v>233</v>
      </c>
      <c r="BL7" s="2" t="s">
        <v>166</v>
      </c>
      <c r="BM7" s="2" t="s">
        <v>234</v>
      </c>
      <c r="BN7" s="2">
        <v>2011</v>
      </c>
      <c r="BO7" s="2" t="s">
        <v>148</v>
      </c>
      <c r="BP7" s="2" t="s">
        <v>235</v>
      </c>
      <c r="BQ7" s="2" t="s">
        <v>151</v>
      </c>
      <c r="BR7" s="2" t="s">
        <v>128</v>
      </c>
      <c r="BS7" s="2" t="s">
        <v>236</v>
      </c>
      <c r="BT7" s="2" t="s">
        <v>128</v>
      </c>
      <c r="BU7" s="2" t="s">
        <v>162</v>
      </c>
      <c r="BV7" s="2" t="s">
        <v>237</v>
      </c>
      <c r="BX7" s="2" t="s">
        <v>172</v>
      </c>
      <c r="BZ7" s="2" t="s">
        <v>233</v>
      </c>
      <c r="CA7" s="2" t="s">
        <v>238</v>
      </c>
      <c r="CB7" s="2" t="s">
        <v>223</v>
      </c>
      <c r="CC7" s="2">
        <v>2016</v>
      </c>
      <c r="CD7" s="2" t="s">
        <v>148</v>
      </c>
      <c r="CE7" s="2" t="s">
        <v>239</v>
      </c>
      <c r="CF7" s="2" t="s">
        <v>169</v>
      </c>
      <c r="CG7" s="2" t="s">
        <v>169</v>
      </c>
      <c r="CH7" s="2" t="s">
        <v>169</v>
      </c>
      <c r="CI7" s="2" t="s">
        <v>150</v>
      </c>
      <c r="CJ7" s="2" t="s">
        <v>150</v>
      </c>
      <c r="CK7" s="2">
        <v>1</v>
      </c>
      <c r="CL7" s="2" t="s">
        <v>240</v>
      </c>
      <c r="CM7" s="2" t="s">
        <v>157</v>
      </c>
      <c r="CO7" s="2" t="s">
        <v>233</v>
      </c>
      <c r="CP7" s="2" t="s">
        <v>123</v>
      </c>
      <c r="CZ7" s="2" t="s">
        <v>214</v>
      </c>
      <c r="DA7" s="2" t="s">
        <v>234</v>
      </c>
      <c r="DB7" s="2" t="s">
        <v>241</v>
      </c>
      <c r="DC7" s="2" t="s">
        <v>162</v>
      </c>
      <c r="DD7" s="2" t="s">
        <v>169</v>
      </c>
      <c r="DE7" s="2" t="s">
        <v>169</v>
      </c>
      <c r="DF7" s="2" t="s">
        <v>151</v>
      </c>
      <c r="DG7" s="2" t="s">
        <v>151</v>
      </c>
      <c r="DH7" s="2" t="s">
        <v>151</v>
      </c>
      <c r="DI7" s="2" t="s">
        <v>242</v>
      </c>
      <c r="DJ7" s="2" t="s">
        <v>123</v>
      </c>
      <c r="EM7" s="2" t="s">
        <v>123</v>
      </c>
      <c r="FM7" s="2" t="s">
        <v>123</v>
      </c>
      <c r="FN7" s="2" t="s">
        <v>132</v>
      </c>
      <c r="GU7" s="2" t="s">
        <v>243</v>
      </c>
      <c r="GV7" s="2" t="s">
        <v>244</v>
      </c>
      <c r="GW7" s="2" t="s">
        <v>245</v>
      </c>
      <c r="GX7" s="2" t="s">
        <v>186</v>
      </c>
      <c r="GY7" s="2">
        <v>1961</v>
      </c>
      <c r="GZ7" s="2" t="s">
        <v>246</v>
      </c>
      <c r="HB7" s="2" t="s">
        <v>247</v>
      </c>
    </row>
    <row r="8" spans="1:212" x14ac:dyDescent="0.45">
      <c r="A8" s="2" t="s">
        <v>250</v>
      </c>
      <c r="B8" s="2">
        <v>6</v>
      </c>
      <c r="C8" s="2" t="s">
        <v>248</v>
      </c>
      <c r="D8" s="2" t="s">
        <v>118</v>
      </c>
      <c r="G8" s="2"/>
      <c r="I8" s="2" t="s">
        <v>119</v>
      </c>
      <c r="J8" s="2" t="s">
        <v>249</v>
      </c>
      <c r="K8" s="2">
        <v>902</v>
      </c>
      <c r="L8" s="2">
        <v>0</v>
      </c>
      <c r="M8" s="2" t="s">
        <v>122</v>
      </c>
      <c r="N8" s="2" t="s">
        <v>123</v>
      </c>
      <c r="P8" s="2"/>
      <c r="AD8" s="2" t="s">
        <v>124</v>
      </c>
      <c r="AE8" s="2" t="s">
        <v>191</v>
      </c>
      <c r="AF8" s="2">
        <v>2013</v>
      </c>
      <c r="AG8" s="2" t="s">
        <v>126</v>
      </c>
      <c r="AH8" s="2" t="s">
        <v>251</v>
      </c>
      <c r="AI8" s="2" t="s">
        <v>162</v>
      </c>
      <c r="AJ8" s="2" t="s">
        <v>162</v>
      </c>
      <c r="AK8" s="2" t="s">
        <v>151</v>
      </c>
      <c r="AL8" s="2" t="s">
        <v>132</v>
      </c>
      <c r="AM8" s="2" t="s">
        <v>132</v>
      </c>
      <c r="AN8" s="2" t="s">
        <v>252</v>
      </c>
      <c r="AO8" s="2" t="s">
        <v>132</v>
      </c>
      <c r="AP8" s="2" t="s">
        <v>132</v>
      </c>
      <c r="AQ8" s="2" t="s">
        <v>253</v>
      </c>
      <c r="AR8" s="2" t="s">
        <v>254</v>
      </c>
      <c r="AS8" s="2" t="s">
        <v>255</v>
      </c>
      <c r="AT8" s="2" t="s">
        <v>157</v>
      </c>
      <c r="AV8" s="2" t="s">
        <v>123</v>
      </c>
      <c r="CP8" s="2" t="s">
        <v>123</v>
      </c>
      <c r="CZ8" s="2" t="s">
        <v>123</v>
      </c>
      <c r="DJ8" s="2" t="s">
        <v>123</v>
      </c>
      <c r="EM8" s="2" t="s">
        <v>123</v>
      </c>
      <c r="FM8" s="2" t="s">
        <v>123</v>
      </c>
      <c r="FN8" s="2" t="s">
        <v>132</v>
      </c>
      <c r="GU8" s="2" t="s">
        <v>256</v>
      </c>
      <c r="GV8" s="2" t="s">
        <v>257</v>
      </c>
      <c r="GW8" s="2" t="s">
        <v>258</v>
      </c>
      <c r="GX8" s="2" t="s">
        <v>140</v>
      </c>
      <c r="GY8" s="2">
        <v>1988</v>
      </c>
      <c r="GZ8" s="2" t="s">
        <v>141</v>
      </c>
    </row>
    <row r="9" spans="1:212" x14ac:dyDescent="0.45">
      <c r="A9" s="2" t="s">
        <v>262</v>
      </c>
      <c r="B9" s="2">
        <v>7</v>
      </c>
      <c r="C9" s="2" t="s">
        <v>259</v>
      </c>
      <c r="D9" s="2" t="s">
        <v>118</v>
      </c>
      <c r="E9" s="2" t="s">
        <v>260</v>
      </c>
      <c r="G9" s="2"/>
      <c r="I9" s="2" t="s">
        <v>119</v>
      </c>
      <c r="J9" s="2" t="s">
        <v>261</v>
      </c>
      <c r="K9" s="2">
        <v>422</v>
      </c>
      <c r="L9" s="2">
        <v>0</v>
      </c>
      <c r="M9" s="2" t="s">
        <v>122</v>
      </c>
      <c r="N9" s="2" t="s">
        <v>123</v>
      </c>
      <c r="P9" s="2"/>
      <c r="AD9" s="2" t="s">
        <v>124</v>
      </c>
      <c r="AE9" s="2" t="s">
        <v>191</v>
      </c>
      <c r="AF9" s="2">
        <v>2013</v>
      </c>
      <c r="AG9" s="2" t="s">
        <v>126</v>
      </c>
      <c r="AH9" s="2" t="s">
        <v>263</v>
      </c>
      <c r="AI9" s="2" t="s">
        <v>169</v>
      </c>
      <c r="AJ9" s="2" t="s">
        <v>150</v>
      </c>
      <c r="AK9" s="2" t="s">
        <v>169</v>
      </c>
      <c r="AL9" s="2" t="s">
        <v>169</v>
      </c>
      <c r="AM9" s="2" t="s">
        <v>169</v>
      </c>
      <c r="AN9" s="2">
        <v>4</v>
      </c>
      <c r="AO9" s="2" t="s">
        <v>153</v>
      </c>
      <c r="AP9" s="2" t="s">
        <v>153</v>
      </c>
      <c r="AQ9" s="2" t="s">
        <v>264</v>
      </c>
      <c r="AR9" s="2" t="s">
        <v>265</v>
      </c>
      <c r="AS9" s="2" t="s">
        <v>266</v>
      </c>
      <c r="AT9" s="2" t="s">
        <v>157</v>
      </c>
      <c r="AV9" s="2" t="s">
        <v>123</v>
      </c>
      <c r="AW9" s="2" t="s">
        <v>132</v>
      </c>
      <c r="CP9" s="2" t="s">
        <v>123</v>
      </c>
      <c r="CZ9" s="2" t="s">
        <v>123</v>
      </c>
      <c r="DJ9" s="2" t="s">
        <v>123</v>
      </c>
      <c r="EM9" s="2" t="s">
        <v>123</v>
      </c>
      <c r="EN9" s="2" t="s">
        <v>180</v>
      </c>
      <c r="EO9" s="2" t="s">
        <v>132</v>
      </c>
      <c r="FM9" s="2" t="s">
        <v>123</v>
      </c>
      <c r="FN9" s="2" t="s">
        <v>132</v>
      </c>
      <c r="FP9" s="2" t="s">
        <v>132</v>
      </c>
      <c r="GU9" s="2" t="s">
        <v>267</v>
      </c>
      <c r="GV9" s="2" t="s">
        <v>267</v>
      </c>
      <c r="GW9" s="2" t="s">
        <v>267</v>
      </c>
      <c r="GX9" s="2" t="s">
        <v>186</v>
      </c>
      <c r="GY9" s="2">
        <v>1988</v>
      </c>
      <c r="GZ9" s="2" t="s">
        <v>220</v>
      </c>
      <c r="HB9" s="2" t="s">
        <v>268</v>
      </c>
      <c r="HC9" s="2" t="s">
        <v>268</v>
      </c>
    </row>
    <row r="10" spans="1:212" x14ac:dyDescent="0.45">
      <c r="A10" s="2" t="s">
        <v>271</v>
      </c>
      <c r="B10" s="2">
        <v>8</v>
      </c>
      <c r="C10" s="2" t="s">
        <v>269</v>
      </c>
      <c r="D10" s="2" t="s">
        <v>118</v>
      </c>
      <c r="G10" s="2"/>
      <c r="I10" s="2" t="s">
        <v>119</v>
      </c>
      <c r="J10" s="2" t="s">
        <v>270</v>
      </c>
      <c r="K10" s="2">
        <v>768</v>
      </c>
      <c r="L10" s="2">
        <v>0</v>
      </c>
      <c r="M10" s="2" t="s">
        <v>122</v>
      </c>
      <c r="N10" s="2" t="s">
        <v>123</v>
      </c>
      <c r="P10" s="2"/>
      <c r="AD10" s="2" t="s">
        <v>124</v>
      </c>
      <c r="AE10" s="2" t="s">
        <v>160</v>
      </c>
      <c r="AF10" s="2">
        <v>1973</v>
      </c>
      <c r="AG10" s="2" t="s">
        <v>148</v>
      </c>
      <c r="AH10" s="2" t="s">
        <v>272</v>
      </c>
      <c r="AI10" s="2" t="s">
        <v>169</v>
      </c>
      <c r="AJ10" s="2" t="s">
        <v>169</v>
      </c>
      <c r="AK10" s="2" t="s">
        <v>150</v>
      </c>
      <c r="AL10" s="2" t="s">
        <v>129</v>
      </c>
      <c r="AM10" s="2" t="s">
        <v>129</v>
      </c>
      <c r="AN10" s="2">
        <v>0</v>
      </c>
      <c r="AO10" s="2" t="s">
        <v>152</v>
      </c>
      <c r="AP10" s="2" t="s">
        <v>152</v>
      </c>
      <c r="AQ10" s="2" t="s">
        <v>273</v>
      </c>
      <c r="AR10" s="2" t="s">
        <v>274</v>
      </c>
      <c r="AS10" s="2" t="s">
        <v>275</v>
      </c>
      <c r="AT10" s="2" t="s">
        <v>172</v>
      </c>
      <c r="AV10" s="2" t="s">
        <v>159</v>
      </c>
      <c r="AW10" s="2">
        <v>3</v>
      </c>
      <c r="AX10" s="2" t="s">
        <v>160</v>
      </c>
      <c r="AY10" s="2" t="s">
        <v>276</v>
      </c>
      <c r="AZ10" s="2" t="s">
        <v>148</v>
      </c>
      <c r="BA10" s="2" t="s">
        <v>277</v>
      </c>
      <c r="BB10" s="2" t="s">
        <v>169</v>
      </c>
      <c r="BC10" s="2" t="s">
        <v>169</v>
      </c>
      <c r="BD10" s="2" t="s">
        <v>236</v>
      </c>
      <c r="BE10" s="2" t="s">
        <v>236</v>
      </c>
      <c r="BF10" s="2" t="s">
        <v>236</v>
      </c>
      <c r="BG10" s="2">
        <v>0</v>
      </c>
      <c r="BH10" s="2" t="s">
        <v>278</v>
      </c>
      <c r="BI10" s="2" t="s">
        <v>172</v>
      </c>
      <c r="BL10" s="2" t="s">
        <v>173</v>
      </c>
      <c r="CP10" s="2" t="s">
        <v>123</v>
      </c>
      <c r="CZ10" s="2" t="s">
        <v>214</v>
      </c>
      <c r="DA10" s="2" t="s">
        <v>279</v>
      </c>
      <c r="DB10" s="2" t="s">
        <v>280</v>
      </c>
      <c r="DC10" s="2" t="s">
        <v>150</v>
      </c>
      <c r="DD10" s="2" t="s">
        <v>150</v>
      </c>
      <c r="DE10" s="2" t="s">
        <v>150</v>
      </c>
      <c r="DF10" s="2" t="s">
        <v>150</v>
      </c>
      <c r="DG10" s="2" t="s">
        <v>150</v>
      </c>
      <c r="DH10" s="2" t="s">
        <v>150</v>
      </c>
      <c r="DI10" s="2" t="s">
        <v>281</v>
      </c>
      <c r="DJ10" s="2" t="s">
        <v>123</v>
      </c>
      <c r="EM10" s="2" t="s">
        <v>123</v>
      </c>
      <c r="EN10" s="2" t="s">
        <v>180</v>
      </c>
      <c r="EO10" s="2" t="s">
        <v>132</v>
      </c>
      <c r="FM10" s="2" t="s">
        <v>123</v>
      </c>
      <c r="FN10" s="2" t="s">
        <v>132</v>
      </c>
      <c r="FP10" s="2" t="s">
        <v>132</v>
      </c>
      <c r="GU10" s="2" t="s">
        <v>282</v>
      </c>
      <c r="GV10" s="2" t="s">
        <v>283</v>
      </c>
      <c r="GW10" s="2" t="s">
        <v>284</v>
      </c>
      <c r="GX10" s="2" t="s">
        <v>186</v>
      </c>
      <c r="GY10" s="2">
        <v>1950</v>
      </c>
      <c r="GZ10" s="2" t="s">
        <v>141</v>
      </c>
    </row>
    <row r="11" spans="1:212" x14ac:dyDescent="0.45">
      <c r="A11" s="2" t="s">
        <v>290</v>
      </c>
      <c r="B11" s="2">
        <v>9</v>
      </c>
      <c r="C11" s="2" t="s">
        <v>288</v>
      </c>
      <c r="D11" s="2" t="s">
        <v>118</v>
      </c>
      <c r="G11" s="2"/>
      <c r="I11" s="2" t="s">
        <v>119</v>
      </c>
      <c r="J11" s="2" t="s">
        <v>289</v>
      </c>
      <c r="K11" s="2">
        <v>4259</v>
      </c>
      <c r="L11" s="2">
        <v>0</v>
      </c>
      <c r="M11" s="2" t="s">
        <v>122</v>
      </c>
      <c r="N11" s="2" t="s">
        <v>123</v>
      </c>
      <c r="P11" s="2"/>
      <c r="AD11" s="2" t="s">
        <v>124</v>
      </c>
      <c r="AE11" s="2" t="s">
        <v>191</v>
      </c>
      <c r="AF11" s="2">
        <v>2013</v>
      </c>
      <c r="AG11" s="2" t="s">
        <v>126</v>
      </c>
      <c r="AH11" s="2" t="s">
        <v>291</v>
      </c>
      <c r="AI11" s="2" t="s">
        <v>150</v>
      </c>
      <c r="AJ11" s="2" t="s">
        <v>150</v>
      </c>
      <c r="AK11" s="2" t="s">
        <v>169</v>
      </c>
      <c r="AL11" s="2" t="s">
        <v>151</v>
      </c>
      <c r="AM11" s="2" t="s">
        <v>162</v>
      </c>
      <c r="AN11" s="2">
        <v>1</v>
      </c>
      <c r="AO11" s="2" t="s">
        <v>131</v>
      </c>
      <c r="AP11" s="2" t="s">
        <v>153</v>
      </c>
      <c r="AQ11" s="2" t="s">
        <v>292</v>
      </c>
      <c r="AR11" s="2" t="s">
        <v>293</v>
      </c>
      <c r="AS11" s="2" t="s">
        <v>294</v>
      </c>
      <c r="AT11" s="2" t="s">
        <v>157</v>
      </c>
      <c r="AV11" s="2" t="s">
        <v>123</v>
      </c>
      <c r="AW11" s="2" t="s">
        <v>132</v>
      </c>
      <c r="CP11" s="2" t="s">
        <v>123</v>
      </c>
      <c r="CZ11" s="2" t="s">
        <v>123</v>
      </c>
      <c r="DJ11" s="2" t="s">
        <v>123</v>
      </c>
      <c r="EM11" s="2" t="s">
        <v>123</v>
      </c>
      <c r="FM11" s="2" t="s">
        <v>123</v>
      </c>
      <c r="FN11" s="2" t="s">
        <v>132</v>
      </c>
      <c r="FP11" s="2" t="s">
        <v>132</v>
      </c>
      <c r="GU11" s="2" t="s">
        <v>295</v>
      </c>
      <c r="GV11" s="2" t="s">
        <v>296</v>
      </c>
      <c r="GW11" s="2" t="s">
        <v>297</v>
      </c>
      <c r="GX11" s="2" t="s">
        <v>186</v>
      </c>
      <c r="GY11" s="2">
        <v>1988</v>
      </c>
      <c r="GZ11" s="2" t="s">
        <v>141</v>
      </c>
    </row>
    <row r="12" spans="1:212" x14ac:dyDescent="0.45">
      <c r="A12" s="2" t="s">
        <v>300</v>
      </c>
      <c r="B12" s="2">
        <v>10</v>
      </c>
      <c r="C12" s="2" t="s">
        <v>298</v>
      </c>
      <c r="D12" s="2" t="s">
        <v>118</v>
      </c>
      <c r="G12" s="2"/>
      <c r="I12" s="2" t="s">
        <v>119</v>
      </c>
      <c r="J12" s="2" t="s">
        <v>299</v>
      </c>
      <c r="K12" s="2">
        <v>1404</v>
      </c>
      <c r="L12" s="2">
        <v>0</v>
      </c>
      <c r="M12" s="2" t="s">
        <v>122</v>
      </c>
      <c r="N12" s="2" t="s">
        <v>123</v>
      </c>
      <c r="P12" s="2"/>
      <c r="AD12" s="2" t="s">
        <v>124</v>
      </c>
      <c r="AE12" s="2" t="s">
        <v>191</v>
      </c>
      <c r="AF12" s="2">
        <v>1986</v>
      </c>
      <c r="AG12" s="2" t="s">
        <v>126</v>
      </c>
      <c r="AH12" s="2" t="s">
        <v>301</v>
      </c>
      <c r="AI12" s="2" t="s">
        <v>150</v>
      </c>
      <c r="AJ12" s="2" t="s">
        <v>150</v>
      </c>
      <c r="AK12" s="2" t="s">
        <v>162</v>
      </c>
      <c r="AL12" s="2" t="s">
        <v>151</v>
      </c>
      <c r="AM12" s="2" t="s">
        <v>151</v>
      </c>
      <c r="AN12" s="2">
        <v>2</v>
      </c>
      <c r="AO12" s="2" t="s">
        <v>302</v>
      </c>
      <c r="AP12" s="2" t="s">
        <v>153</v>
      </c>
      <c r="AQ12" s="2" t="s">
        <v>303</v>
      </c>
      <c r="AR12" s="2" t="s">
        <v>304</v>
      </c>
      <c r="AS12" s="2" t="s">
        <v>305</v>
      </c>
      <c r="AT12" s="2" t="s">
        <v>157</v>
      </c>
      <c r="AV12" s="2" t="s">
        <v>159</v>
      </c>
      <c r="AW12" s="2">
        <v>1</v>
      </c>
      <c r="AX12" s="2" t="s">
        <v>223</v>
      </c>
      <c r="AY12" s="2">
        <v>2011</v>
      </c>
      <c r="AZ12" s="2" t="s">
        <v>148</v>
      </c>
      <c r="BA12" s="2" t="s">
        <v>127</v>
      </c>
      <c r="BB12" s="2" t="s">
        <v>150</v>
      </c>
      <c r="BC12" s="2" t="s">
        <v>150</v>
      </c>
      <c r="BD12" s="2" t="s">
        <v>169</v>
      </c>
      <c r="BE12" s="2" t="s">
        <v>169</v>
      </c>
      <c r="BF12" s="2" t="s">
        <v>169</v>
      </c>
      <c r="BG12" s="2">
        <v>1</v>
      </c>
      <c r="BH12" s="2" t="s">
        <v>306</v>
      </c>
      <c r="BI12" s="2" t="s">
        <v>157</v>
      </c>
      <c r="BK12" s="2" t="s">
        <v>307</v>
      </c>
      <c r="BL12" s="2" t="s">
        <v>173</v>
      </c>
      <c r="CP12" s="2" t="s">
        <v>123</v>
      </c>
      <c r="CZ12" s="2" t="s">
        <v>214</v>
      </c>
      <c r="DA12" s="2" t="s">
        <v>191</v>
      </c>
      <c r="DB12" s="2" t="s">
        <v>308</v>
      </c>
      <c r="DC12" s="2" t="s">
        <v>150</v>
      </c>
      <c r="DD12" s="2" t="s">
        <v>150</v>
      </c>
      <c r="DE12" s="2" t="s">
        <v>162</v>
      </c>
      <c r="DF12" s="2" t="s">
        <v>150</v>
      </c>
      <c r="DG12" s="2" t="s">
        <v>150</v>
      </c>
      <c r="DH12" s="2" t="s">
        <v>150</v>
      </c>
      <c r="DI12" s="2" t="s">
        <v>309</v>
      </c>
      <c r="DJ12" s="2" t="s">
        <v>123</v>
      </c>
      <c r="EM12" s="2" t="s">
        <v>123</v>
      </c>
      <c r="EN12" s="2" t="s">
        <v>180</v>
      </c>
      <c r="EO12" s="2" t="s">
        <v>132</v>
      </c>
      <c r="FM12" s="2" t="s">
        <v>123</v>
      </c>
      <c r="FN12" s="2" t="s">
        <v>132</v>
      </c>
      <c r="FP12" s="2" t="s">
        <v>132</v>
      </c>
      <c r="GU12" s="2" t="s">
        <v>310</v>
      </c>
      <c r="GV12" s="2" t="s">
        <v>311</v>
      </c>
      <c r="GW12" s="2" t="s">
        <v>312</v>
      </c>
      <c r="GX12" s="2" t="s">
        <v>186</v>
      </c>
      <c r="GY12" s="2">
        <v>1963</v>
      </c>
      <c r="GZ12" s="2" t="s">
        <v>141</v>
      </c>
      <c r="HA12" s="2" t="s">
        <v>313</v>
      </c>
      <c r="HB12" s="2" t="s">
        <v>314</v>
      </c>
      <c r="HC12" s="2" t="s">
        <v>315</v>
      </c>
    </row>
    <row r="13" spans="1:212" x14ac:dyDescent="0.45">
      <c r="A13" s="2" t="s">
        <v>318</v>
      </c>
      <c r="B13" s="2">
        <v>11</v>
      </c>
      <c r="C13" s="2" t="s">
        <v>316</v>
      </c>
      <c r="D13" s="2" t="s">
        <v>118</v>
      </c>
      <c r="G13" s="2"/>
      <c r="I13" s="2" t="s">
        <v>119</v>
      </c>
      <c r="J13" s="2" t="s">
        <v>317</v>
      </c>
      <c r="K13" s="2">
        <v>349</v>
      </c>
      <c r="L13" s="2">
        <v>0</v>
      </c>
      <c r="M13" s="2" t="s">
        <v>122</v>
      </c>
      <c r="N13" s="2" t="s">
        <v>123</v>
      </c>
      <c r="P13" s="2"/>
      <c r="AD13" s="2" t="s">
        <v>124</v>
      </c>
      <c r="AE13" s="2" t="s">
        <v>191</v>
      </c>
      <c r="AF13" s="2">
        <v>2010</v>
      </c>
      <c r="AG13" s="2" t="s">
        <v>126</v>
      </c>
      <c r="AH13" s="2" t="s">
        <v>319</v>
      </c>
      <c r="AI13" s="2" t="s">
        <v>236</v>
      </c>
      <c r="AJ13" s="2" t="s">
        <v>128</v>
      </c>
      <c r="AK13" s="2" t="s">
        <v>162</v>
      </c>
      <c r="AL13" s="2" t="s">
        <v>162</v>
      </c>
      <c r="AM13" s="2" t="s">
        <v>162</v>
      </c>
      <c r="AN13" s="2">
        <v>6</v>
      </c>
      <c r="AO13" s="2" t="s">
        <v>131</v>
      </c>
      <c r="AP13" s="2" t="s">
        <v>302</v>
      </c>
      <c r="AQ13" s="2" t="s">
        <v>320</v>
      </c>
      <c r="AR13" s="2" t="s">
        <v>321</v>
      </c>
      <c r="AS13" s="2" t="s">
        <v>322</v>
      </c>
      <c r="AT13" s="2" t="s">
        <v>157</v>
      </c>
      <c r="AV13" s="2" t="s">
        <v>123</v>
      </c>
      <c r="AW13" s="2" t="s">
        <v>132</v>
      </c>
      <c r="CP13" s="2" t="s">
        <v>123</v>
      </c>
      <c r="CZ13" s="2" t="s">
        <v>123</v>
      </c>
      <c r="DJ13" s="2" t="s">
        <v>123</v>
      </c>
      <c r="EM13" s="2" t="s">
        <v>123</v>
      </c>
      <c r="EN13" s="2" t="s">
        <v>180</v>
      </c>
      <c r="EO13" s="2" t="s">
        <v>132</v>
      </c>
      <c r="FM13" s="2" t="s">
        <v>123</v>
      </c>
      <c r="FN13" s="2" t="s">
        <v>132</v>
      </c>
      <c r="FP13" s="2" t="s">
        <v>132</v>
      </c>
      <c r="GU13" s="2" t="s">
        <v>323</v>
      </c>
      <c r="GV13" s="2" t="s">
        <v>324</v>
      </c>
      <c r="GW13" s="2" t="s">
        <v>325</v>
      </c>
      <c r="GX13" s="2" t="s">
        <v>186</v>
      </c>
      <c r="GY13" s="2">
        <v>1985</v>
      </c>
      <c r="GZ13" s="2" t="s">
        <v>141</v>
      </c>
    </row>
    <row r="14" spans="1:212" x14ac:dyDescent="0.45">
      <c r="A14" s="2" t="s">
        <v>328</v>
      </c>
      <c r="B14" s="2">
        <v>12</v>
      </c>
      <c r="C14" s="2" t="s">
        <v>326</v>
      </c>
      <c r="D14" s="2" t="s">
        <v>118</v>
      </c>
      <c r="G14" s="2"/>
      <c r="I14" s="2" t="s">
        <v>119</v>
      </c>
      <c r="J14" s="2" t="s">
        <v>327</v>
      </c>
      <c r="K14" s="2">
        <v>1387173</v>
      </c>
      <c r="L14" s="2">
        <v>0</v>
      </c>
      <c r="M14" s="2" t="s">
        <v>122</v>
      </c>
      <c r="N14" s="2" t="s">
        <v>123</v>
      </c>
      <c r="P14" s="2"/>
      <c r="AD14" s="2" t="s">
        <v>124</v>
      </c>
      <c r="AE14" s="2" t="s">
        <v>329</v>
      </c>
      <c r="AF14" s="2">
        <v>2011</v>
      </c>
      <c r="AG14" s="2" t="s">
        <v>126</v>
      </c>
      <c r="AH14" s="2" t="s">
        <v>330</v>
      </c>
      <c r="AI14" s="2" t="s">
        <v>169</v>
      </c>
      <c r="AJ14" s="2" t="s">
        <v>169</v>
      </c>
      <c r="AK14" s="2" t="s">
        <v>150</v>
      </c>
      <c r="AL14" s="2" t="s">
        <v>162</v>
      </c>
      <c r="AM14" s="2" t="s">
        <v>169</v>
      </c>
      <c r="AN14" s="2" t="s">
        <v>331</v>
      </c>
      <c r="AO14" s="2" t="s">
        <v>302</v>
      </c>
      <c r="AP14" s="2" t="s">
        <v>226</v>
      </c>
      <c r="AQ14" s="2" t="s">
        <v>332</v>
      </c>
      <c r="AR14" s="2" t="s">
        <v>333</v>
      </c>
      <c r="AS14" s="2" t="s">
        <v>334</v>
      </c>
      <c r="AT14" s="2" t="s">
        <v>157</v>
      </c>
      <c r="AU14" s="2" t="s">
        <v>335</v>
      </c>
      <c r="AV14" s="2" t="s">
        <v>123</v>
      </c>
      <c r="CP14" s="2" t="s">
        <v>123</v>
      </c>
      <c r="CZ14" s="2" t="s">
        <v>123</v>
      </c>
      <c r="DJ14" s="2" t="s">
        <v>123</v>
      </c>
      <c r="EM14" s="2" t="s">
        <v>123</v>
      </c>
      <c r="FM14" s="2" t="s">
        <v>123</v>
      </c>
      <c r="FN14" s="2" t="s">
        <v>132</v>
      </c>
      <c r="GU14" s="2" t="s">
        <v>336</v>
      </c>
      <c r="GV14" s="2" t="s">
        <v>337</v>
      </c>
      <c r="GW14" s="2" t="s">
        <v>338</v>
      </c>
      <c r="GX14" s="2" t="s">
        <v>186</v>
      </c>
      <c r="GY14" s="2">
        <v>1987</v>
      </c>
      <c r="GZ14" s="2" t="s">
        <v>246</v>
      </c>
      <c r="HB14" s="2" t="s">
        <v>339</v>
      </c>
      <c r="HC14" s="2" t="s">
        <v>340</v>
      </c>
    </row>
    <row r="15" spans="1:212" x14ac:dyDescent="0.45">
      <c r="A15" s="2" t="s">
        <v>343</v>
      </c>
      <c r="B15" s="2">
        <v>13</v>
      </c>
      <c r="C15" s="2" t="s">
        <v>341</v>
      </c>
      <c r="D15" s="2" t="s">
        <v>118</v>
      </c>
      <c r="G15" s="2"/>
      <c r="I15" s="2" t="s">
        <v>119</v>
      </c>
      <c r="J15" s="2" t="s">
        <v>342</v>
      </c>
      <c r="K15" s="2">
        <v>11</v>
      </c>
      <c r="L15" s="2">
        <v>0</v>
      </c>
      <c r="M15" s="2" t="s">
        <v>344</v>
      </c>
      <c r="N15" s="2"/>
      <c r="P15" s="2"/>
    </row>
    <row r="16" spans="1:212" x14ac:dyDescent="0.45">
      <c r="A16" s="2" t="s">
        <v>346</v>
      </c>
      <c r="B16" s="2">
        <v>14</v>
      </c>
      <c r="C16" s="2" t="s">
        <v>341</v>
      </c>
      <c r="D16" s="2" t="s">
        <v>118</v>
      </c>
      <c r="G16" s="2"/>
      <c r="I16" s="2" t="s">
        <v>119</v>
      </c>
      <c r="J16" s="2" t="s">
        <v>345</v>
      </c>
      <c r="K16" s="2">
        <v>7</v>
      </c>
      <c r="L16" s="2">
        <v>0</v>
      </c>
      <c r="M16" s="2" t="s">
        <v>344</v>
      </c>
      <c r="N16" s="2"/>
      <c r="P16" s="2"/>
    </row>
    <row r="17" spans="1:211" x14ac:dyDescent="0.45">
      <c r="A17" s="2" t="s">
        <v>349</v>
      </c>
      <c r="B17" s="2">
        <v>15</v>
      </c>
      <c r="C17" s="2" t="s">
        <v>347</v>
      </c>
      <c r="D17" s="2" t="s">
        <v>118</v>
      </c>
      <c r="G17" s="2"/>
      <c r="I17" s="2" t="s">
        <v>119</v>
      </c>
      <c r="J17" s="2" t="s">
        <v>348</v>
      </c>
      <c r="K17" s="2">
        <v>781</v>
      </c>
      <c r="L17" s="2">
        <v>0</v>
      </c>
      <c r="M17" s="2" t="s">
        <v>122</v>
      </c>
      <c r="N17" s="2" t="s">
        <v>123</v>
      </c>
      <c r="P17" s="2"/>
      <c r="AD17" s="2" t="s">
        <v>124</v>
      </c>
      <c r="AE17" s="2" t="s">
        <v>191</v>
      </c>
      <c r="AF17" s="2">
        <v>2010</v>
      </c>
      <c r="AG17" s="2" t="s">
        <v>126</v>
      </c>
      <c r="AH17" s="2" t="s">
        <v>127</v>
      </c>
      <c r="AI17" s="2" t="s">
        <v>150</v>
      </c>
      <c r="AJ17" s="2" t="s">
        <v>128</v>
      </c>
      <c r="AK17" s="2" t="s">
        <v>151</v>
      </c>
      <c r="AL17" s="2" t="s">
        <v>162</v>
      </c>
      <c r="AM17" s="2" t="s">
        <v>162</v>
      </c>
      <c r="AN17" s="2" t="s">
        <v>350</v>
      </c>
      <c r="AO17" s="2" t="s">
        <v>302</v>
      </c>
      <c r="AP17" s="2" t="s">
        <v>302</v>
      </c>
      <c r="AQ17" s="2" t="s">
        <v>351</v>
      </c>
      <c r="AR17" s="2" t="s">
        <v>352</v>
      </c>
      <c r="AS17" s="2" t="s">
        <v>353</v>
      </c>
      <c r="AT17" s="2" t="s">
        <v>157</v>
      </c>
      <c r="AV17" s="2" t="s">
        <v>123</v>
      </c>
      <c r="AW17" s="2" t="s">
        <v>132</v>
      </c>
      <c r="CP17" s="2" t="s">
        <v>123</v>
      </c>
      <c r="CZ17" s="2" t="s">
        <v>123</v>
      </c>
      <c r="DJ17" s="2" t="s">
        <v>123</v>
      </c>
      <c r="EM17" s="2" t="s">
        <v>123</v>
      </c>
      <c r="EO17" s="2" t="s">
        <v>132</v>
      </c>
      <c r="FM17" s="2" t="s">
        <v>123</v>
      </c>
      <c r="FN17" s="2" t="s">
        <v>132</v>
      </c>
      <c r="GU17" s="2" t="s">
        <v>354</v>
      </c>
      <c r="GV17" s="2" t="s">
        <v>355</v>
      </c>
      <c r="GW17" s="2" t="s">
        <v>356</v>
      </c>
      <c r="GX17" s="2" t="s">
        <v>140</v>
      </c>
      <c r="GY17" s="2">
        <v>1986</v>
      </c>
      <c r="GZ17" s="2" t="s">
        <v>141</v>
      </c>
      <c r="HB17" s="2" t="s">
        <v>357</v>
      </c>
    </row>
    <row r="18" spans="1:211" x14ac:dyDescent="0.45">
      <c r="A18" s="2" t="s">
        <v>361</v>
      </c>
      <c r="B18" s="2">
        <v>16</v>
      </c>
      <c r="C18" s="2" t="s">
        <v>358</v>
      </c>
      <c r="D18" s="2" t="s">
        <v>118</v>
      </c>
      <c r="E18" s="2" t="s">
        <v>359</v>
      </c>
      <c r="G18" s="2"/>
      <c r="I18" s="2" t="s">
        <v>119</v>
      </c>
      <c r="J18" s="2" t="s">
        <v>360</v>
      </c>
      <c r="K18" s="2">
        <v>1534</v>
      </c>
      <c r="L18" s="2">
        <v>0</v>
      </c>
      <c r="M18" s="2" t="s">
        <v>122</v>
      </c>
      <c r="N18" s="2" t="s">
        <v>123</v>
      </c>
      <c r="P18" s="2"/>
      <c r="AD18" s="2" t="s">
        <v>124</v>
      </c>
      <c r="AE18" s="2" t="s">
        <v>223</v>
      </c>
      <c r="AF18" s="2">
        <v>2011</v>
      </c>
      <c r="AG18" s="2" t="s">
        <v>148</v>
      </c>
      <c r="AH18" s="2" t="s">
        <v>362</v>
      </c>
      <c r="AI18" s="2" t="s">
        <v>151</v>
      </c>
      <c r="AJ18" s="2" t="s">
        <v>236</v>
      </c>
      <c r="AK18" s="2" t="s">
        <v>129</v>
      </c>
      <c r="AL18" s="2" t="s">
        <v>129</v>
      </c>
      <c r="AM18" s="2" t="s">
        <v>129</v>
      </c>
      <c r="AN18" s="2">
        <v>4</v>
      </c>
      <c r="AO18" s="2" t="s">
        <v>131</v>
      </c>
      <c r="AP18" s="2" t="s">
        <v>131</v>
      </c>
      <c r="AQ18" s="2" t="s">
        <v>363</v>
      </c>
      <c r="AR18" s="2" t="s">
        <v>364</v>
      </c>
      <c r="AS18" s="2" t="s">
        <v>365</v>
      </c>
      <c r="AT18" s="2" t="s">
        <v>157</v>
      </c>
      <c r="AV18" s="2" t="s">
        <v>123</v>
      </c>
      <c r="CP18" s="2" t="s">
        <v>123</v>
      </c>
      <c r="CZ18" s="2" t="s">
        <v>123</v>
      </c>
      <c r="DJ18" s="2" t="s">
        <v>123</v>
      </c>
      <c r="EM18" s="2" t="s">
        <v>123</v>
      </c>
      <c r="FM18" s="2" t="s">
        <v>123</v>
      </c>
      <c r="FN18" s="2" t="s">
        <v>132</v>
      </c>
      <c r="GU18" s="2" t="s">
        <v>366</v>
      </c>
      <c r="GV18" s="2" t="s">
        <v>367</v>
      </c>
      <c r="GW18" s="2" t="s">
        <v>368</v>
      </c>
      <c r="GX18" s="2" t="s">
        <v>140</v>
      </c>
      <c r="GY18" s="2">
        <v>1987</v>
      </c>
      <c r="GZ18" s="2" t="s">
        <v>141</v>
      </c>
      <c r="HB18" s="2" t="s">
        <v>369</v>
      </c>
    </row>
    <row r="19" spans="1:211" x14ac:dyDescent="0.45">
      <c r="A19" s="2" t="s">
        <v>377</v>
      </c>
      <c r="B19" s="2">
        <v>17</v>
      </c>
      <c r="C19" s="2" t="s">
        <v>374</v>
      </c>
      <c r="D19" s="2" t="s">
        <v>118</v>
      </c>
      <c r="E19" s="2" t="s">
        <v>375</v>
      </c>
      <c r="G19" s="2"/>
      <c r="I19" s="2" t="s">
        <v>119</v>
      </c>
      <c r="J19" s="2" t="s">
        <v>376</v>
      </c>
      <c r="K19" s="2">
        <v>14</v>
      </c>
      <c r="L19" s="2">
        <v>0</v>
      </c>
      <c r="M19" s="2" t="s">
        <v>344</v>
      </c>
      <c r="N19" s="2"/>
      <c r="P19" s="2"/>
    </row>
    <row r="20" spans="1:211" x14ac:dyDescent="0.45">
      <c r="A20" s="2" t="s">
        <v>380</v>
      </c>
      <c r="B20" s="2">
        <v>18</v>
      </c>
      <c r="C20" s="2" t="s">
        <v>378</v>
      </c>
      <c r="D20" s="2" t="s">
        <v>118</v>
      </c>
      <c r="G20" s="2"/>
      <c r="I20" s="2" t="s">
        <v>119</v>
      </c>
      <c r="J20" s="2" t="s">
        <v>379</v>
      </c>
      <c r="K20" s="2">
        <v>5438</v>
      </c>
      <c r="L20" s="2">
        <v>0</v>
      </c>
      <c r="M20" s="2" t="s">
        <v>122</v>
      </c>
      <c r="N20" s="2" t="s">
        <v>123</v>
      </c>
      <c r="P20" s="2"/>
      <c r="AD20" s="2" t="s">
        <v>124</v>
      </c>
      <c r="AE20" s="2" t="s">
        <v>381</v>
      </c>
      <c r="AF20" s="2">
        <v>1985</v>
      </c>
      <c r="AG20" s="2" t="s">
        <v>148</v>
      </c>
      <c r="AH20" s="2" t="s">
        <v>382</v>
      </c>
      <c r="AI20" s="2" t="s">
        <v>169</v>
      </c>
      <c r="AJ20" s="2" t="s">
        <v>169</v>
      </c>
      <c r="AK20" s="2" t="s">
        <v>128</v>
      </c>
      <c r="AL20" s="2" t="s">
        <v>236</v>
      </c>
      <c r="AM20" s="2" t="s">
        <v>236</v>
      </c>
      <c r="AN20" s="2" t="s">
        <v>383</v>
      </c>
      <c r="AO20" s="2" t="s">
        <v>152</v>
      </c>
      <c r="AP20" s="2" t="s">
        <v>152</v>
      </c>
      <c r="AQ20" s="2" t="s">
        <v>384</v>
      </c>
      <c r="AR20" s="2" t="s">
        <v>385</v>
      </c>
      <c r="AS20" s="2" t="s">
        <v>386</v>
      </c>
      <c r="AT20" s="2" t="s">
        <v>172</v>
      </c>
      <c r="AV20" s="2" t="s">
        <v>123</v>
      </c>
      <c r="AW20" s="2" t="s">
        <v>132</v>
      </c>
      <c r="CP20" s="2" t="s">
        <v>387</v>
      </c>
      <c r="CQ20" s="2" t="s">
        <v>388</v>
      </c>
      <c r="CR20" s="2" t="s">
        <v>389</v>
      </c>
      <c r="CS20" s="2" t="s">
        <v>169</v>
      </c>
      <c r="CT20" s="2" t="s">
        <v>169</v>
      </c>
      <c r="CU20" s="2" t="s">
        <v>169</v>
      </c>
      <c r="CV20" s="2" t="s">
        <v>169</v>
      </c>
      <c r="CW20" s="2" t="s">
        <v>169</v>
      </c>
      <c r="CX20" s="2" t="s">
        <v>169</v>
      </c>
      <c r="CY20" s="2" t="s">
        <v>390</v>
      </c>
      <c r="CZ20" s="2" t="s">
        <v>214</v>
      </c>
      <c r="DA20" s="2" t="s">
        <v>391</v>
      </c>
      <c r="DB20" s="2" t="s">
        <v>392</v>
      </c>
      <c r="DC20" s="2" t="s">
        <v>169</v>
      </c>
      <c r="DD20" s="2" t="s">
        <v>169</v>
      </c>
      <c r="DE20" s="2" t="s">
        <v>169</v>
      </c>
      <c r="DF20" s="2" t="s">
        <v>169</v>
      </c>
      <c r="DG20" s="2" t="s">
        <v>169</v>
      </c>
      <c r="DH20" s="2" t="s">
        <v>169</v>
      </c>
      <c r="DI20" s="2" t="s">
        <v>393</v>
      </c>
      <c r="DJ20" s="2" t="s">
        <v>174</v>
      </c>
      <c r="DK20" s="2" t="s">
        <v>394</v>
      </c>
      <c r="DO20" s="2" t="s">
        <v>391</v>
      </c>
      <c r="DP20" s="2" t="s">
        <v>169</v>
      </c>
      <c r="DQ20" s="2" t="s">
        <v>169</v>
      </c>
      <c r="DR20" s="2" t="s">
        <v>169</v>
      </c>
      <c r="DS20" s="2" t="s">
        <v>169</v>
      </c>
      <c r="DT20" s="2" t="s">
        <v>169</v>
      </c>
      <c r="DU20" s="2" t="s">
        <v>169</v>
      </c>
      <c r="DV20" s="2" t="s">
        <v>169</v>
      </c>
      <c r="DW20" s="2">
        <v>20</v>
      </c>
      <c r="DX20" s="2">
        <v>20</v>
      </c>
      <c r="DY20" s="2">
        <v>0</v>
      </c>
      <c r="DZ20" s="2">
        <v>15</v>
      </c>
      <c r="EA20" s="2">
        <v>30</v>
      </c>
      <c r="EB20" s="2">
        <v>0</v>
      </c>
      <c r="EC20" s="2">
        <v>15</v>
      </c>
      <c r="EE20" s="2">
        <v>30</v>
      </c>
      <c r="EF20" s="2">
        <v>20</v>
      </c>
      <c r="EG20" s="2">
        <v>0</v>
      </c>
      <c r="EH20" s="2">
        <v>10</v>
      </c>
      <c r="EI20" s="2">
        <v>25</v>
      </c>
      <c r="EJ20" s="2">
        <v>0</v>
      </c>
      <c r="EK20" s="2">
        <v>15</v>
      </c>
      <c r="EM20" s="2" t="s">
        <v>123</v>
      </c>
      <c r="EN20" s="2" t="s">
        <v>178</v>
      </c>
      <c r="EO20" s="2" t="s">
        <v>132</v>
      </c>
      <c r="FM20" s="2" t="s">
        <v>123</v>
      </c>
      <c r="FN20" s="2" t="s">
        <v>132</v>
      </c>
      <c r="FP20" s="2" t="s">
        <v>132</v>
      </c>
      <c r="GU20" s="2" t="s">
        <v>395</v>
      </c>
      <c r="GV20" s="2" t="s">
        <v>396</v>
      </c>
      <c r="GW20" s="2" t="s">
        <v>397</v>
      </c>
      <c r="GX20" s="2" t="s">
        <v>186</v>
      </c>
      <c r="GY20" s="2">
        <v>1960</v>
      </c>
      <c r="GZ20" s="2" t="s">
        <v>398</v>
      </c>
    </row>
    <row r="21" spans="1:211" x14ac:dyDescent="0.45">
      <c r="A21" s="2" t="s">
        <v>402</v>
      </c>
      <c r="B21" s="2">
        <v>19</v>
      </c>
      <c r="C21" s="2" t="s">
        <v>399</v>
      </c>
      <c r="D21" s="2" t="s">
        <v>118</v>
      </c>
      <c r="E21" s="2" t="s">
        <v>400</v>
      </c>
      <c r="G21" s="2"/>
      <c r="I21" s="2" t="s">
        <v>119</v>
      </c>
      <c r="J21" s="2" t="s">
        <v>401</v>
      </c>
      <c r="K21" s="2">
        <v>1075</v>
      </c>
      <c r="L21" s="2">
        <v>0</v>
      </c>
      <c r="M21" s="2" t="s">
        <v>122</v>
      </c>
      <c r="N21" s="2" t="s">
        <v>123</v>
      </c>
      <c r="P21" s="2"/>
      <c r="AD21" s="2" t="s">
        <v>124</v>
      </c>
      <c r="AE21" s="2" t="s">
        <v>403</v>
      </c>
      <c r="AF21" s="2">
        <v>2010</v>
      </c>
      <c r="AG21" s="2" t="s">
        <v>148</v>
      </c>
      <c r="AH21" s="2" t="s">
        <v>404</v>
      </c>
      <c r="AI21" s="2" t="s">
        <v>151</v>
      </c>
      <c r="AJ21" s="2" t="s">
        <v>150</v>
      </c>
      <c r="AK21" s="2" t="s">
        <v>162</v>
      </c>
      <c r="AL21" s="2" t="s">
        <v>150</v>
      </c>
      <c r="AM21" s="2" t="s">
        <v>150</v>
      </c>
      <c r="AN21" s="2" t="s">
        <v>405</v>
      </c>
      <c r="AO21" s="2" t="s">
        <v>131</v>
      </c>
      <c r="AP21" s="2" t="s">
        <v>302</v>
      </c>
      <c r="AQ21" s="2" t="s">
        <v>406</v>
      </c>
      <c r="AR21" s="2" t="s">
        <v>407</v>
      </c>
      <c r="AS21" s="2" t="s">
        <v>408</v>
      </c>
      <c r="AT21" s="2" t="s">
        <v>230</v>
      </c>
      <c r="AV21" s="2" t="s">
        <v>123</v>
      </c>
      <c r="AW21" s="2" t="s">
        <v>132</v>
      </c>
      <c r="CP21" s="2" t="s">
        <v>123</v>
      </c>
      <c r="CZ21" s="2" t="s">
        <v>123</v>
      </c>
      <c r="DJ21" s="2" t="s">
        <v>123</v>
      </c>
      <c r="EM21" s="2" t="s">
        <v>123</v>
      </c>
      <c r="EN21" s="2" t="s">
        <v>180</v>
      </c>
      <c r="EO21" s="2" t="s">
        <v>132</v>
      </c>
      <c r="FM21" s="2" t="s">
        <v>123</v>
      </c>
      <c r="FN21" s="2" t="s">
        <v>132</v>
      </c>
      <c r="FP21" s="2" t="s">
        <v>132</v>
      </c>
      <c r="GU21" s="2" t="s">
        <v>409</v>
      </c>
      <c r="GV21" s="2" t="s">
        <v>410</v>
      </c>
      <c r="GW21" s="2" t="s">
        <v>411</v>
      </c>
      <c r="GX21" s="2" t="s">
        <v>140</v>
      </c>
      <c r="GY21" s="2">
        <v>1985</v>
      </c>
      <c r="GZ21" s="2" t="s">
        <v>398</v>
      </c>
      <c r="HB21" s="2" t="s">
        <v>412</v>
      </c>
    </row>
    <row r="22" spans="1:211" x14ac:dyDescent="0.45">
      <c r="A22" s="2" t="s">
        <v>427</v>
      </c>
      <c r="B22" s="2">
        <v>20</v>
      </c>
      <c r="C22" s="2" t="s">
        <v>425</v>
      </c>
      <c r="D22" s="2" t="s">
        <v>118</v>
      </c>
      <c r="G22" s="2"/>
      <c r="I22" s="2" t="s">
        <v>119</v>
      </c>
      <c r="J22" s="2" t="s">
        <v>426</v>
      </c>
      <c r="K22" s="2">
        <v>1039</v>
      </c>
      <c r="L22" s="2">
        <v>0</v>
      </c>
      <c r="M22" s="2" t="s">
        <v>122</v>
      </c>
      <c r="N22" s="2" t="s">
        <v>123</v>
      </c>
      <c r="P22" s="2"/>
      <c r="AD22" s="2" t="s">
        <v>124</v>
      </c>
      <c r="AE22" s="2" t="s">
        <v>428</v>
      </c>
      <c r="AF22" s="2">
        <v>2011</v>
      </c>
      <c r="AG22" s="2" t="s">
        <v>148</v>
      </c>
      <c r="AH22" s="2" t="s">
        <v>429</v>
      </c>
      <c r="AI22" s="2" t="s">
        <v>162</v>
      </c>
      <c r="AJ22" s="2" t="s">
        <v>162</v>
      </c>
      <c r="AK22" s="2" t="s">
        <v>128</v>
      </c>
      <c r="AL22" s="2" t="s">
        <v>128</v>
      </c>
      <c r="AM22" s="2" t="s">
        <v>128</v>
      </c>
      <c r="AN22" s="2">
        <v>2</v>
      </c>
      <c r="AO22" s="2" t="s">
        <v>131</v>
      </c>
      <c r="AP22" s="2" t="s">
        <v>302</v>
      </c>
      <c r="AQ22" s="2" t="s">
        <v>430</v>
      </c>
      <c r="AR22" s="2" t="s">
        <v>431</v>
      </c>
      <c r="AS22" s="2" t="s">
        <v>432</v>
      </c>
      <c r="AT22" s="2" t="s">
        <v>157</v>
      </c>
      <c r="AV22" s="2" t="s">
        <v>123</v>
      </c>
      <c r="AW22" s="2" t="s">
        <v>132</v>
      </c>
      <c r="CP22" s="2" t="s">
        <v>123</v>
      </c>
      <c r="CZ22" s="2" t="s">
        <v>123</v>
      </c>
      <c r="DJ22" s="2" t="s">
        <v>123</v>
      </c>
      <c r="EM22" s="2" t="s">
        <v>123</v>
      </c>
      <c r="EN22" s="2" t="s">
        <v>180</v>
      </c>
      <c r="EO22" s="2" t="s">
        <v>132</v>
      </c>
      <c r="FM22" s="2" t="s">
        <v>123</v>
      </c>
      <c r="FN22" s="2" t="s">
        <v>132</v>
      </c>
      <c r="FP22" s="2" t="s">
        <v>132</v>
      </c>
      <c r="GU22" s="2" t="s">
        <v>433</v>
      </c>
      <c r="GV22" s="2" t="s">
        <v>434</v>
      </c>
      <c r="GW22" s="2" t="s">
        <v>435</v>
      </c>
      <c r="GX22" s="2" t="s">
        <v>140</v>
      </c>
      <c r="GY22" s="2">
        <v>1987</v>
      </c>
      <c r="GZ22" s="2" t="s">
        <v>141</v>
      </c>
    </row>
    <row r="23" spans="1:211" x14ac:dyDescent="0.45">
      <c r="A23" s="2" t="s">
        <v>444</v>
      </c>
      <c r="B23" s="2">
        <v>21</v>
      </c>
      <c r="C23" s="2" t="s">
        <v>442</v>
      </c>
      <c r="D23" s="2" t="s">
        <v>118</v>
      </c>
      <c r="G23" s="2"/>
      <c r="I23" s="2" t="s">
        <v>119</v>
      </c>
      <c r="J23" s="2" t="s">
        <v>443</v>
      </c>
      <c r="K23" s="2">
        <v>6812</v>
      </c>
      <c r="L23" s="2">
        <v>0</v>
      </c>
      <c r="M23" s="2" t="s">
        <v>122</v>
      </c>
      <c r="N23" s="2" t="s">
        <v>123</v>
      </c>
      <c r="P23" s="2"/>
      <c r="AD23" s="2" t="s">
        <v>124</v>
      </c>
      <c r="AE23" s="2" t="s">
        <v>445</v>
      </c>
      <c r="AF23" s="2">
        <v>2019</v>
      </c>
      <c r="AG23" s="2" t="s">
        <v>148</v>
      </c>
      <c r="AH23" s="2" t="s">
        <v>446</v>
      </c>
      <c r="AI23" s="2" t="s">
        <v>150</v>
      </c>
      <c r="AJ23" s="2" t="s">
        <v>150</v>
      </c>
      <c r="AK23" s="2" t="s">
        <v>169</v>
      </c>
      <c r="AL23" s="2" t="s">
        <v>169</v>
      </c>
      <c r="AM23" s="2" t="s">
        <v>132</v>
      </c>
      <c r="AN23" s="2" t="s">
        <v>237</v>
      </c>
      <c r="AO23" s="2" t="s">
        <v>226</v>
      </c>
      <c r="AP23" s="2" t="s">
        <v>132</v>
      </c>
      <c r="AQ23" s="2" t="s">
        <v>447</v>
      </c>
      <c r="AR23" s="2" t="s">
        <v>448</v>
      </c>
      <c r="AS23" s="2" t="s">
        <v>449</v>
      </c>
      <c r="AT23" s="2" t="s">
        <v>157</v>
      </c>
      <c r="AV23" s="2" t="s">
        <v>123</v>
      </c>
      <c r="AW23" s="2" t="s">
        <v>132</v>
      </c>
      <c r="CP23" s="2" t="s">
        <v>387</v>
      </c>
      <c r="CQ23" s="2" t="s">
        <v>445</v>
      </c>
      <c r="CR23" s="2" t="s">
        <v>450</v>
      </c>
      <c r="CS23" s="2" t="s">
        <v>169</v>
      </c>
      <c r="CT23" s="2" t="s">
        <v>169</v>
      </c>
      <c r="CU23" s="2" t="s">
        <v>169</v>
      </c>
      <c r="CV23" s="2" t="s">
        <v>150</v>
      </c>
      <c r="CW23" s="2" t="s">
        <v>150</v>
      </c>
      <c r="CX23" s="2" t="s">
        <v>150</v>
      </c>
      <c r="CY23" s="2" t="s">
        <v>451</v>
      </c>
      <c r="CZ23" s="2" t="s">
        <v>123</v>
      </c>
      <c r="DJ23" s="2" t="s">
        <v>123</v>
      </c>
      <c r="EM23" s="2" t="s">
        <v>123</v>
      </c>
      <c r="EN23" s="2" t="s">
        <v>180</v>
      </c>
      <c r="EO23" s="2" t="s">
        <v>132</v>
      </c>
      <c r="FM23" s="2" t="s">
        <v>123</v>
      </c>
      <c r="FN23" s="2" t="s">
        <v>132</v>
      </c>
      <c r="FP23" s="2" t="s">
        <v>132</v>
      </c>
      <c r="GU23" s="2" t="s">
        <v>452</v>
      </c>
      <c r="GV23" s="2" t="s">
        <v>453</v>
      </c>
      <c r="GW23" s="2" t="s">
        <v>454</v>
      </c>
      <c r="GX23" s="2" t="s">
        <v>140</v>
      </c>
      <c r="GY23" s="2">
        <v>1994</v>
      </c>
      <c r="GZ23" s="2" t="s">
        <v>220</v>
      </c>
      <c r="HB23" s="2" t="s">
        <v>455</v>
      </c>
      <c r="HC23" s="2" t="s">
        <v>456</v>
      </c>
    </row>
    <row r="24" spans="1:211" x14ac:dyDescent="0.45">
      <c r="A24" s="2" t="s">
        <v>460</v>
      </c>
      <c r="B24" s="2">
        <v>22</v>
      </c>
      <c r="C24" s="2" t="s">
        <v>458</v>
      </c>
      <c r="D24" s="2" t="s">
        <v>118</v>
      </c>
      <c r="E24" s="2" t="s">
        <v>359</v>
      </c>
      <c r="G24" s="2"/>
      <c r="I24" s="2" t="s">
        <v>119</v>
      </c>
      <c r="J24" s="2" t="s">
        <v>459</v>
      </c>
      <c r="K24" s="2">
        <v>490</v>
      </c>
      <c r="L24" s="2">
        <v>0</v>
      </c>
      <c r="M24" s="2" t="s">
        <v>122</v>
      </c>
      <c r="N24" s="2" t="s">
        <v>416</v>
      </c>
      <c r="O24" s="2" t="s">
        <v>445</v>
      </c>
      <c r="P24" s="2" t="s">
        <v>148</v>
      </c>
      <c r="Q24" s="2" t="s">
        <v>461</v>
      </c>
      <c r="R24" s="2" t="s">
        <v>169</v>
      </c>
      <c r="S24" s="2" t="s">
        <v>169</v>
      </c>
      <c r="T24" s="2" t="s">
        <v>169</v>
      </c>
      <c r="U24" s="2" t="s">
        <v>462</v>
      </c>
      <c r="V24" s="2" t="s">
        <v>302</v>
      </c>
      <c r="W24" s="2" t="s">
        <v>302</v>
      </c>
      <c r="X24" s="2" t="s">
        <v>463</v>
      </c>
      <c r="Y24" s="2" t="s">
        <v>464</v>
      </c>
      <c r="Z24" s="2" t="s">
        <v>465</v>
      </c>
      <c r="AA24" s="2" t="s">
        <v>157</v>
      </c>
      <c r="AB24" s="2" t="s">
        <v>466</v>
      </c>
      <c r="AC24" s="2" t="s">
        <v>467</v>
      </c>
      <c r="AD24" s="2" t="s">
        <v>123</v>
      </c>
      <c r="AV24" s="2" t="s">
        <v>123</v>
      </c>
      <c r="AW24" s="2" t="s">
        <v>132</v>
      </c>
      <c r="CP24" s="2" t="s">
        <v>123</v>
      </c>
      <c r="CZ24" s="2" t="s">
        <v>123</v>
      </c>
      <c r="DJ24" s="2" t="s">
        <v>123</v>
      </c>
      <c r="EM24" s="2" t="s">
        <v>123</v>
      </c>
      <c r="EN24" s="2" t="s">
        <v>180</v>
      </c>
      <c r="EO24" s="2" t="s">
        <v>132</v>
      </c>
      <c r="FM24" s="2" t="s">
        <v>123</v>
      </c>
      <c r="FN24" s="2" t="s">
        <v>132</v>
      </c>
      <c r="FP24" s="2" t="s">
        <v>132</v>
      </c>
      <c r="GU24" s="2" t="s">
        <v>468</v>
      </c>
      <c r="GV24" s="2" t="s">
        <v>469</v>
      </c>
      <c r="GW24" s="2" t="s">
        <v>142</v>
      </c>
      <c r="GX24" s="2" t="s">
        <v>140</v>
      </c>
      <c r="GY24" s="2">
        <v>1996</v>
      </c>
      <c r="GZ24" s="2" t="s">
        <v>141</v>
      </c>
      <c r="HB24" s="2" t="s">
        <v>470</v>
      </c>
      <c r="HC24" s="2" t="s">
        <v>471</v>
      </c>
    </row>
    <row r="25" spans="1:211" x14ac:dyDescent="0.45">
      <c r="A25" s="2" t="s">
        <v>474</v>
      </c>
      <c r="B25" s="2">
        <v>23</v>
      </c>
      <c r="C25" s="2" t="s">
        <v>472</v>
      </c>
      <c r="D25" s="2" t="s">
        <v>118</v>
      </c>
      <c r="E25" s="2" t="s">
        <v>375</v>
      </c>
      <c r="G25" s="2"/>
      <c r="I25" s="2" t="s">
        <v>119</v>
      </c>
      <c r="J25" s="2" t="s">
        <v>473</v>
      </c>
      <c r="K25" s="2">
        <v>2507</v>
      </c>
      <c r="L25" s="2">
        <v>0</v>
      </c>
      <c r="M25" s="2" t="s">
        <v>122</v>
      </c>
      <c r="N25" s="2" t="s">
        <v>416</v>
      </c>
      <c r="O25" s="2" t="s">
        <v>445</v>
      </c>
      <c r="P25" s="2" t="s">
        <v>148</v>
      </c>
      <c r="Q25" s="2" t="s">
        <v>475</v>
      </c>
      <c r="R25" s="2" t="s">
        <v>169</v>
      </c>
      <c r="S25" s="2" t="s">
        <v>169</v>
      </c>
      <c r="T25" s="2" t="s">
        <v>151</v>
      </c>
      <c r="U25" s="2" t="s">
        <v>476</v>
      </c>
      <c r="V25" s="2" t="s">
        <v>302</v>
      </c>
      <c r="W25" s="2" t="s">
        <v>302</v>
      </c>
      <c r="Y25" s="2" t="s">
        <v>477</v>
      </c>
      <c r="Z25" s="2" t="s">
        <v>478</v>
      </c>
      <c r="AA25" s="2" t="s">
        <v>157</v>
      </c>
      <c r="AC25" s="2" t="s">
        <v>479</v>
      </c>
      <c r="AD25" s="2" t="s">
        <v>123</v>
      </c>
      <c r="AV25" s="2" t="s">
        <v>123</v>
      </c>
      <c r="AW25" s="2" t="s">
        <v>132</v>
      </c>
      <c r="CP25" s="2" t="s">
        <v>123</v>
      </c>
      <c r="CZ25" s="2" t="s">
        <v>123</v>
      </c>
      <c r="DJ25" s="2" t="s">
        <v>123</v>
      </c>
      <c r="EM25" s="2" t="s">
        <v>123</v>
      </c>
      <c r="FM25" s="2" t="s">
        <v>123</v>
      </c>
      <c r="FN25" s="2" t="s">
        <v>132</v>
      </c>
      <c r="GU25" s="2" t="s">
        <v>480</v>
      </c>
      <c r="GV25" s="2" t="s">
        <v>481</v>
      </c>
      <c r="GW25" s="2" t="s">
        <v>482</v>
      </c>
      <c r="GX25" s="2" t="s">
        <v>140</v>
      </c>
      <c r="GY25" s="2">
        <v>1996</v>
      </c>
      <c r="GZ25" s="2" t="s">
        <v>483</v>
      </c>
    </row>
    <row r="26" spans="1:211" x14ac:dyDescent="0.45">
      <c r="A26" s="2" t="s">
        <v>486</v>
      </c>
      <c r="B26" s="2">
        <v>24</v>
      </c>
      <c r="C26" s="2" t="s">
        <v>484</v>
      </c>
      <c r="D26" s="2" t="s">
        <v>118</v>
      </c>
      <c r="E26" s="2" t="s">
        <v>359</v>
      </c>
      <c r="G26" s="2"/>
      <c r="I26" s="2" t="s">
        <v>119</v>
      </c>
      <c r="J26" s="2" t="s">
        <v>485</v>
      </c>
      <c r="K26" s="2">
        <v>709</v>
      </c>
      <c r="L26" s="2">
        <v>0</v>
      </c>
      <c r="M26" s="2" t="s">
        <v>122</v>
      </c>
      <c r="N26" s="2" t="s">
        <v>123</v>
      </c>
      <c r="P26" s="2"/>
      <c r="AD26" s="2" t="s">
        <v>124</v>
      </c>
      <c r="AE26" s="2" t="s">
        <v>445</v>
      </c>
      <c r="AF26" s="2">
        <v>2018</v>
      </c>
      <c r="AG26" s="2" t="s">
        <v>148</v>
      </c>
      <c r="AH26" s="2" t="s">
        <v>487</v>
      </c>
      <c r="AI26" s="2" t="s">
        <v>162</v>
      </c>
      <c r="AJ26" s="2" t="s">
        <v>162</v>
      </c>
      <c r="AK26" s="2" t="s">
        <v>151</v>
      </c>
      <c r="AL26" s="2" t="s">
        <v>129</v>
      </c>
      <c r="AM26" s="2" t="s">
        <v>151</v>
      </c>
      <c r="AN26" s="2">
        <v>2</v>
      </c>
      <c r="AO26" s="2" t="s">
        <v>131</v>
      </c>
      <c r="AP26" s="2" t="s">
        <v>153</v>
      </c>
      <c r="AQ26" s="2" t="s">
        <v>488</v>
      </c>
      <c r="AR26" s="2" t="s">
        <v>489</v>
      </c>
      <c r="AS26" s="2" t="s">
        <v>490</v>
      </c>
      <c r="AT26" s="2" t="s">
        <v>157</v>
      </c>
      <c r="AV26" s="2" t="s">
        <v>123</v>
      </c>
      <c r="CP26" s="2" t="s">
        <v>123</v>
      </c>
      <c r="CZ26" s="2" t="s">
        <v>123</v>
      </c>
      <c r="DJ26" s="2" t="s">
        <v>123</v>
      </c>
      <c r="EM26" s="2" t="s">
        <v>123</v>
      </c>
      <c r="EN26" s="2" t="s">
        <v>180</v>
      </c>
      <c r="FM26" s="2" t="s">
        <v>123</v>
      </c>
      <c r="FN26" s="2" t="s">
        <v>132</v>
      </c>
      <c r="FP26" s="2" t="s">
        <v>132</v>
      </c>
      <c r="GU26" s="2" t="s">
        <v>491</v>
      </c>
      <c r="GV26" s="2" t="s">
        <v>492</v>
      </c>
      <c r="GW26" s="2" t="s">
        <v>493</v>
      </c>
      <c r="GX26" s="2" t="s">
        <v>186</v>
      </c>
      <c r="GY26" s="2">
        <v>1994</v>
      </c>
      <c r="GZ26" s="2" t="s">
        <v>483</v>
      </c>
      <c r="HB26" s="2" t="s">
        <v>494</v>
      </c>
      <c r="HC26" s="2" t="s">
        <v>495</v>
      </c>
    </row>
    <row r="27" spans="1:211" x14ac:dyDescent="0.45">
      <c r="A27" s="2" t="s">
        <v>501</v>
      </c>
      <c r="B27" s="2">
        <v>25</v>
      </c>
      <c r="C27" s="2" t="s">
        <v>500</v>
      </c>
      <c r="D27" s="2" t="s">
        <v>118</v>
      </c>
      <c r="E27" s="2" t="s">
        <v>375</v>
      </c>
      <c r="G27" s="2"/>
      <c r="I27" s="2" t="s">
        <v>119</v>
      </c>
      <c r="J27" s="2" t="s">
        <v>499</v>
      </c>
      <c r="K27" s="2">
        <v>394</v>
      </c>
      <c r="L27" s="2">
        <v>0</v>
      </c>
      <c r="M27" s="2" t="s">
        <v>122</v>
      </c>
      <c r="N27" s="2" t="s">
        <v>123</v>
      </c>
      <c r="P27" s="2"/>
      <c r="AD27" s="2" t="s">
        <v>124</v>
      </c>
      <c r="AE27" s="2" t="s">
        <v>445</v>
      </c>
      <c r="AF27" s="2">
        <v>2019</v>
      </c>
      <c r="AG27" s="2" t="s">
        <v>148</v>
      </c>
      <c r="AH27" s="2" t="s">
        <v>502</v>
      </c>
      <c r="AI27" s="2" t="s">
        <v>162</v>
      </c>
      <c r="AJ27" s="2" t="s">
        <v>162</v>
      </c>
      <c r="AK27" s="2" t="s">
        <v>162</v>
      </c>
      <c r="AL27" s="2" t="s">
        <v>150</v>
      </c>
      <c r="AM27" s="2" t="s">
        <v>132</v>
      </c>
      <c r="AN27" s="2">
        <v>0</v>
      </c>
      <c r="AO27" s="2" t="s">
        <v>153</v>
      </c>
      <c r="AP27" s="2" t="s">
        <v>132</v>
      </c>
      <c r="AQ27" s="2" t="s">
        <v>503</v>
      </c>
      <c r="AR27" s="2" t="s">
        <v>504</v>
      </c>
      <c r="AS27" s="2" t="s">
        <v>505</v>
      </c>
      <c r="AT27" s="2" t="s">
        <v>157</v>
      </c>
      <c r="AV27" s="2" t="s">
        <v>123</v>
      </c>
      <c r="AW27" s="2" t="s">
        <v>132</v>
      </c>
      <c r="CP27" s="2" t="s">
        <v>123</v>
      </c>
      <c r="CZ27" s="2" t="s">
        <v>123</v>
      </c>
      <c r="DJ27" s="2" t="s">
        <v>123</v>
      </c>
      <c r="EM27" s="2" t="s">
        <v>123</v>
      </c>
      <c r="EN27" s="2" t="s">
        <v>180</v>
      </c>
      <c r="EO27" s="2" t="s">
        <v>132</v>
      </c>
      <c r="FM27" s="2" t="s">
        <v>123</v>
      </c>
      <c r="FN27" s="2" t="s">
        <v>132</v>
      </c>
      <c r="FP27" s="2" t="s">
        <v>132</v>
      </c>
      <c r="GU27" s="2" t="s">
        <v>506</v>
      </c>
      <c r="GV27" s="2" t="s">
        <v>507</v>
      </c>
      <c r="GW27" s="2" t="s">
        <v>508</v>
      </c>
      <c r="GX27" s="2" t="s">
        <v>140</v>
      </c>
      <c r="GY27" s="2">
        <v>1994</v>
      </c>
      <c r="GZ27" s="2" t="s">
        <v>220</v>
      </c>
      <c r="HB27" s="2" t="s">
        <v>509</v>
      </c>
      <c r="HC27" s="2" t="s">
        <v>510</v>
      </c>
    </row>
    <row r="28" spans="1:211" x14ac:dyDescent="0.45">
      <c r="A28" s="2" t="s">
        <v>513</v>
      </c>
      <c r="B28" s="2">
        <v>26</v>
      </c>
      <c r="C28" s="2" t="s">
        <v>511</v>
      </c>
      <c r="D28" s="2" t="s">
        <v>118</v>
      </c>
      <c r="E28" s="2" t="s">
        <v>375</v>
      </c>
      <c r="G28" s="2"/>
      <c r="I28" s="2" t="s">
        <v>119</v>
      </c>
      <c r="J28" s="2" t="s">
        <v>512</v>
      </c>
      <c r="K28" s="2">
        <v>424</v>
      </c>
      <c r="L28" s="2">
        <v>0</v>
      </c>
      <c r="M28" s="2" t="s">
        <v>122</v>
      </c>
      <c r="N28" s="2" t="s">
        <v>123</v>
      </c>
      <c r="P28" s="2"/>
      <c r="AD28" s="2" t="s">
        <v>124</v>
      </c>
      <c r="AE28" s="2" t="s">
        <v>445</v>
      </c>
      <c r="AF28" s="2">
        <v>2018</v>
      </c>
      <c r="AG28" s="2" t="s">
        <v>148</v>
      </c>
      <c r="AH28" s="2" t="s">
        <v>514</v>
      </c>
      <c r="AI28" s="2" t="s">
        <v>150</v>
      </c>
      <c r="AJ28" s="2" t="s">
        <v>169</v>
      </c>
      <c r="AK28" s="2" t="s">
        <v>169</v>
      </c>
      <c r="AL28" s="2" t="s">
        <v>150</v>
      </c>
      <c r="AM28" s="2" t="s">
        <v>132</v>
      </c>
      <c r="AN28" s="2" t="s">
        <v>515</v>
      </c>
      <c r="AO28" s="2" t="s">
        <v>302</v>
      </c>
      <c r="AP28" s="2" t="s">
        <v>132</v>
      </c>
      <c r="AQ28" s="2" t="s">
        <v>516</v>
      </c>
      <c r="AR28" s="2" t="s">
        <v>517</v>
      </c>
      <c r="AS28" s="2" t="s">
        <v>142</v>
      </c>
      <c r="AT28" s="2" t="s">
        <v>157</v>
      </c>
      <c r="AV28" s="2" t="s">
        <v>123</v>
      </c>
      <c r="AW28" s="2" t="s">
        <v>132</v>
      </c>
      <c r="CP28" s="2" t="s">
        <v>123</v>
      </c>
      <c r="CZ28" s="2" t="s">
        <v>214</v>
      </c>
      <c r="DA28" s="2" t="s">
        <v>445</v>
      </c>
      <c r="DB28" s="2" t="s">
        <v>518</v>
      </c>
      <c r="DC28" s="2" t="s">
        <v>169</v>
      </c>
      <c r="DD28" s="2" t="s">
        <v>150</v>
      </c>
      <c r="DE28" s="2" t="s">
        <v>162</v>
      </c>
      <c r="DF28" s="2" t="s">
        <v>150</v>
      </c>
      <c r="DG28" s="2" t="s">
        <v>150</v>
      </c>
      <c r="DH28" s="2" t="s">
        <v>151</v>
      </c>
      <c r="DJ28" s="2" t="s">
        <v>123</v>
      </c>
      <c r="EM28" s="2" t="s">
        <v>123</v>
      </c>
      <c r="EN28" s="2" t="s">
        <v>180</v>
      </c>
      <c r="EO28" s="2" t="s">
        <v>132</v>
      </c>
      <c r="FM28" s="2" t="s">
        <v>123</v>
      </c>
      <c r="FN28" s="2" t="s">
        <v>132</v>
      </c>
      <c r="FP28" s="2" t="s">
        <v>132</v>
      </c>
      <c r="GU28" s="2" t="s">
        <v>519</v>
      </c>
      <c r="GV28" s="2" t="s">
        <v>520</v>
      </c>
      <c r="GW28" s="2" t="s">
        <v>142</v>
      </c>
      <c r="GX28" s="2" t="s">
        <v>186</v>
      </c>
      <c r="GY28" s="2">
        <v>1994</v>
      </c>
      <c r="GZ28" s="2" t="s">
        <v>141</v>
      </c>
      <c r="HC28" s="2" t="s">
        <v>521</v>
      </c>
    </row>
    <row r="29" spans="1:211" x14ac:dyDescent="0.45">
      <c r="A29" s="2" t="s">
        <v>529</v>
      </c>
      <c r="B29" s="2">
        <v>27</v>
      </c>
      <c r="C29" s="2" t="s">
        <v>527</v>
      </c>
      <c r="D29" s="2" t="s">
        <v>118</v>
      </c>
      <c r="G29" s="2"/>
      <c r="I29" s="2" t="s">
        <v>119</v>
      </c>
      <c r="J29" s="2" t="s">
        <v>528</v>
      </c>
      <c r="K29" s="2">
        <v>283</v>
      </c>
      <c r="L29" s="2">
        <v>0</v>
      </c>
      <c r="M29" s="2" t="s">
        <v>122</v>
      </c>
      <c r="N29" s="2" t="s">
        <v>416</v>
      </c>
      <c r="O29" s="2" t="s">
        <v>445</v>
      </c>
      <c r="P29" s="2" t="s">
        <v>148</v>
      </c>
      <c r="Q29" s="2" t="s">
        <v>461</v>
      </c>
      <c r="R29" s="2" t="s">
        <v>169</v>
      </c>
      <c r="S29" s="2" t="s">
        <v>162</v>
      </c>
      <c r="T29" s="2" t="s">
        <v>162</v>
      </c>
      <c r="U29" s="2" t="s">
        <v>530</v>
      </c>
      <c r="V29" s="2" t="s">
        <v>131</v>
      </c>
      <c r="W29" s="2" t="s">
        <v>153</v>
      </c>
      <c r="Y29" s="2" t="s">
        <v>531</v>
      </c>
      <c r="Z29" s="2" t="s">
        <v>532</v>
      </c>
      <c r="AA29" s="2" t="s">
        <v>172</v>
      </c>
      <c r="AC29" s="2" t="s">
        <v>533</v>
      </c>
      <c r="AD29" s="2" t="s">
        <v>123</v>
      </c>
      <c r="AV29" s="2" t="s">
        <v>123</v>
      </c>
      <c r="CP29" s="2" t="s">
        <v>123</v>
      </c>
      <c r="CZ29" s="2" t="s">
        <v>123</v>
      </c>
      <c r="DJ29" s="2" t="s">
        <v>123</v>
      </c>
      <c r="EM29" s="2" t="s">
        <v>123</v>
      </c>
      <c r="FM29" s="2" t="s">
        <v>123</v>
      </c>
      <c r="FN29" s="2" t="s">
        <v>132</v>
      </c>
      <c r="GU29" s="2" t="s">
        <v>534</v>
      </c>
      <c r="GV29" s="2" t="s">
        <v>535</v>
      </c>
      <c r="GW29" s="2" t="s">
        <v>532</v>
      </c>
      <c r="GX29" s="2" t="s">
        <v>140</v>
      </c>
      <c r="GY29" s="2">
        <v>1996</v>
      </c>
      <c r="GZ29" s="2" t="s">
        <v>483</v>
      </c>
      <c r="HB29" s="2" t="s">
        <v>536</v>
      </c>
      <c r="HC29" s="2" t="s">
        <v>537</v>
      </c>
    </row>
    <row r="30" spans="1:211" x14ac:dyDescent="0.45">
      <c r="A30" s="2" t="s">
        <v>552</v>
      </c>
      <c r="B30" s="2">
        <v>28</v>
      </c>
      <c r="C30" s="2" t="s">
        <v>550</v>
      </c>
      <c r="D30" s="2" t="s">
        <v>118</v>
      </c>
      <c r="E30" s="2" t="s">
        <v>375</v>
      </c>
      <c r="G30" s="2"/>
      <c r="I30" s="2" t="s">
        <v>119</v>
      </c>
      <c r="J30" s="2" t="s">
        <v>551</v>
      </c>
      <c r="K30" s="2">
        <v>836</v>
      </c>
      <c r="L30" s="2">
        <v>0</v>
      </c>
      <c r="M30" s="2" t="s">
        <v>122</v>
      </c>
      <c r="N30" s="2" t="s">
        <v>123</v>
      </c>
      <c r="P30" s="2"/>
      <c r="AD30" s="2" t="s">
        <v>124</v>
      </c>
      <c r="AE30" s="2" t="s">
        <v>553</v>
      </c>
      <c r="AF30" s="2">
        <v>2019</v>
      </c>
      <c r="AG30" s="2" t="s">
        <v>148</v>
      </c>
      <c r="AH30" s="2" t="s">
        <v>554</v>
      </c>
      <c r="AI30" s="2" t="s">
        <v>162</v>
      </c>
      <c r="AJ30" s="2" t="s">
        <v>162</v>
      </c>
      <c r="AK30" s="2" t="s">
        <v>236</v>
      </c>
      <c r="AL30" s="2" t="s">
        <v>151</v>
      </c>
      <c r="AM30" s="2" t="s">
        <v>162</v>
      </c>
      <c r="AN30" s="2" t="s">
        <v>237</v>
      </c>
      <c r="AO30" s="2" t="s">
        <v>132</v>
      </c>
      <c r="AP30" s="2" t="s">
        <v>132</v>
      </c>
      <c r="AQ30" s="2" t="s">
        <v>555</v>
      </c>
      <c r="AR30" s="2" t="s">
        <v>556</v>
      </c>
      <c r="AS30" s="2" t="s">
        <v>557</v>
      </c>
      <c r="AT30" s="2" t="s">
        <v>230</v>
      </c>
      <c r="AV30" s="2" t="s">
        <v>123</v>
      </c>
      <c r="CP30" s="2" t="s">
        <v>123</v>
      </c>
      <c r="CZ30" s="2" t="s">
        <v>123</v>
      </c>
      <c r="DJ30" s="2" t="s">
        <v>123</v>
      </c>
      <c r="EM30" s="2" t="s">
        <v>123</v>
      </c>
      <c r="FM30" s="2" t="s">
        <v>123</v>
      </c>
      <c r="FN30" s="2" t="s">
        <v>132</v>
      </c>
      <c r="GU30" s="2" t="s">
        <v>558</v>
      </c>
      <c r="GV30" s="2" t="s">
        <v>559</v>
      </c>
      <c r="GW30" s="2" t="s">
        <v>560</v>
      </c>
      <c r="GX30" s="2" t="s">
        <v>140</v>
      </c>
      <c r="GY30" s="2">
        <v>1994</v>
      </c>
      <c r="GZ30" s="2" t="s">
        <v>483</v>
      </c>
      <c r="HB30" s="2" t="s">
        <v>561</v>
      </c>
      <c r="HC30" s="2" t="s">
        <v>386</v>
      </c>
    </row>
    <row r="31" spans="1:211" x14ac:dyDescent="0.45">
      <c r="A31" s="2" t="s">
        <v>572</v>
      </c>
      <c r="B31" s="2">
        <v>29</v>
      </c>
      <c r="C31" s="2" t="s">
        <v>570</v>
      </c>
      <c r="D31" s="2" t="s">
        <v>118</v>
      </c>
      <c r="E31" s="2" t="s">
        <v>548</v>
      </c>
      <c r="G31" s="2"/>
      <c r="I31" s="2" t="s">
        <v>119</v>
      </c>
      <c r="J31" s="2" t="s">
        <v>571</v>
      </c>
      <c r="K31" s="2">
        <v>751</v>
      </c>
      <c r="L31" s="2">
        <v>0</v>
      </c>
      <c r="M31" s="2" t="s">
        <v>122</v>
      </c>
      <c r="N31" s="2" t="s">
        <v>416</v>
      </c>
      <c r="O31" s="2" t="s">
        <v>445</v>
      </c>
      <c r="P31" s="2" t="s">
        <v>148</v>
      </c>
      <c r="Q31" s="2" t="s">
        <v>573</v>
      </c>
      <c r="R31" s="2" t="s">
        <v>162</v>
      </c>
      <c r="S31" s="2" t="s">
        <v>128</v>
      </c>
      <c r="T31" s="2" t="s">
        <v>151</v>
      </c>
      <c r="U31" s="2" t="s">
        <v>237</v>
      </c>
      <c r="V31" s="2" t="s">
        <v>302</v>
      </c>
      <c r="W31" s="2" t="s">
        <v>153</v>
      </c>
      <c r="X31" s="2" t="s">
        <v>574</v>
      </c>
      <c r="Y31" s="2" t="s">
        <v>575</v>
      </c>
      <c r="Z31" s="2" t="s">
        <v>576</v>
      </c>
      <c r="AA31" s="2" t="s">
        <v>172</v>
      </c>
      <c r="AC31" s="2" t="s">
        <v>577</v>
      </c>
      <c r="AD31" s="2" t="s">
        <v>123</v>
      </c>
      <c r="AV31" s="2" t="s">
        <v>123</v>
      </c>
      <c r="AW31" s="2" t="s">
        <v>132</v>
      </c>
      <c r="CP31" s="2" t="s">
        <v>123</v>
      </c>
      <c r="CZ31" s="2" t="s">
        <v>123</v>
      </c>
      <c r="DJ31" s="2" t="s">
        <v>123</v>
      </c>
      <c r="EM31" s="2" t="s">
        <v>123</v>
      </c>
      <c r="FM31" s="2" t="s">
        <v>123</v>
      </c>
      <c r="FN31" s="2" t="s">
        <v>132</v>
      </c>
      <c r="FP31" s="2" t="s">
        <v>132</v>
      </c>
      <c r="GU31" s="2" t="s">
        <v>578</v>
      </c>
      <c r="GV31" s="2" t="s">
        <v>579</v>
      </c>
      <c r="GW31" s="2" t="s">
        <v>580</v>
      </c>
      <c r="GX31" s="2" t="s">
        <v>186</v>
      </c>
      <c r="GY31" s="2">
        <v>1997</v>
      </c>
      <c r="GZ31" s="2" t="s">
        <v>483</v>
      </c>
      <c r="HB31" s="2" t="s">
        <v>532</v>
      </c>
    </row>
    <row r="32" spans="1:211" x14ac:dyDescent="0.45">
      <c r="A32" s="2" t="s">
        <v>587</v>
      </c>
      <c r="B32" s="2">
        <v>30</v>
      </c>
      <c r="C32" s="2" t="s">
        <v>585</v>
      </c>
      <c r="D32" s="2" t="s">
        <v>118</v>
      </c>
      <c r="E32" s="2" t="s">
        <v>375</v>
      </c>
      <c r="G32" s="2"/>
      <c r="I32" s="2" t="s">
        <v>119</v>
      </c>
      <c r="J32" s="2" t="s">
        <v>586</v>
      </c>
      <c r="K32" s="2">
        <v>387</v>
      </c>
      <c r="L32" s="2">
        <v>0</v>
      </c>
      <c r="M32" s="2" t="s">
        <v>122</v>
      </c>
      <c r="N32" s="2" t="s">
        <v>416</v>
      </c>
      <c r="O32" s="2" t="s">
        <v>445</v>
      </c>
      <c r="P32" s="2" t="s">
        <v>148</v>
      </c>
      <c r="Q32" s="2" t="s">
        <v>588</v>
      </c>
      <c r="R32" s="2" t="s">
        <v>162</v>
      </c>
      <c r="S32" s="2" t="s">
        <v>150</v>
      </c>
      <c r="T32" s="2" t="s">
        <v>162</v>
      </c>
      <c r="U32" s="2" t="s">
        <v>589</v>
      </c>
      <c r="V32" s="2" t="s">
        <v>302</v>
      </c>
      <c r="W32" s="2" t="s">
        <v>153</v>
      </c>
      <c r="Y32" s="2" t="s">
        <v>590</v>
      </c>
      <c r="Z32" s="2" t="s">
        <v>591</v>
      </c>
      <c r="AA32" s="2" t="s">
        <v>172</v>
      </c>
      <c r="AC32" s="2" t="s">
        <v>533</v>
      </c>
      <c r="AD32" s="2" t="s">
        <v>123</v>
      </c>
      <c r="AV32" s="2" t="s">
        <v>123</v>
      </c>
      <c r="CP32" s="2" t="s">
        <v>123</v>
      </c>
      <c r="CZ32" s="2" t="s">
        <v>123</v>
      </c>
      <c r="DJ32" s="2" t="s">
        <v>123</v>
      </c>
      <c r="EM32" s="2" t="s">
        <v>123</v>
      </c>
      <c r="FM32" s="2" t="s">
        <v>123</v>
      </c>
      <c r="FN32" s="2" t="s">
        <v>132</v>
      </c>
      <c r="GU32" s="2" t="s">
        <v>592</v>
      </c>
      <c r="GV32" s="2" t="s">
        <v>593</v>
      </c>
      <c r="GW32" s="2" t="s">
        <v>594</v>
      </c>
      <c r="GX32" s="2" t="s">
        <v>140</v>
      </c>
      <c r="GY32" s="2">
        <v>1997</v>
      </c>
      <c r="GZ32" s="2" t="s">
        <v>141</v>
      </c>
      <c r="HB32" s="2" t="s">
        <v>595</v>
      </c>
    </row>
    <row r="33" spans="1:212" x14ac:dyDescent="0.45">
      <c r="A33" s="2" t="s">
        <v>600</v>
      </c>
      <c r="B33" s="2">
        <v>31</v>
      </c>
      <c r="C33" s="2" t="s">
        <v>598</v>
      </c>
      <c r="D33" s="2" t="s">
        <v>118</v>
      </c>
      <c r="E33" s="2" t="s">
        <v>359</v>
      </c>
      <c r="G33" s="2"/>
      <c r="I33" s="2" t="s">
        <v>119</v>
      </c>
      <c r="J33" s="2" t="s">
        <v>599</v>
      </c>
      <c r="K33" s="2">
        <v>61362</v>
      </c>
      <c r="L33" s="2">
        <v>0</v>
      </c>
      <c r="M33" s="2" t="s">
        <v>122</v>
      </c>
      <c r="N33" s="2" t="s">
        <v>123</v>
      </c>
      <c r="P33" s="2"/>
      <c r="AD33" s="2" t="s">
        <v>124</v>
      </c>
      <c r="AE33" s="2" t="s">
        <v>445</v>
      </c>
      <c r="AF33" s="2">
        <v>2018</v>
      </c>
      <c r="AG33" s="2" t="s">
        <v>148</v>
      </c>
      <c r="AH33" s="2" t="s">
        <v>601</v>
      </c>
      <c r="AI33" s="2" t="s">
        <v>150</v>
      </c>
      <c r="AJ33" s="2" t="s">
        <v>162</v>
      </c>
      <c r="AK33" s="2" t="s">
        <v>128</v>
      </c>
      <c r="AL33" s="2" t="s">
        <v>129</v>
      </c>
      <c r="AM33" s="2" t="s">
        <v>132</v>
      </c>
      <c r="AN33" s="2" t="s">
        <v>602</v>
      </c>
      <c r="AO33" s="2" t="s">
        <v>131</v>
      </c>
      <c r="AP33" s="2" t="s">
        <v>132</v>
      </c>
      <c r="AR33" s="2" t="s">
        <v>603</v>
      </c>
      <c r="AS33" s="2" t="s">
        <v>604</v>
      </c>
      <c r="AT33" s="2" t="s">
        <v>157</v>
      </c>
      <c r="AV33" s="2" t="s">
        <v>123</v>
      </c>
      <c r="AW33" s="2" t="s">
        <v>132</v>
      </c>
      <c r="CP33" s="2" t="s">
        <v>123</v>
      </c>
      <c r="CZ33" s="2" t="s">
        <v>123</v>
      </c>
      <c r="DJ33" s="2" t="s">
        <v>123</v>
      </c>
      <c r="EM33" s="2" t="s">
        <v>123</v>
      </c>
      <c r="EN33" s="2" t="s">
        <v>180</v>
      </c>
      <c r="EO33" s="2" t="s">
        <v>132</v>
      </c>
      <c r="FM33" s="2" t="s">
        <v>123</v>
      </c>
      <c r="FN33" s="2" t="s">
        <v>132</v>
      </c>
      <c r="FP33" s="2" t="s">
        <v>132</v>
      </c>
      <c r="GU33" s="2" t="s">
        <v>605</v>
      </c>
      <c r="GV33" s="2" t="s">
        <v>606</v>
      </c>
      <c r="GW33" s="2" t="s">
        <v>607</v>
      </c>
      <c r="GX33" s="2" t="s">
        <v>140</v>
      </c>
      <c r="GY33" s="2">
        <v>1994</v>
      </c>
      <c r="GZ33" s="2" t="s">
        <v>483</v>
      </c>
      <c r="HB33" s="2" t="s">
        <v>608</v>
      </c>
      <c r="HC33" s="2" t="s">
        <v>609</v>
      </c>
    </row>
    <row r="34" spans="1:212" x14ac:dyDescent="0.45">
      <c r="A34" s="2" t="s">
        <v>612</v>
      </c>
      <c r="B34" s="2">
        <v>32</v>
      </c>
      <c r="C34" s="2" t="s">
        <v>610</v>
      </c>
      <c r="D34" s="2" t="s">
        <v>118</v>
      </c>
      <c r="E34" s="2" t="s">
        <v>548</v>
      </c>
      <c r="G34" s="2"/>
      <c r="I34" s="2" t="s">
        <v>119</v>
      </c>
      <c r="J34" s="2" t="s">
        <v>611</v>
      </c>
      <c r="K34" s="2">
        <v>551</v>
      </c>
      <c r="L34" s="2">
        <v>0</v>
      </c>
      <c r="M34" s="2" t="s">
        <v>122</v>
      </c>
      <c r="N34" s="2" t="s">
        <v>416</v>
      </c>
      <c r="O34" s="2" t="s">
        <v>445</v>
      </c>
      <c r="P34" s="2" t="s">
        <v>148</v>
      </c>
      <c r="Q34" s="2" t="s">
        <v>613</v>
      </c>
      <c r="R34" s="2" t="s">
        <v>150</v>
      </c>
      <c r="S34" s="2" t="s">
        <v>150</v>
      </c>
      <c r="T34" s="2" t="s">
        <v>151</v>
      </c>
      <c r="U34" s="2" t="s">
        <v>530</v>
      </c>
      <c r="V34" s="2" t="s">
        <v>131</v>
      </c>
      <c r="W34" s="2" t="s">
        <v>302</v>
      </c>
      <c r="X34" s="2" t="s">
        <v>614</v>
      </c>
      <c r="Y34" s="2" t="s">
        <v>615</v>
      </c>
      <c r="Z34" s="2" t="s">
        <v>616</v>
      </c>
      <c r="AA34" s="2" t="s">
        <v>172</v>
      </c>
      <c r="AC34" s="2" t="s">
        <v>533</v>
      </c>
      <c r="AD34" s="2" t="s">
        <v>123</v>
      </c>
      <c r="AV34" s="2" t="s">
        <v>123</v>
      </c>
      <c r="CP34" s="2" t="s">
        <v>123</v>
      </c>
      <c r="CZ34" s="2" t="s">
        <v>123</v>
      </c>
      <c r="DJ34" s="2" t="s">
        <v>123</v>
      </c>
      <c r="EM34" s="2" t="s">
        <v>123</v>
      </c>
      <c r="FM34" s="2" t="s">
        <v>123</v>
      </c>
      <c r="FN34" s="2" t="s">
        <v>132</v>
      </c>
      <c r="GU34" s="2" t="s">
        <v>617</v>
      </c>
      <c r="GV34" s="2" t="s">
        <v>618</v>
      </c>
      <c r="GW34" s="2" t="s">
        <v>619</v>
      </c>
      <c r="GX34" s="2" t="s">
        <v>140</v>
      </c>
      <c r="GY34" s="2">
        <v>1998</v>
      </c>
      <c r="GZ34" s="2" t="s">
        <v>398</v>
      </c>
      <c r="HB34" s="2" t="s">
        <v>620</v>
      </c>
    </row>
    <row r="35" spans="1:212" x14ac:dyDescent="0.45">
      <c r="A35" s="2" t="s">
        <v>623</v>
      </c>
      <c r="B35" s="2">
        <v>33</v>
      </c>
      <c r="C35" s="2" t="s">
        <v>621</v>
      </c>
      <c r="D35" s="2" t="s">
        <v>118</v>
      </c>
      <c r="E35" s="2" t="s">
        <v>359</v>
      </c>
      <c r="G35" s="2"/>
      <c r="I35" s="2" t="s">
        <v>119</v>
      </c>
      <c r="J35" s="2" t="s">
        <v>622</v>
      </c>
      <c r="K35" s="2">
        <v>595</v>
      </c>
      <c r="L35" s="2">
        <v>0</v>
      </c>
      <c r="M35" s="2" t="s">
        <v>122</v>
      </c>
      <c r="N35" s="2" t="s">
        <v>416</v>
      </c>
      <c r="O35" s="2" t="s">
        <v>445</v>
      </c>
      <c r="P35" s="2" t="s">
        <v>148</v>
      </c>
      <c r="Q35" s="2" t="s">
        <v>624</v>
      </c>
      <c r="R35" s="2" t="s">
        <v>150</v>
      </c>
      <c r="S35" s="2" t="s">
        <v>150</v>
      </c>
      <c r="T35" s="2" t="s">
        <v>169</v>
      </c>
      <c r="U35" s="2">
        <v>12</v>
      </c>
      <c r="V35" s="2" t="s">
        <v>302</v>
      </c>
      <c r="W35" s="2" t="s">
        <v>226</v>
      </c>
      <c r="Y35" s="2" t="s">
        <v>625</v>
      </c>
      <c r="Z35" s="2" t="s">
        <v>626</v>
      </c>
      <c r="AA35" s="2" t="s">
        <v>172</v>
      </c>
      <c r="AC35" s="2" t="s">
        <v>424</v>
      </c>
      <c r="AD35" s="2" t="s">
        <v>123</v>
      </c>
      <c r="AV35" s="2" t="s">
        <v>123</v>
      </c>
      <c r="AW35" s="2" t="s">
        <v>132</v>
      </c>
      <c r="CP35" s="2" t="s">
        <v>123</v>
      </c>
      <c r="CZ35" s="2" t="s">
        <v>123</v>
      </c>
      <c r="DJ35" s="2" t="s">
        <v>123</v>
      </c>
      <c r="EM35" s="2" t="s">
        <v>123</v>
      </c>
      <c r="FM35" s="2" t="s">
        <v>123</v>
      </c>
      <c r="FN35" s="2" t="s">
        <v>132</v>
      </c>
      <c r="GU35" s="2" t="s">
        <v>627</v>
      </c>
      <c r="GV35" s="2" t="s">
        <v>628</v>
      </c>
      <c r="GW35" s="2" t="s">
        <v>629</v>
      </c>
      <c r="GX35" s="2" t="s">
        <v>186</v>
      </c>
      <c r="GY35" s="2" t="s">
        <v>630</v>
      </c>
      <c r="GZ35" s="2" t="s">
        <v>398</v>
      </c>
      <c r="HB35" s="2" t="s">
        <v>631</v>
      </c>
      <c r="HC35" s="2" t="s">
        <v>632</v>
      </c>
    </row>
    <row r="36" spans="1:212" x14ac:dyDescent="0.45">
      <c r="A36" s="2" t="s">
        <v>647</v>
      </c>
      <c r="B36" s="2">
        <v>34</v>
      </c>
      <c r="C36" s="2" t="s">
        <v>645</v>
      </c>
      <c r="D36" s="2" t="s">
        <v>118</v>
      </c>
      <c r="E36" s="2" t="s">
        <v>375</v>
      </c>
      <c r="G36" s="2"/>
      <c r="I36" s="2" t="s">
        <v>119</v>
      </c>
      <c r="J36" s="2" t="s">
        <v>646</v>
      </c>
      <c r="K36" s="2">
        <v>551</v>
      </c>
      <c r="L36" s="2">
        <v>0</v>
      </c>
      <c r="M36" s="2" t="s">
        <v>122</v>
      </c>
      <c r="N36" s="2" t="s">
        <v>416</v>
      </c>
      <c r="O36" s="2" t="s">
        <v>160</v>
      </c>
      <c r="P36" s="2" t="s">
        <v>148</v>
      </c>
      <c r="Q36" s="2" t="s">
        <v>648</v>
      </c>
      <c r="R36" s="2" t="s">
        <v>128</v>
      </c>
      <c r="S36" s="2" t="s">
        <v>162</v>
      </c>
      <c r="T36" s="2" t="s">
        <v>162</v>
      </c>
      <c r="U36" s="2" t="s">
        <v>237</v>
      </c>
      <c r="V36" s="2" t="s">
        <v>302</v>
      </c>
      <c r="W36" s="2" t="s">
        <v>153</v>
      </c>
      <c r="Y36" s="2" t="s">
        <v>649</v>
      </c>
      <c r="Z36" s="2" t="s">
        <v>650</v>
      </c>
      <c r="AA36" s="2" t="s">
        <v>157</v>
      </c>
      <c r="AC36" s="2">
        <v>8</v>
      </c>
      <c r="AD36" s="2" t="s">
        <v>123</v>
      </c>
      <c r="AV36" s="2" t="s">
        <v>123</v>
      </c>
      <c r="CP36" s="2" t="s">
        <v>123</v>
      </c>
      <c r="CZ36" s="2" t="s">
        <v>123</v>
      </c>
      <c r="DJ36" s="2" t="s">
        <v>123</v>
      </c>
      <c r="EM36" s="2" t="s">
        <v>123</v>
      </c>
      <c r="FM36" s="2" t="s">
        <v>123</v>
      </c>
      <c r="FN36" s="2" t="s">
        <v>132</v>
      </c>
      <c r="GU36" s="2" t="s">
        <v>651</v>
      </c>
      <c r="GV36" s="2" t="s">
        <v>652</v>
      </c>
      <c r="GW36" s="2" t="s">
        <v>653</v>
      </c>
      <c r="GX36" s="2" t="s">
        <v>140</v>
      </c>
      <c r="GY36" s="2">
        <v>1998</v>
      </c>
      <c r="GZ36" s="2" t="s">
        <v>141</v>
      </c>
    </row>
    <row r="37" spans="1:212" x14ac:dyDescent="0.45">
      <c r="A37" s="2" t="s">
        <v>658</v>
      </c>
      <c r="B37" s="2">
        <v>35</v>
      </c>
      <c r="C37" s="2" t="s">
        <v>656</v>
      </c>
      <c r="D37" s="2" t="s">
        <v>118</v>
      </c>
      <c r="E37" s="2" t="s">
        <v>359</v>
      </c>
      <c r="G37" s="2"/>
      <c r="I37" s="2" t="s">
        <v>119</v>
      </c>
      <c r="J37" s="2" t="s">
        <v>657</v>
      </c>
      <c r="K37" s="2">
        <v>770</v>
      </c>
      <c r="L37" s="2">
        <v>0</v>
      </c>
      <c r="M37" s="2" t="s">
        <v>122</v>
      </c>
      <c r="N37" s="2" t="s">
        <v>123</v>
      </c>
      <c r="P37" s="2"/>
      <c r="AD37" s="2" t="s">
        <v>124</v>
      </c>
      <c r="AE37" s="2" t="s">
        <v>445</v>
      </c>
      <c r="AF37" s="2" t="s">
        <v>659</v>
      </c>
      <c r="AG37" s="2" t="s">
        <v>148</v>
      </c>
      <c r="AH37" s="2" t="s">
        <v>660</v>
      </c>
      <c r="AI37" s="2" t="s">
        <v>169</v>
      </c>
      <c r="AJ37" s="2" t="s">
        <v>169</v>
      </c>
      <c r="AK37" s="2" t="s">
        <v>169</v>
      </c>
      <c r="AL37" s="2" t="s">
        <v>150</v>
      </c>
      <c r="AM37" s="2" t="s">
        <v>132</v>
      </c>
      <c r="AN37" s="2" t="s">
        <v>661</v>
      </c>
      <c r="AO37" s="2" t="s">
        <v>302</v>
      </c>
      <c r="AP37" s="2" t="s">
        <v>132</v>
      </c>
      <c r="AR37" s="2" t="s">
        <v>662</v>
      </c>
      <c r="AS37" s="2" t="s">
        <v>663</v>
      </c>
      <c r="AT37" s="2" t="s">
        <v>157</v>
      </c>
      <c r="AU37" s="2" t="s">
        <v>664</v>
      </c>
      <c r="AV37" s="2" t="s">
        <v>123</v>
      </c>
      <c r="CP37" s="2" t="s">
        <v>123</v>
      </c>
      <c r="CZ37" s="2" t="s">
        <v>214</v>
      </c>
      <c r="DA37" s="2" t="s">
        <v>445</v>
      </c>
      <c r="DB37" s="2" t="s">
        <v>518</v>
      </c>
      <c r="DC37" s="2" t="s">
        <v>169</v>
      </c>
      <c r="DD37" s="2" t="s">
        <v>169</v>
      </c>
      <c r="DE37" s="2" t="s">
        <v>169</v>
      </c>
      <c r="DF37" s="2" t="s">
        <v>169</v>
      </c>
      <c r="DG37" s="2" t="s">
        <v>169</v>
      </c>
      <c r="DH37" s="2" t="s">
        <v>150</v>
      </c>
      <c r="DJ37" s="2" t="s">
        <v>123</v>
      </c>
      <c r="EM37" s="2" t="s">
        <v>123</v>
      </c>
      <c r="FM37" s="2" t="s">
        <v>123</v>
      </c>
      <c r="FN37" s="2" t="s">
        <v>132</v>
      </c>
      <c r="GU37" s="2" t="s">
        <v>665</v>
      </c>
      <c r="GV37" s="2" t="s">
        <v>666</v>
      </c>
      <c r="GW37" s="2" t="s">
        <v>667</v>
      </c>
      <c r="GX37" s="2" t="s">
        <v>140</v>
      </c>
      <c r="GY37" s="2">
        <v>1989</v>
      </c>
      <c r="GZ37" s="2" t="s">
        <v>141</v>
      </c>
    </row>
    <row r="38" spans="1:212" x14ac:dyDescent="0.45">
      <c r="A38" s="2" t="s">
        <v>670</v>
      </c>
      <c r="B38" s="2">
        <v>36</v>
      </c>
      <c r="C38" s="2" t="s">
        <v>668</v>
      </c>
      <c r="D38" s="2" t="s">
        <v>118</v>
      </c>
      <c r="E38" s="2" t="s">
        <v>359</v>
      </c>
      <c r="G38" s="2"/>
      <c r="I38" s="2" t="s">
        <v>119</v>
      </c>
      <c r="J38" s="2" t="s">
        <v>669</v>
      </c>
      <c r="K38" s="2">
        <v>463</v>
      </c>
      <c r="L38" s="2">
        <v>0</v>
      </c>
      <c r="M38" s="2" t="s">
        <v>122</v>
      </c>
      <c r="N38" s="2" t="s">
        <v>123</v>
      </c>
      <c r="P38" s="2"/>
      <c r="AD38" s="2" t="s">
        <v>124</v>
      </c>
      <c r="AE38" s="2" t="s">
        <v>445</v>
      </c>
      <c r="AF38" s="2">
        <v>2019</v>
      </c>
      <c r="AG38" s="2" t="s">
        <v>148</v>
      </c>
      <c r="AH38" s="2" t="s">
        <v>601</v>
      </c>
      <c r="AI38" s="2" t="s">
        <v>162</v>
      </c>
      <c r="AJ38" s="2" t="s">
        <v>162</v>
      </c>
      <c r="AK38" s="2" t="s">
        <v>129</v>
      </c>
      <c r="AL38" s="2" t="s">
        <v>129</v>
      </c>
      <c r="AM38" s="2" t="s">
        <v>129</v>
      </c>
      <c r="AN38" s="2">
        <v>4</v>
      </c>
      <c r="AO38" s="2" t="s">
        <v>152</v>
      </c>
      <c r="AP38" s="2" t="s">
        <v>131</v>
      </c>
      <c r="AQ38" s="2" t="s">
        <v>671</v>
      </c>
      <c r="AR38" s="2" t="s">
        <v>672</v>
      </c>
      <c r="AS38" s="2" t="s">
        <v>673</v>
      </c>
      <c r="AT38" s="2" t="s">
        <v>157</v>
      </c>
      <c r="AV38" s="2" t="s">
        <v>123</v>
      </c>
      <c r="AW38" s="2" t="s">
        <v>132</v>
      </c>
      <c r="CP38" s="2" t="s">
        <v>123</v>
      </c>
      <c r="CZ38" s="2" t="s">
        <v>123</v>
      </c>
      <c r="DJ38" s="2" t="s">
        <v>123</v>
      </c>
      <c r="EM38" s="2" t="s">
        <v>123</v>
      </c>
      <c r="EN38" s="2" t="s">
        <v>180</v>
      </c>
      <c r="EO38" s="2" t="s">
        <v>132</v>
      </c>
      <c r="FM38" s="2" t="s">
        <v>123</v>
      </c>
      <c r="FN38" s="2" t="s">
        <v>132</v>
      </c>
      <c r="FP38" s="2" t="s">
        <v>132</v>
      </c>
      <c r="GU38" s="2" t="s">
        <v>674</v>
      </c>
      <c r="GV38" s="2" t="s">
        <v>675</v>
      </c>
      <c r="GW38" s="2" t="s">
        <v>676</v>
      </c>
      <c r="GX38" s="2" t="s">
        <v>140</v>
      </c>
      <c r="GY38" s="2">
        <v>1994</v>
      </c>
      <c r="GZ38" s="2" t="s">
        <v>483</v>
      </c>
    </row>
    <row r="39" spans="1:212" x14ac:dyDescent="0.45">
      <c r="A39" s="2" t="s">
        <v>681</v>
      </c>
      <c r="B39" s="2">
        <v>37</v>
      </c>
      <c r="C39" s="2" t="s">
        <v>679</v>
      </c>
      <c r="D39" s="2" t="s">
        <v>118</v>
      </c>
      <c r="E39" s="2" t="s">
        <v>359</v>
      </c>
      <c r="G39" s="2"/>
      <c r="I39" s="2" t="s">
        <v>119</v>
      </c>
      <c r="J39" s="2" t="s">
        <v>680</v>
      </c>
      <c r="K39" s="2">
        <v>770</v>
      </c>
      <c r="L39" s="2">
        <v>0</v>
      </c>
      <c r="M39" s="2" t="s">
        <v>122</v>
      </c>
      <c r="N39" s="2" t="s">
        <v>123</v>
      </c>
      <c r="P39" s="2"/>
      <c r="AD39" s="2" t="s">
        <v>124</v>
      </c>
      <c r="AE39" s="2" t="s">
        <v>682</v>
      </c>
      <c r="AF39" s="2">
        <v>2017</v>
      </c>
      <c r="AG39" s="2" t="s">
        <v>148</v>
      </c>
      <c r="AH39" s="2" t="s">
        <v>601</v>
      </c>
      <c r="AI39" s="2" t="s">
        <v>169</v>
      </c>
      <c r="AJ39" s="2" t="s">
        <v>169</v>
      </c>
      <c r="AK39" s="2" t="s">
        <v>150</v>
      </c>
      <c r="AL39" s="2" t="s">
        <v>236</v>
      </c>
      <c r="AM39" s="2" t="s">
        <v>169</v>
      </c>
      <c r="AN39" s="2" t="s">
        <v>683</v>
      </c>
      <c r="AO39" s="2" t="s">
        <v>131</v>
      </c>
      <c r="AP39" s="2" t="s">
        <v>153</v>
      </c>
      <c r="AQ39" s="2" t="s">
        <v>684</v>
      </c>
      <c r="AR39" s="2" t="s">
        <v>685</v>
      </c>
      <c r="AS39" s="2" t="s">
        <v>686</v>
      </c>
      <c r="AT39" s="2" t="s">
        <v>157</v>
      </c>
      <c r="AV39" s="2" t="s">
        <v>123</v>
      </c>
      <c r="AW39" s="2" t="s">
        <v>132</v>
      </c>
      <c r="CP39" s="2" t="s">
        <v>123</v>
      </c>
      <c r="CZ39" s="2" t="s">
        <v>123</v>
      </c>
      <c r="DJ39" s="2" t="s">
        <v>123</v>
      </c>
      <c r="EM39" s="2" t="s">
        <v>123</v>
      </c>
      <c r="EN39" s="2" t="s">
        <v>180</v>
      </c>
      <c r="EO39" s="2" t="s">
        <v>132</v>
      </c>
      <c r="FM39" s="2" t="s">
        <v>123</v>
      </c>
      <c r="FN39" s="2" t="s">
        <v>132</v>
      </c>
      <c r="FP39" s="2" t="s">
        <v>132</v>
      </c>
      <c r="GU39" s="2" t="s">
        <v>687</v>
      </c>
      <c r="GV39" s="2" t="s">
        <v>688</v>
      </c>
      <c r="GW39" s="2" t="s">
        <v>689</v>
      </c>
      <c r="GX39" s="2" t="s">
        <v>140</v>
      </c>
      <c r="GY39" s="2">
        <v>1994</v>
      </c>
      <c r="GZ39" s="2" t="s">
        <v>246</v>
      </c>
      <c r="HB39" s="2" t="s">
        <v>142</v>
      </c>
      <c r="HC39" s="2" t="s">
        <v>142</v>
      </c>
    </row>
    <row r="40" spans="1:212" x14ac:dyDescent="0.45">
      <c r="A40" s="2" t="s">
        <v>700</v>
      </c>
      <c r="B40" s="2">
        <v>38</v>
      </c>
      <c r="C40" s="2" t="s">
        <v>698</v>
      </c>
      <c r="D40" s="2" t="s">
        <v>118</v>
      </c>
      <c r="E40" s="2" t="s">
        <v>359</v>
      </c>
      <c r="G40" s="2"/>
      <c r="I40" s="2" t="s">
        <v>119</v>
      </c>
      <c r="J40" s="2" t="s">
        <v>699</v>
      </c>
      <c r="K40" s="2">
        <v>1910</v>
      </c>
      <c r="L40" s="2">
        <v>0</v>
      </c>
      <c r="M40" s="2" t="s">
        <v>122</v>
      </c>
      <c r="N40" s="2" t="s">
        <v>123</v>
      </c>
      <c r="P40" s="2"/>
      <c r="AD40" s="2" t="s">
        <v>124</v>
      </c>
      <c r="AE40" s="2" t="s">
        <v>701</v>
      </c>
      <c r="AF40" s="2">
        <v>2020</v>
      </c>
      <c r="AG40" s="2" t="s">
        <v>148</v>
      </c>
      <c r="AH40" s="2" t="s">
        <v>702</v>
      </c>
      <c r="AI40" s="2" t="s">
        <v>162</v>
      </c>
      <c r="AJ40" s="2" t="s">
        <v>162</v>
      </c>
      <c r="AK40" s="2" t="s">
        <v>236</v>
      </c>
      <c r="AL40" s="2" t="s">
        <v>236</v>
      </c>
      <c r="AM40" s="2" t="s">
        <v>132</v>
      </c>
      <c r="AN40" s="2" t="s">
        <v>703</v>
      </c>
      <c r="AO40" s="2" t="s">
        <v>131</v>
      </c>
      <c r="AP40" s="2" t="s">
        <v>132</v>
      </c>
      <c r="AQ40" s="2" t="s">
        <v>704</v>
      </c>
      <c r="AR40" s="2" t="s">
        <v>705</v>
      </c>
      <c r="AS40" s="2" t="s">
        <v>706</v>
      </c>
      <c r="AT40" s="2" t="s">
        <v>157</v>
      </c>
      <c r="AV40" s="2" t="s">
        <v>123</v>
      </c>
      <c r="AW40" s="2" t="s">
        <v>132</v>
      </c>
      <c r="CP40" s="2" t="s">
        <v>123</v>
      </c>
      <c r="CZ40" s="2" t="s">
        <v>123</v>
      </c>
      <c r="DJ40" s="2" t="s">
        <v>123</v>
      </c>
      <c r="EM40" s="2" t="s">
        <v>123</v>
      </c>
      <c r="EN40" s="2" t="s">
        <v>180</v>
      </c>
      <c r="EO40" s="2" t="s">
        <v>132</v>
      </c>
      <c r="FM40" s="2" t="s">
        <v>123</v>
      </c>
      <c r="FN40" s="2" t="s">
        <v>132</v>
      </c>
      <c r="FP40" s="2" t="s">
        <v>132</v>
      </c>
      <c r="GU40" s="2" t="s">
        <v>707</v>
      </c>
      <c r="GV40" s="2" t="s">
        <v>708</v>
      </c>
      <c r="GW40" s="2" t="s">
        <v>709</v>
      </c>
      <c r="GX40" s="2" t="s">
        <v>140</v>
      </c>
      <c r="GY40" s="2">
        <v>1994</v>
      </c>
      <c r="GZ40" s="2" t="s">
        <v>220</v>
      </c>
    </row>
    <row r="41" spans="1:212" x14ac:dyDescent="0.45">
      <c r="A41" s="2" t="s">
        <v>716</v>
      </c>
      <c r="B41" s="2">
        <v>39</v>
      </c>
      <c r="C41" s="2" t="s">
        <v>714</v>
      </c>
      <c r="D41" s="2" t="s">
        <v>118</v>
      </c>
      <c r="G41" s="2"/>
      <c r="I41" s="2" t="s">
        <v>119</v>
      </c>
      <c r="J41" s="2" t="s">
        <v>715</v>
      </c>
      <c r="K41" s="2">
        <v>1868</v>
      </c>
      <c r="L41" s="2">
        <v>0</v>
      </c>
      <c r="M41" s="2" t="s">
        <v>122</v>
      </c>
      <c r="N41" s="2" t="s">
        <v>123</v>
      </c>
      <c r="P41" s="2"/>
      <c r="AD41" s="2" t="s">
        <v>124</v>
      </c>
      <c r="AE41" s="2" t="s">
        <v>191</v>
      </c>
      <c r="AF41" s="2">
        <v>2008</v>
      </c>
      <c r="AG41" s="2" t="s">
        <v>126</v>
      </c>
      <c r="AH41" s="2" t="s">
        <v>717</v>
      </c>
      <c r="AI41" s="2" t="s">
        <v>162</v>
      </c>
      <c r="AJ41" s="2" t="s">
        <v>151</v>
      </c>
      <c r="AK41" s="2" t="s">
        <v>162</v>
      </c>
      <c r="AL41" s="2" t="s">
        <v>236</v>
      </c>
      <c r="AM41" s="2" t="s">
        <v>236</v>
      </c>
      <c r="AN41" s="2" t="s">
        <v>718</v>
      </c>
      <c r="AO41" s="2" t="s">
        <v>131</v>
      </c>
      <c r="AP41" s="2" t="s">
        <v>302</v>
      </c>
      <c r="AQ41" s="2" t="s">
        <v>719</v>
      </c>
      <c r="AR41" s="2" t="s">
        <v>720</v>
      </c>
      <c r="AS41" s="2" t="s">
        <v>721</v>
      </c>
      <c r="AT41" s="2" t="s">
        <v>172</v>
      </c>
      <c r="AV41" s="2" t="s">
        <v>123</v>
      </c>
      <c r="CP41" s="2" t="s">
        <v>123</v>
      </c>
      <c r="CZ41" s="2" t="s">
        <v>214</v>
      </c>
      <c r="DA41" s="2" t="s">
        <v>722</v>
      </c>
      <c r="DB41" s="2" t="s">
        <v>723</v>
      </c>
      <c r="DC41" s="2" t="s">
        <v>150</v>
      </c>
      <c r="DD41" s="2" t="s">
        <v>162</v>
      </c>
      <c r="DE41" s="2" t="s">
        <v>151</v>
      </c>
      <c r="DF41" s="2" t="s">
        <v>162</v>
      </c>
      <c r="DG41" s="2" t="s">
        <v>128</v>
      </c>
      <c r="DH41" s="2" t="s">
        <v>128</v>
      </c>
      <c r="DI41" s="2" t="s">
        <v>724</v>
      </c>
      <c r="DJ41" s="2" t="s">
        <v>123</v>
      </c>
      <c r="EM41" s="2" t="s">
        <v>177</v>
      </c>
      <c r="EN41" s="2" t="s">
        <v>180</v>
      </c>
      <c r="EO41" s="2">
        <v>1</v>
      </c>
      <c r="EP41" s="2" t="s">
        <v>722</v>
      </c>
      <c r="EQ41" s="2" t="s">
        <v>162</v>
      </c>
      <c r="ER41" s="2" t="s">
        <v>150</v>
      </c>
      <c r="ES41" s="2" t="s">
        <v>236</v>
      </c>
      <c r="ET41" s="2" t="s">
        <v>178</v>
      </c>
      <c r="EU41" s="2" t="s">
        <v>725</v>
      </c>
      <c r="EV41" s="2" t="s">
        <v>726</v>
      </c>
      <c r="EW41" s="2" t="s">
        <v>173</v>
      </c>
      <c r="FM41" s="2" t="s">
        <v>123</v>
      </c>
      <c r="FN41" s="2" t="s">
        <v>132</v>
      </c>
      <c r="FP41" s="2" t="s">
        <v>132</v>
      </c>
      <c r="GU41" s="2" t="s">
        <v>727</v>
      </c>
      <c r="GV41" s="2" t="s">
        <v>728</v>
      </c>
      <c r="GW41" s="2" t="s">
        <v>729</v>
      </c>
      <c r="GX41" s="2" t="s">
        <v>186</v>
      </c>
      <c r="GY41" s="2">
        <v>1983</v>
      </c>
      <c r="GZ41" s="2" t="s">
        <v>141</v>
      </c>
      <c r="HB41" s="2" t="s">
        <v>730</v>
      </c>
      <c r="HD41" s="2" t="s">
        <v>731</v>
      </c>
    </row>
    <row r="42" spans="1:212" x14ac:dyDescent="0.45">
      <c r="A42" s="2" t="s">
        <v>741</v>
      </c>
      <c r="B42" s="2">
        <v>40</v>
      </c>
      <c r="C42" s="2" t="s">
        <v>739</v>
      </c>
      <c r="D42" s="2" t="s">
        <v>118</v>
      </c>
      <c r="G42" s="2"/>
      <c r="I42" s="2" t="s">
        <v>119</v>
      </c>
      <c r="J42" s="2" t="s">
        <v>740</v>
      </c>
      <c r="K42" s="2">
        <v>341</v>
      </c>
      <c r="L42" s="2">
        <v>0</v>
      </c>
      <c r="M42" s="2" t="s">
        <v>122</v>
      </c>
      <c r="N42" s="2" t="s">
        <v>123</v>
      </c>
      <c r="P42" s="2"/>
      <c r="AD42" s="2" t="s">
        <v>124</v>
      </c>
      <c r="AE42" s="2" t="s">
        <v>742</v>
      </c>
      <c r="AF42" s="2">
        <v>2007</v>
      </c>
      <c r="AG42" s="2" t="s">
        <v>148</v>
      </c>
      <c r="AH42" s="2" t="s">
        <v>743</v>
      </c>
      <c r="AI42" s="2" t="s">
        <v>236</v>
      </c>
      <c r="AJ42" s="2" t="s">
        <v>129</v>
      </c>
      <c r="AK42" s="2" t="s">
        <v>128</v>
      </c>
      <c r="AL42" s="2" t="s">
        <v>162</v>
      </c>
      <c r="AM42" s="2" t="s">
        <v>150</v>
      </c>
      <c r="AN42" s="2" t="s">
        <v>237</v>
      </c>
      <c r="AO42" s="2" t="s">
        <v>302</v>
      </c>
      <c r="AP42" s="2" t="s">
        <v>153</v>
      </c>
      <c r="AQ42" s="2" t="s">
        <v>744</v>
      </c>
      <c r="AR42" s="2" t="s">
        <v>745</v>
      </c>
      <c r="AS42" s="2" t="s">
        <v>746</v>
      </c>
      <c r="AT42" s="2" t="s">
        <v>172</v>
      </c>
      <c r="AV42" s="2" t="s">
        <v>123</v>
      </c>
      <c r="AW42" s="2" t="s">
        <v>132</v>
      </c>
      <c r="CP42" s="2" t="s">
        <v>387</v>
      </c>
      <c r="CQ42" s="2" t="s">
        <v>747</v>
      </c>
      <c r="CR42" s="2" t="s">
        <v>748</v>
      </c>
      <c r="CS42" s="2" t="s">
        <v>150</v>
      </c>
      <c r="CT42" s="2" t="s">
        <v>150</v>
      </c>
      <c r="CU42" s="2" t="s">
        <v>169</v>
      </c>
      <c r="CV42" s="2" t="s">
        <v>169</v>
      </c>
      <c r="CW42" s="2" t="s">
        <v>150</v>
      </c>
      <c r="CX42" s="2" t="s">
        <v>150</v>
      </c>
      <c r="CY42" s="2" t="s">
        <v>749</v>
      </c>
      <c r="CZ42" s="2" t="s">
        <v>123</v>
      </c>
      <c r="DJ42" s="2" t="s">
        <v>123</v>
      </c>
      <c r="EM42" s="2" t="s">
        <v>123</v>
      </c>
      <c r="EN42" s="2" t="s">
        <v>178</v>
      </c>
      <c r="EO42" s="2" t="s">
        <v>132</v>
      </c>
      <c r="FM42" s="2" t="s">
        <v>123</v>
      </c>
      <c r="FN42" s="2" t="s">
        <v>132</v>
      </c>
      <c r="FP42" s="2" t="s">
        <v>132</v>
      </c>
      <c r="GU42" s="2" t="s">
        <v>750</v>
      </c>
      <c r="GV42" s="2" t="s">
        <v>751</v>
      </c>
      <c r="GW42" s="2" t="s">
        <v>752</v>
      </c>
      <c r="GX42" s="2" t="s">
        <v>186</v>
      </c>
      <c r="GY42" s="2">
        <v>1983</v>
      </c>
      <c r="GZ42" s="2" t="s">
        <v>398</v>
      </c>
      <c r="HB42" s="2" t="s">
        <v>753</v>
      </c>
      <c r="HC42" s="2" t="s">
        <v>532</v>
      </c>
    </row>
    <row r="43" spans="1:212" x14ac:dyDescent="0.45">
      <c r="A43" s="2" t="s">
        <v>757</v>
      </c>
      <c r="B43" s="2">
        <v>41</v>
      </c>
      <c r="C43" s="2" t="s">
        <v>754</v>
      </c>
      <c r="D43" s="2" t="s">
        <v>118</v>
      </c>
      <c r="E43" s="2" t="s">
        <v>755</v>
      </c>
      <c r="G43" s="2"/>
      <c r="I43" s="2" t="s">
        <v>119</v>
      </c>
      <c r="J43" s="2" t="s">
        <v>756</v>
      </c>
      <c r="K43" s="2">
        <v>487</v>
      </c>
      <c r="L43" s="2">
        <v>0</v>
      </c>
      <c r="M43" s="2" t="s">
        <v>122</v>
      </c>
      <c r="N43" s="2" t="s">
        <v>416</v>
      </c>
      <c r="O43" s="2" t="s">
        <v>147</v>
      </c>
      <c r="P43" s="2" t="s">
        <v>148</v>
      </c>
      <c r="Q43" s="2" t="s">
        <v>758</v>
      </c>
      <c r="R43" s="2" t="s">
        <v>236</v>
      </c>
      <c r="S43" s="2" t="s">
        <v>129</v>
      </c>
      <c r="T43" s="2" t="s">
        <v>236</v>
      </c>
      <c r="U43" s="2" t="s">
        <v>718</v>
      </c>
      <c r="V43" s="2" t="s">
        <v>759</v>
      </c>
      <c r="W43" s="2" t="s">
        <v>194</v>
      </c>
      <c r="X43" s="2" t="s">
        <v>760</v>
      </c>
      <c r="Y43" s="2" t="s">
        <v>761</v>
      </c>
      <c r="Z43" s="2" t="s">
        <v>762</v>
      </c>
      <c r="AA43" s="2" t="s">
        <v>157</v>
      </c>
      <c r="AC43" s="2" t="s">
        <v>763</v>
      </c>
      <c r="AD43" s="2" t="s">
        <v>124</v>
      </c>
      <c r="AE43" s="2" t="s">
        <v>223</v>
      </c>
      <c r="AF43" s="2">
        <v>2012</v>
      </c>
      <c r="AG43" s="2" t="s">
        <v>148</v>
      </c>
      <c r="AH43" s="2" t="s">
        <v>764</v>
      </c>
      <c r="AI43" s="2" t="s">
        <v>236</v>
      </c>
      <c r="AJ43" s="2" t="s">
        <v>236</v>
      </c>
      <c r="AK43" s="2" t="s">
        <v>236</v>
      </c>
      <c r="AL43" s="2" t="s">
        <v>129</v>
      </c>
      <c r="AM43" s="2" t="s">
        <v>236</v>
      </c>
      <c r="AN43" s="2" t="s">
        <v>237</v>
      </c>
      <c r="AO43" s="2" t="s">
        <v>302</v>
      </c>
      <c r="AP43" s="2" t="s">
        <v>153</v>
      </c>
      <c r="AQ43" s="2" t="s">
        <v>765</v>
      </c>
      <c r="AR43" s="2" t="s">
        <v>766</v>
      </c>
      <c r="AS43" s="2" t="s">
        <v>767</v>
      </c>
      <c r="AT43" s="2" t="s">
        <v>230</v>
      </c>
      <c r="AV43" s="2" t="s">
        <v>123</v>
      </c>
      <c r="AW43" s="2" t="s">
        <v>132</v>
      </c>
      <c r="CP43" s="2" t="s">
        <v>123</v>
      </c>
      <c r="CZ43" s="2" t="s">
        <v>123</v>
      </c>
      <c r="DJ43" s="2" t="s">
        <v>123</v>
      </c>
      <c r="EM43" s="2" t="s">
        <v>123</v>
      </c>
      <c r="EN43" s="2" t="s">
        <v>180</v>
      </c>
      <c r="EO43" s="2" t="s">
        <v>132</v>
      </c>
      <c r="FM43" s="2" t="s">
        <v>123</v>
      </c>
      <c r="FN43" s="2" t="s">
        <v>132</v>
      </c>
      <c r="FP43" s="2" t="s">
        <v>132</v>
      </c>
      <c r="GU43" s="2" t="s">
        <v>768</v>
      </c>
      <c r="GV43" s="2" t="s">
        <v>769</v>
      </c>
      <c r="GW43" s="2" t="s">
        <v>770</v>
      </c>
      <c r="GX43" s="2" t="s">
        <v>186</v>
      </c>
      <c r="GY43" s="2">
        <v>1990</v>
      </c>
      <c r="GZ43" s="2" t="s">
        <v>141</v>
      </c>
      <c r="HB43" s="2" t="s">
        <v>771</v>
      </c>
      <c r="HC43" s="2" t="s">
        <v>772</v>
      </c>
    </row>
    <row r="44" spans="1:212" x14ac:dyDescent="0.45">
      <c r="A44" s="2" t="s">
        <v>776</v>
      </c>
      <c r="B44" s="2">
        <v>42</v>
      </c>
      <c r="C44" s="2" t="s">
        <v>773</v>
      </c>
      <c r="D44" s="2" t="s">
        <v>118</v>
      </c>
      <c r="E44" s="2" t="s">
        <v>774</v>
      </c>
      <c r="G44" s="2"/>
      <c r="I44" s="2" t="s">
        <v>119</v>
      </c>
      <c r="J44" s="2" t="s">
        <v>775</v>
      </c>
      <c r="K44" s="2">
        <v>1636</v>
      </c>
      <c r="L44" s="2">
        <v>0</v>
      </c>
      <c r="M44" s="2" t="s">
        <v>122</v>
      </c>
      <c r="N44" s="2" t="s">
        <v>123</v>
      </c>
      <c r="P44" s="2"/>
      <c r="AD44" s="2" t="s">
        <v>124</v>
      </c>
      <c r="AE44" s="2" t="s">
        <v>777</v>
      </c>
      <c r="AF44" s="2">
        <v>2013</v>
      </c>
      <c r="AG44" s="2" t="s">
        <v>148</v>
      </c>
      <c r="AH44" s="2" t="s">
        <v>429</v>
      </c>
      <c r="AI44" s="2" t="s">
        <v>128</v>
      </c>
      <c r="AJ44" s="2" t="s">
        <v>151</v>
      </c>
      <c r="AK44" s="2" t="s">
        <v>162</v>
      </c>
      <c r="AL44" s="2" t="s">
        <v>129</v>
      </c>
      <c r="AM44" s="2" t="s">
        <v>236</v>
      </c>
      <c r="AN44" s="2">
        <v>0</v>
      </c>
      <c r="AO44" s="2" t="s">
        <v>131</v>
      </c>
      <c r="AP44" s="2" t="s">
        <v>131</v>
      </c>
      <c r="AQ44" s="2" t="s">
        <v>778</v>
      </c>
      <c r="AR44" s="2" t="s">
        <v>779</v>
      </c>
      <c r="AS44" s="2" t="s">
        <v>780</v>
      </c>
      <c r="AT44" s="2" t="s">
        <v>157</v>
      </c>
      <c r="AV44" s="2" t="s">
        <v>123</v>
      </c>
      <c r="CP44" s="2" t="s">
        <v>123</v>
      </c>
      <c r="CZ44" s="2" t="s">
        <v>214</v>
      </c>
      <c r="DA44" s="2" t="s">
        <v>777</v>
      </c>
      <c r="DB44" s="2" t="s">
        <v>781</v>
      </c>
      <c r="DC44" s="2" t="s">
        <v>129</v>
      </c>
      <c r="DD44" s="2" t="s">
        <v>150</v>
      </c>
      <c r="DE44" s="2" t="s">
        <v>129</v>
      </c>
      <c r="DF44" s="2" t="s">
        <v>236</v>
      </c>
      <c r="DG44" s="2" t="s">
        <v>151</v>
      </c>
      <c r="DH44" s="2" t="s">
        <v>151</v>
      </c>
      <c r="DI44" s="2" t="s">
        <v>782</v>
      </c>
      <c r="DJ44" s="2" t="s">
        <v>123</v>
      </c>
      <c r="EM44" s="2" t="s">
        <v>177</v>
      </c>
      <c r="EN44" s="2" t="s">
        <v>180</v>
      </c>
      <c r="EO44" s="2">
        <v>1</v>
      </c>
      <c r="EP44" s="2" t="s">
        <v>783</v>
      </c>
      <c r="EQ44" s="2" t="s">
        <v>150</v>
      </c>
      <c r="ER44" s="2" t="s">
        <v>150</v>
      </c>
      <c r="ES44" s="2" t="s">
        <v>236</v>
      </c>
      <c r="ET44" s="2" t="s">
        <v>178</v>
      </c>
      <c r="EU44" s="2" t="s">
        <v>784</v>
      </c>
      <c r="EV44" s="2" t="s">
        <v>785</v>
      </c>
      <c r="EW44" s="2" t="s">
        <v>173</v>
      </c>
      <c r="FM44" s="2" t="s">
        <v>123</v>
      </c>
      <c r="FN44" s="2" t="s">
        <v>132</v>
      </c>
      <c r="GU44" s="2" t="s">
        <v>786</v>
      </c>
      <c r="GV44" s="2" t="s">
        <v>787</v>
      </c>
      <c r="GW44" s="2" t="s">
        <v>788</v>
      </c>
      <c r="GX44" s="2" t="s">
        <v>140</v>
      </c>
      <c r="GY44" s="2">
        <v>1988</v>
      </c>
      <c r="GZ44" s="2" t="s">
        <v>246</v>
      </c>
      <c r="HB44" s="2" t="s">
        <v>789</v>
      </c>
      <c r="HD44" s="2" t="s">
        <v>790</v>
      </c>
    </row>
    <row r="45" spans="1:212" x14ac:dyDescent="0.45">
      <c r="A45" s="2" t="s">
        <v>792</v>
      </c>
      <c r="B45" s="2">
        <v>43</v>
      </c>
      <c r="C45" s="2" t="s">
        <v>773</v>
      </c>
      <c r="D45" s="2" t="s">
        <v>118</v>
      </c>
      <c r="E45" s="2" t="s">
        <v>774</v>
      </c>
      <c r="G45" s="2"/>
      <c r="I45" s="2" t="s">
        <v>119</v>
      </c>
      <c r="J45" s="2" t="s">
        <v>791</v>
      </c>
      <c r="K45" s="2">
        <v>333</v>
      </c>
      <c r="L45" s="2">
        <v>0</v>
      </c>
      <c r="M45" s="2" t="s">
        <v>122</v>
      </c>
      <c r="N45" s="2" t="s">
        <v>123</v>
      </c>
      <c r="P45" s="2"/>
      <c r="AD45" s="2" t="s">
        <v>124</v>
      </c>
      <c r="AE45" s="2" t="s">
        <v>742</v>
      </c>
      <c r="AF45" s="2">
        <v>2012</v>
      </c>
      <c r="AG45" s="2" t="s">
        <v>148</v>
      </c>
      <c r="AH45" s="2" t="s">
        <v>793</v>
      </c>
      <c r="AI45" s="2" t="s">
        <v>151</v>
      </c>
      <c r="AJ45" s="2" t="s">
        <v>151</v>
      </c>
      <c r="AK45" s="2" t="s">
        <v>129</v>
      </c>
      <c r="AL45" s="2" t="s">
        <v>129</v>
      </c>
      <c r="AM45" s="2" t="s">
        <v>128</v>
      </c>
      <c r="AN45" s="2">
        <v>3</v>
      </c>
      <c r="AO45" s="2" t="s">
        <v>131</v>
      </c>
      <c r="AP45" s="2" t="s">
        <v>302</v>
      </c>
      <c r="AQ45" s="2" t="s">
        <v>386</v>
      </c>
      <c r="AR45" s="2" t="s">
        <v>794</v>
      </c>
      <c r="AS45" s="2" t="s">
        <v>780</v>
      </c>
      <c r="AT45" s="2" t="s">
        <v>157</v>
      </c>
      <c r="AV45" s="2" t="s">
        <v>123</v>
      </c>
      <c r="AW45" s="2" t="s">
        <v>132</v>
      </c>
      <c r="CP45" s="2" t="s">
        <v>123</v>
      </c>
      <c r="CZ45" s="2" t="s">
        <v>123</v>
      </c>
      <c r="DJ45" s="2" t="s">
        <v>123</v>
      </c>
      <c r="EM45" s="2" t="s">
        <v>123</v>
      </c>
      <c r="FM45" s="2" t="s">
        <v>123</v>
      </c>
      <c r="FN45" s="2" t="s">
        <v>132</v>
      </c>
      <c r="GU45" s="2" t="s">
        <v>786</v>
      </c>
      <c r="GV45" s="2" t="s">
        <v>787</v>
      </c>
      <c r="GW45" s="2" t="s">
        <v>788</v>
      </c>
      <c r="GX45" s="2" t="s">
        <v>186</v>
      </c>
      <c r="GY45" s="2">
        <v>1987</v>
      </c>
      <c r="GZ45" s="2" t="s">
        <v>141</v>
      </c>
      <c r="HB45" s="2" t="s">
        <v>795</v>
      </c>
    </row>
    <row r="46" spans="1:212" x14ac:dyDescent="0.45">
      <c r="A46" s="2" t="s">
        <v>799</v>
      </c>
      <c r="B46" s="2">
        <v>44</v>
      </c>
      <c r="C46" s="2" t="s">
        <v>796</v>
      </c>
      <c r="D46" s="2" t="s">
        <v>118</v>
      </c>
      <c r="E46" s="2" t="s">
        <v>797</v>
      </c>
      <c r="G46" s="2"/>
      <c r="I46" s="2" t="s">
        <v>119</v>
      </c>
      <c r="J46" s="2" t="s">
        <v>798</v>
      </c>
      <c r="K46" s="2">
        <v>2364</v>
      </c>
      <c r="L46" s="2">
        <v>0</v>
      </c>
      <c r="M46" s="2" t="s">
        <v>122</v>
      </c>
      <c r="N46" s="2" t="s">
        <v>123</v>
      </c>
      <c r="O46" s="2" t="s">
        <v>800</v>
      </c>
      <c r="P46" s="2"/>
      <c r="AD46" s="2" t="s">
        <v>124</v>
      </c>
      <c r="AE46" s="2" t="s">
        <v>800</v>
      </c>
      <c r="AF46" s="2">
        <v>2002</v>
      </c>
      <c r="AG46" s="2" t="s">
        <v>126</v>
      </c>
      <c r="AH46" s="2" t="s">
        <v>801</v>
      </c>
      <c r="AI46" s="2" t="s">
        <v>150</v>
      </c>
      <c r="AJ46" s="2" t="s">
        <v>162</v>
      </c>
      <c r="AK46" s="2" t="s">
        <v>151</v>
      </c>
      <c r="AL46" s="2" t="s">
        <v>129</v>
      </c>
      <c r="AM46" s="2" t="s">
        <v>236</v>
      </c>
      <c r="AN46" s="2">
        <v>3</v>
      </c>
      <c r="AO46" s="2" t="s">
        <v>152</v>
      </c>
      <c r="AP46" s="2" t="s">
        <v>152</v>
      </c>
      <c r="AQ46" s="2" t="s">
        <v>802</v>
      </c>
      <c r="AR46" s="2" t="s">
        <v>803</v>
      </c>
      <c r="AS46" s="2" t="s">
        <v>804</v>
      </c>
      <c r="AT46" s="2" t="s">
        <v>157</v>
      </c>
      <c r="AV46" s="2" t="s">
        <v>123</v>
      </c>
      <c r="CP46" s="2" t="s">
        <v>123</v>
      </c>
      <c r="CZ46" s="2" t="s">
        <v>123</v>
      </c>
      <c r="DJ46" s="2" t="s">
        <v>123</v>
      </c>
      <c r="EM46" s="2" t="s">
        <v>123</v>
      </c>
      <c r="FM46" s="2" t="s">
        <v>123</v>
      </c>
      <c r="FN46" s="2" t="s">
        <v>132</v>
      </c>
      <c r="GU46" s="2" t="s">
        <v>805</v>
      </c>
      <c r="GV46" s="2" t="s">
        <v>806</v>
      </c>
      <c r="GW46" s="2" t="s">
        <v>807</v>
      </c>
      <c r="GX46" s="2" t="s">
        <v>140</v>
      </c>
      <c r="GY46" s="2">
        <v>1978</v>
      </c>
      <c r="GZ46" s="2" t="s">
        <v>141</v>
      </c>
      <c r="HB46" s="2" t="s">
        <v>386</v>
      </c>
      <c r="HC46" s="2" t="s">
        <v>386</v>
      </c>
    </row>
    <row r="47" spans="1:212" x14ac:dyDescent="0.45">
      <c r="A47" s="2" t="s">
        <v>812</v>
      </c>
      <c r="B47" s="2">
        <v>45</v>
      </c>
      <c r="C47" s="2" t="s">
        <v>370</v>
      </c>
      <c r="D47" s="2" t="s">
        <v>118</v>
      </c>
      <c r="E47" s="2" t="s">
        <v>774</v>
      </c>
      <c r="G47" s="2"/>
      <c r="I47" s="2" t="s">
        <v>119</v>
      </c>
      <c r="J47" s="2" t="s">
        <v>811</v>
      </c>
      <c r="K47" s="2">
        <v>1671</v>
      </c>
      <c r="L47" s="2">
        <v>0</v>
      </c>
      <c r="M47" s="2" t="s">
        <v>122</v>
      </c>
      <c r="N47" s="2" t="s">
        <v>123</v>
      </c>
      <c r="P47" s="2"/>
      <c r="AD47" s="2" t="s">
        <v>124</v>
      </c>
      <c r="AE47" s="2" t="s">
        <v>813</v>
      </c>
      <c r="AF47" s="2">
        <v>1956</v>
      </c>
      <c r="AG47" s="2" t="s">
        <v>148</v>
      </c>
      <c r="AH47" s="2" t="s">
        <v>601</v>
      </c>
      <c r="AI47" s="2" t="s">
        <v>162</v>
      </c>
      <c r="AJ47" s="2" t="s">
        <v>162</v>
      </c>
      <c r="AK47" s="2" t="s">
        <v>150</v>
      </c>
      <c r="AL47" s="2" t="s">
        <v>236</v>
      </c>
      <c r="AM47" s="2" t="s">
        <v>236</v>
      </c>
      <c r="AN47" s="2" t="s">
        <v>814</v>
      </c>
      <c r="AO47" s="2" t="s">
        <v>131</v>
      </c>
      <c r="AP47" s="2" t="s">
        <v>131</v>
      </c>
      <c r="AR47" s="2" t="s">
        <v>815</v>
      </c>
      <c r="AS47" s="2" t="s">
        <v>816</v>
      </c>
      <c r="AT47" s="2" t="s">
        <v>172</v>
      </c>
      <c r="AU47" s="2" t="s">
        <v>817</v>
      </c>
      <c r="AV47" s="2" t="s">
        <v>123</v>
      </c>
      <c r="CP47" s="2" t="s">
        <v>123</v>
      </c>
      <c r="CZ47" s="2" t="s">
        <v>123</v>
      </c>
      <c r="DJ47" s="2" t="s">
        <v>123</v>
      </c>
      <c r="EM47" s="2" t="s">
        <v>123</v>
      </c>
      <c r="EN47" s="2" t="s">
        <v>180</v>
      </c>
      <c r="EO47" s="2" t="s">
        <v>132</v>
      </c>
      <c r="FM47" s="2" t="s">
        <v>123</v>
      </c>
      <c r="FN47" s="2" t="s">
        <v>132</v>
      </c>
      <c r="FP47" s="2" t="s">
        <v>132</v>
      </c>
      <c r="GU47" s="2" t="s">
        <v>818</v>
      </c>
      <c r="GV47" s="2" t="s">
        <v>819</v>
      </c>
      <c r="GW47" s="2" t="s">
        <v>820</v>
      </c>
      <c r="GX47" s="2" t="s">
        <v>140</v>
      </c>
      <c r="GY47" s="2">
        <v>1933</v>
      </c>
      <c r="GZ47" s="2" t="s">
        <v>220</v>
      </c>
    </row>
    <row r="48" spans="1:212" x14ac:dyDescent="0.45">
      <c r="A48" s="2" t="s">
        <v>822</v>
      </c>
      <c r="B48" s="2">
        <v>46</v>
      </c>
      <c r="C48" s="2" t="s">
        <v>370</v>
      </c>
      <c r="D48" s="2" t="s">
        <v>118</v>
      </c>
      <c r="E48" s="2" t="s">
        <v>774</v>
      </c>
      <c r="G48" s="2"/>
      <c r="I48" s="2" t="s">
        <v>119</v>
      </c>
      <c r="J48" s="2" t="s">
        <v>821</v>
      </c>
      <c r="K48" s="2">
        <v>3447</v>
      </c>
      <c r="L48" s="2">
        <v>0</v>
      </c>
      <c r="M48" s="2" t="s">
        <v>122</v>
      </c>
      <c r="N48" s="2" t="s">
        <v>123</v>
      </c>
      <c r="P48" s="2"/>
      <c r="AD48" s="2" t="s">
        <v>124</v>
      </c>
      <c r="AE48" s="2" t="s">
        <v>813</v>
      </c>
      <c r="AF48" s="2">
        <v>1960</v>
      </c>
      <c r="AG48" s="2" t="s">
        <v>148</v>
      </c>
      <c r="AH48" s="2" t="s">
        <v>823</v>
      </c>
      <c r="AI48" s="2" t="s">
        <v>150</v>
      </c>
      <c r="AJ48" s="2" t="s">
        <v>150</v>
      </c>
      <c r="AK48" s="2" t="s">
        <v>151</v>
      </c>
      <c r="AL48" s="2" t="s">
        <v>236</v>
      </c>
      <c r="AM48" s="2" t="s">
        <v>236</v>
      </c>
      <c r="AN48" s="2" t="s">
        <v>814</v>
      </c>
      <c r="AO48" s="2" t="s">
        <v>131</v>
      </c>
      <c r="AP48" s="2" t="s">
        <v>131</v>
      </c>
      <c r="AR48" s="2" t="s">
        <v>824</v>
      </c>
      <c r="AS48" s="2" t="s">
        <v>825</v>
      </c>
      <c r="AT48" s="2" t="s">
        <v>157</v>
      </c>
      <c r="AV48" s="2" t="s">
        <v>123</v>
      </c>
      <c r="CP48" s="2" t="s">
        <v>123</v>
      </c>
      <c r="CZ48" s="2" t="s">
        <v>123</v>
      </c>
      <c r="DJ48" s="2" t="s">
        <v>123</v>
      </c>
      <c r="EM48" s="2" t="s">
        <v>123</v>
      </c>
      <c r="FM48" s="2" t="s">
        <v>123</v>
      </c>
      <c r="FN48" s="2" t="s">
        <v>132</v>
      </c>
      <c r="GU48" s="2" t="s">
        <v>826</v>
      </c>
      <c r="GV48" s="2" t="s">
        <v>824</v>
      </c>
      <c r="GW48" s="2" t="s">
        <v>827</v>
      </c>
      <c r="GX48" s="2" t="s">
        <v>186</v>
      </c>
      <c r="GY48" s="2">
        <v>1934</v>
      </c>
      <c r="GZ48" s="2" t="s">
        <v>220</v>
      </c>
    </row>
    <row r="49" spans="1:211" x14ac:dyDescent="0.45">
      <c r="A49" s="2" t="s">
        <v>830</v>
      </c>
      <c r="B49" s="2">
        <v>47</v>
      </c>
      <c r="C49" s="2" t="s">
        <v>828</v>
      </c>
      <c r="D49" s="2" t="s">
        <v>118</v>
      </c>
      <c r="G49" s="2"/>
      <c r="I49" s="2" t="s">
        <v>119</v>
      </c>
      <c r="J49" s="2" t="s">
        <v>829</v>
      </c>
      <c r="K49" s="2">
        <v>3349</v>
      </c>
      <c r="L49" s="2">
        <v>0</v>
      </c>
      <c r="M49" s="2" t="s">
        <v>122</v>
      </c>
      <c r="N49" s="2" t="s">
        <v>123</v>
      </c>
      <c r="P49" s="2"/>
      <c r="AD49" s="2" t="s">
        <v>123</v>
      </c>
      <c r="AV49" s="2" t="s">
        <v>123</v>
      </c>
      <c r="AW49" s="2" t="s">
        <v>132</v>
      </c>
      <c r="CP49" s="2" t="s">
        <v>123</v>
      </c>
      <c r="CZ49" s="2" t="s">
        <v>123</v>
      </c>
      <c r="DJ49" s="2" t="s">
        <v>123</v>
      </c>
      <c r="EM49" s="2" t="s">
        <v>177</v>
      </c>
      <c r="EN49" s="2" t="s">
        <v>178</v>
      </c>
      <c r="EO49" s="2">
        <v>1</v>
      </c>
      <c r="EP49" s="2" t="s">
        <v>191</v>
      </c>
      <c r="EQ49" s="2" t="s">
        <v>162</v>
      </c>
      <c r="ER49" s="2" t="s">
        <v>162</v>
      </c>
      <c r="ES49" s="2" t="s">
        <v>128</v>
      </c>
      <c r="ET49" s="2" t="s">
        <v>178</v>
      </c>
      <c r="EU49" s="2" t="s">
        <v>831</v>
      </c>
      <c r="EV49" s="2" t="s">
        <v>832</v>
      </c>
      <c r="EW49" s="2" t="s">
        <v>173</v>
      </c>
      <c r="FM49" s="2" t="s">
        <v>123</v>
      </c>
      <c r="FN49" s="2" t="s">
        <v>132</v>
      </c>
      <c r="FP49" s="2" t="s">
        <v>132</v>
      </c>
      <c r="GU49" s="2" t="s">
        <v>833</v>
      </c>
      <c r="GV49" s="2" t="s">
        <v>834</v>
      </c>
      <c r="GW49" s="2" t="s">
        <v>835</v>
      </c>
      <c r="GX49" s="2" t="s">
        <v>140</v>
      </c>
      <c r="GY49" s="2">
        <v>1977</v>
      </c>
      <c r="GZ49" s="2" t="s">
        <v>398</v>
      </c>
      <c r="HB49" s="2" t="s">
        <v>836</v>
      </c>
    </row>
    <row r="50" spans="1:211" x14ac:dyDescent="0.45">
      <c r="A50" s="2" t="s">
        <v>839</v>
      </c>
      <c r="B50" s="2">
        <v>48</v>
      </c>
      <c r="C50" s="2" t="s">
        <v>837</v>
      </c>
      <c r="D50" s="2" t="s">
        <v>118</v>
      </c>
      <c r="G50" s="2"/>
      <c r="I50" s="2" t="s">
        <v>119</v>
      </c>
      <c r="J50" s="2" t="s">
        <v>838</v>
      </c>
      <c r="K50" s="2">
        <v>3312</v>
      </c>
      <c r="L50" s="2">
        <v>0</v>
      </c>
      <c r="M50" s="2" t="s">
        <v>122</v>
      </c>
      <c r="N50" s="2" t="s">
        <v>123</v>
      </c>
      <c r="P50" s="2"/>
      <c r="AD50" s="2" t="s">
        <v>124</v>
      </c>
      <c r="AE50" s="2" t="s">
        <v>840</v>
      </c>
      <c r="AF50" s="2">
        <v>1978</v>
      </c>
      <c r="AG50" s="2" t="s">
        <v>126</v>
      </c>
      <c r="AH50" s="2" t="s">
        <v>841</v>
      </c>
      <c r="AI50" s="2" t="s">
        <v>169</v>
      </c>
      <c r="AJ50" s="2" t="s">
        <v>169</v>
      </c>
      <c r="AK50" s="2" t="s">
        <v>151</v>
      </c>
      <c r="AL50" s="2" t="s">
        <v>150</v>
      </c>
      <c r="AM50" s="2" t="s">
        <v>150</v>
      </c>
      <c r="AN50" s="2">
        <v>2</v>
      </c>
      <c r="AO50" s="2" t="s">
        <v>302</v>
      </c>
      <c r="AP50" s="2" t="s">
        <v>226</v>
      </c>
      <c r="AQ50" s="2" t="s">
        <v>842</v>
      </c>
      <c r="AR50" s="2" t="s">
        <v>843</v>
      </c>
      <c r="AS50" s="2" t="s">
        <v>386</v>
      </c>
      <c r="AT50" s="2" t="s">
        <v>157</v>
      </c>
      <c r="AV50" s="2" t="s">
        <v>159</v>
      </c>
      <c r="AW50" s="2">
        <v>2</v>
      </c>
      <c r="AX50" s="2" t="s">
        <v>191</v>
      </c>
      <c r="AY50" s="2">
        <v>2005</v>
      </c>
      <c r="AZ50" s="2" t="s">
        <v>126</v>
      </c>
      <c r="BA50" s="2" t="s">
        <v>844</v>
      </c>
      <c r="BB50" s="2" t="s">
        <v>150</v>
      </c>
      <c r="BC50" s="2" t="s">
        <v>150</v>
      </c>
      <c r="BD50" s="2" t="s">
        <v>169</v>
      </c>
      <c r="BE50" s="2" t="s">
        <v>162</v>
      </c>
      <c r="BF50" s="2" t="s">
        <v>162</v>
      </c>
      <c r="BG50" s="2">
        <v>3</v>
      </c>
      <c r="BH50" s="2" t="s">
        <v>845</v>
      </c>
      <c r="BI50" s="2" t="s">
        <v>157</v>
      </c>
      <c r="BK50" s="2" t="s">
        <v>148</v>
      </c>
      <c r="BL50" s="2" t="s">
        <v>166</v>
      </c>
      <c r="BM50" s="2" t="s">
        <v>191</v>
      </c>
      <c r="BN50" s="2">
        <v>2007</v>
      </c>
      <c r="BO50" s="2" t="s">
        <v>126</v>
      </c>
      <c r="BP50" s="2" t="s">
        <v>844</v>
      </c>
      <c r="BQ50" s="2" t="s">
        <v>150</v>
      </c>
      <c r="BR50" s="2" t="s">
        <v>150</v>
      </c>
      <c r="BS50" s="2" t="s">
        <v>150</v>
      </c>
      <c r="BT50" s="2" t="s">
        <v>162</v>
      </c>
      <c r="BU50" s="2" t="s">
        <v>162</v>
      </c>
      <c r="BV50" s="2">
        <v>3</v>
      </c>
      <c r="BW50" s="2" t="s">
        <v>148</v>
      </c>
      <c r="BX50" s="2" t="s">
        <v>157</v>
      </c>
      <c r="BZ50" s="2" t="s">
        <v>148</v>
      </c>
      <c r="CA50" s="2" t="s">
        <v>173</v>
      </c>
      <c r="CP50" s="2" t="s">
        <v>123</v>
      </c>
      <c r="CZ50" s="2" t="s">
        <v>214</v>
      </c>
      <c r="DA50" s="2" t="s">
        <v>846</v>
      </c>
      <c r="DB50" s="2" t="s">
        <v>847</v>
      </c>
      <c r="DC50" s="2" t="s">
        <v>150</v>
      </c>
      <c r="DD50" s="2" t="s">
        <v>150</v>
      </c>
      <c r="DE50" s="2" t="s">
        <v>150</v>
      </c>
      <c r="DF50" s="2" t="s">
        <v>150</v>
      </c>
      <c r="DG50" s="2" t="s">
        <v>150</v>
      </c>
      <c r="DH50" s="2" t="s">
        <v>162</v>
      </c>
      <c r="DI50" s="2" t="s">
        <v>848</v>
      </c>
      <c r="DJ50" s="2" t="s">
        <v>123</v>
      </c>
      <c r="EM50" s="2" t="s">
        <v>123</v>
      </c>
      <c r="EN50" s="2" t="s">
        <v>180</v>
      </c>
      <c r="EO50" s="2" t="s">
        <v>132</v>
      </c>
      <c r="FM50" s="2" t="s">
        <v>123</v>
      </c>
      <c r="FN50" s="2" t="s">
        <v>132</v>
      </c>
      <c r="FP50" s="2" t="s">
        <v>132</v>
      </c>
      <c r="GU50" s="2" t="s">
        <v>849</v>
      </c>
      <c r="GV50" s="2" t="s">
        <v>850</v>
      </c>
      <c r="GW50" s="2" t="s">
        <v>851</v>
      </c>
      <c r="GX50" s="2" t="s">
        <v>186</v>
      </c>
      <c r="GY50" s="2">
        <v>1954</v>
      </c>
      <c r="GZ50" s="2" t="s">
        <v>141</v>
      </c>
      <c r="HB50" s="2" t="s">
        <v>852</v>
      </c>
      <c r="HC50" s="2" t="s">
        <v>853</v>
      </c>
    </row>
    <row r="51" spans="1:211" x14ac:dyDescent="0.45">
      <c r="A51" s="2" t="s">
        <v>856</v>
      </c>
      <c r="B51" s="2">
        <v>49</v>
      </c>
      <c r="C51" s="2" t="s">
        <v>854</v>
      </c>
      <c r="D51" s="2" t="s">
        <v>118</v>
      </c>
      <c r="G51" s="2"/>
      <c r="I51" s="2" t="s">
        <v>119</v>
      </c>
      <c r="J51" s="2" t="s">
        <v>855</v>
      </c>
      <c r="K51" s="2">
        <v>1349</v>
      </c>
      <c r="L51" s="2">
        <v>0</v>
      </c>
      <c r="M51" s="2" t="s">
        <v>122</v>
      </c>
      <c r="N51" s="2" t="s">
        <v>416</v>
      </c>
      <c r="O51" s="2" t="s">
        <v>179</v>
      </c>
      <c r="P51" s="2" t="s">
        <v>148</v>
      </c>
      <c r="Q51" s="2" t="s">
        <v>857</v>
      </c>
      <c r="R51" s="2" t="s">
        <v>162</v>
      </c>
      <c r="S51" s="2" t="s">
        <v>162</v>
      </c>
      <c r="T51" s="2" t="s">
        <v>151</v>
      </c>
      <c r="U51" s="2" t="s">
        <v>718</v>
      </c>
      <c r="V51" s="2" t="s">
        <v>152</v>
      </c>
      <c r="W51" s="2" t="s">
        <v>759</v>
      </c>
      <c r="X51" s="2" t="s">
        <v>858</v>
      </c>
      <c r="Y51" s="2" t="s">
        <v>859</v>
      </c>
      <c r="Z51" s="2" t="s">
        <v>860</v>
      </c>
      <c r="AB51" s="2" t="s">
        <v>861</v>
      </c>
      <c r="AC51" s="2">
        <v>2</v>
      </c>
      <c r="AD51" s="2" t="s">
        <v>124</v>
      </c>
      <c r="AE51" s="2" t="s">
        <v>862</v>
      </c>
      <c r="AF51" s="2">
        <v>2019</v>
      </c>
      <c r="AG51" s="2" t="s">
        <v>148</v>
      </c>
      <c r="AH51" s="2" t="s">
        <v>863</v>
      </c>
      <c r="AI51" s="2" t="s">
        <v>150</v>
      </c>
      <c r="AJ51" s="2" t="s">
        <v>150</v>
      </c>
      <c r="AK51" s="2" t="s">
        <v>169</v>
      </c>
      <c r="AL51" s="2" t="s">
        <v>151</v>
      </c>
      <c r="AM51" s="2" t="s">
        <v>150</v>
      </c>
      <c r="AN51" s="2" t="s">
        <v>864</v>
      </c>
      <c r="AO51" s="2" t="s">
        <v>302</v>
      </c>
      <c r="AP51" s="2" t="s">
        <v>759</v>
      </c>
      <c r="AQ51" s="2" t="s">
        <v>865</v>
      </c>
      <c r="AR51" s="2" t="s">
        <v>866</v>
      </c>
      <c r="AS51" s="2" t="s">
        <v>867</v>
      </c>
      <c r="AT51" s="2" t="s">
        <v>157</v>
      </c>
      <c r="AV51" s="2" t="s">
        <v>123</v>
      </c>
      <c r="AW51" s="2" t="s">
        <v>132</v>
      </c>
      <c r="CP51" s="2" t="s">
        <v>123</v>
      </c>
      <c r="CZ51" s="2" t="s">
        <v>123</v>
      </c>
      <c r="DJ51" s="2" t="s">
        <v>123</v>
      </c>
      <c r="EM51" s="2" t="s">
        <v>123</v>
      </c>
      <c r="FM51" s="2" t="s">
        <v>123</v>
      </c>
      <c r="FN51" s="2" t="s">
        <v>132</v>
      </c>
      <c r="GU51" s="2" t="s">
        <v>868</v>
      </c>
      <c r="GV51" s="2" t="s">
        <v>869</v>
      </c>
      <c r="GW51" s="2" t="s">
        <v>870</v>
      </c>
      <c r="GX51" s="2" t="s">
        <v>186</v>
      </c>
      <c r="GY51" s="2">
        <v>1991</v>
      </c>
      <c r="GZ51" s="2" t="s">
        <v>220</v>
      </c>
      <c r="HA51" s="2" t="s">
        <v>871</v>
      </c>
      <c r="HB51" s="2" t="s">
        <v>872</v>
      </c>
      <c r="HC51" s="2" t="s">
        <v>386</v>
      </c>
    </row>
    <row r="52" spans="1:211" x14ac:dyDescent="0.45">
      <c r="A52" s="2" t="s">
        <v>875</v>
      </c>
      <c r="B52" s="2">
        <v>50</v>
      </c>
      <c r="C52" s="2" t="s">
        <v>873</v>
      </c>
      <c r="D52" s="2" t="s">
        <v>118</v>
      </c>
      <c r="E52" s="2" t="s">
        <v>797</v>
      </c>
      <c r="G52" s="2"/>
      <c r="I52" s="2" t="s">
        <v>119</v>
      </c>
      <c r="J52" s="2" t="s">
        <v>874</v>
      </c>
      <c r="K52" s="2">
        <v>1971</v>
      </c>
      <c r="L52" s="2">
        <v>0</v>
      </c>
      <c r="M52" s="2" t="s">
        <v>122</v>
      </c>
      <c r="N52" s="2" t="s">
        <v>123</v>
      </c>
      <c r="P52" s="2"/>
      <c r="AD52" s="2" t="s">
        <v>124</v>
      </c>
      <c r="AE52" s="2" t="s">
        <v>223</v>
      </c>
      <c r="AF52" s="2">
        <v>2012</v>
      </c>
      <c r="AG52" s="2" t="s">
        <v>148</v>
      </c>
      <c r="AH52" s="2" t="s">
        <v>876</v>
      </c>
      <c r="AI52" s="2" t="s">
        <v>150</v>
      </c>
      <c r="AJ52" s="2" t="s">
        <v>162</v>
      </c>
      <c r="AK52" s="2" t="s">
        <v>128</v>
      </c>
      <c r="AL52" s="2" t="s">
        <v>236</v>
      </c>
      <c r="AM52" s="2" t="s">
        <v>151</v>
      </c>
      <c r="AN52" s="2">
        <v>2</v>
      </c>
      <c r="AO52" s="2" t="s">
        <v>131</v>
      </c>
      <c r="AP52" s="2" t="s">
        <v>153</v>
      </c>
      <c r="AQ52" s="2" t="s">
        <v>877</v>
      </c>
      <c r="AR52" s="2" t="s">
        <v>532</v>
      </c>
      <c r="AS52" s="2" t="s">
        <v>532</v>
      </c>
      <c r="AT52" s="2" t="s">
        <v>157</v>
      </c>
      <c r="AU52" s="2" t="s">
        <v>878</v>
      </c>
      <c r="AV52" s="2" t="s">
        <v>123</v>
      </c>
      <c r="CP52" s="2" t="s">
        <v>123</v>
      </c>
      <c r="CZ52" s="2" t="s">
        <v>123</v>
      </c>
      <c r="DJ52" s="2" t="s">
        <v>123</v>
      </c>
      <c r="EM52" s="2" t="s">
        <v>123</v>
      </c>
      <c r="FM52" s="2" t="s">
        <v>123</v>
      </c>
      <c r="FN52" s="2" t="s">
        <v>132</v>
      </c>
      <c r="GU52" s="2" t="s">
        <v>532</v>
      </c>
      <c r="GV52" s="2" t="s">
        <v>532</v>
      </c>
      <c r="GW52" s="2" t="s">
        <v>532</v>
      </c>
      <c r="GX52" s="2" t="s">
        <v>186</v>
      </c>
      <c r="GY52" s="2">
        <v>1988</v>
      </c>
      <c r="GZ52" s="2" t="s">
        <v>246</v>
      </c>
      <c r="HC52" s="2" t="s">
        <v>879</v>
      </c>
    </row>
    <row r="53" spans="1:211" x14ac:dyDescent="0.45">
      <c r="A53" s="2" t="s">
        <v>881</v>
      </c>
      <c r="B53" s="2">
        <v>51</v>
      </c>
      <c r="C53" s="2" t="s">
        <v>873</v>
      </c>
      <c r="D53" s="2" t="s">
        <v>118</v>
      </c>
      <c r="E53" s="2" t="s">
        <v>797</v>
      </c>
      <c r="G53" s="2"/>
      <c r="I53" s="2" t="s">
        <v>119</v>
      </c>
      <c r="J53" s="2" t="s">
        <v>880</v>
      </c>
      <c r="K53" s="2">
        <v>2138</v>
      </c>
      <c r="L53" s="2">
        <v>0</v>
      </c>
      <c r="M53" s="2" t="s">
        <v>122</v>
      </c>
      <c r="N53" s="2" t="s">
        <v>123</v>
      </c>
      <c r="P53" s="2"/>
      <c r="AD53" s="2" t="s">
        <v>124</v>
      </c>
      <c r="AE53" s="2" t="s">
        <v>191</v>
      </c>
      <c r="AF53" s="2">
        <v>2005</v>
      </c>
      <c r="AG53" s="2" t="s">
        <v>126</v>
      </c>
      <c r="AH53" s="2" t="s">
        <v>882</v>
      </c>
      <c r="AI53" s="2" t="s">
        <v>162</v>
      </c>
      <c r="AJ53" s="2" t="s">
        <v>162</v>
      </c>
      <c r="AK53" s="2" t="s">
        <v>162</v>
      </c>
      <c r="AL53" s="2" t="s">
        <v>236</v>
      </c>
      <c r="AM53" s="2" t="s">
        <v>128</v>
      </c>
      <c r="AN53" s="2" t="s">
        <v>883</v>
      </c>
      <c r="AO53" s="2" t="s">
        <v>131</v>
      </c>
      <c r="AP53" s="2" t="s">
        <v>302</v>
      </c>
      <c r="AQ53" s="2" t="s">
        <v>884</v>
      </c>
      <c r="AR53" s="2" t="s">
        <v>532</v>
      </c>
      <c r="AS53" s="2" t="s">
        <v>532</v>
      </c>
      <c r="AT53" s="2" t="s">
        <v>157</v>
      </c>
      <c r="AU53" s="2" t="s">
        <v>878</v>
      </c>
      <c r="AV53" s="2" t="s">
        <v>123</v>
      </c>
      <c r="CP53" s="2" t="s">
        <v>123</v>
      </c>
      <c r="CZ53" s="2" t="s">
        <v>123</v>
      </c>
      <c r="DJ53" s="2" t="s">
        <v>123</v>
      </c>
      <c r="EM53" s="2" t="s">
        <v>177</v>
      </c>
      <c r="EN53" s="2" t="s">
        <v>178</v>
      </c>
      <c r="EO53" s="2">
        <v>1</v>
      </c>
      <c r="EP53" s="2" t="s">
        <v>747</v>
      </c>
      <c r="EQ53" s="2" t="s">
        <v>162</v>
      </c>
      <c r="ER53" s="2" t="s">
        <v>162</v>
      </c>
      <c r="ES53" s="2" t="s">
        <v>151</v>
      </c>
      <c r="ET53" s="2" t="s">
        <v>178</v>
      </c>
      <c r="EU53" s="2" t="s">
        <v>885</v>
      </c>
      <c r="EV53" s="2" t="s">
        <v>886</v>
      </c>
      <c r="EW53" s="2" t="s">
        <v>173</v>
      </c>
      <c r="FM53" s="2" t="s">
        <v>123</v>
      </c>
      <c r="FN53" s="2" t="s">
        <v>132</v>
      </c>
      <c r="GU53" s="2" t="s">
        <v>887</v>
      </c>
      <c r="GV53" s="2" t="s">
        <v>532</v>
      </c>
      <c r="GW53" s="2" t="s">
        <v>532</v>
      </c>
      <c r="GX53" s="2" t="s">
        <v>140</v>
      </c>
      <c r="GY53" s="2">
        <v>1981</v>
      </c>
      <c r="GZ53" s="2" t="s">
        <v>141</v>
      </c>
    </row>
    <row r="54" spans="1:211" x14ac:dyDescent="0.45">
      <c r="A54" s="2" t="s">
        <v>889</v>
      </c>
      <c r="B54" s="2">
        <v>52</v>
      </c>
      <c r="C54" s="2" t="s">
        <v>873</v>
      </c>
      <c r="D54" s="2" t="s">
        <v>118</v>
      </c>
      <c r="E54" s="2" t="s">
        <v>797</v>
      </c>
      <c r="G54" s="2"/>
      <c r="I54" s="2" t="s">
        <v>119</v>
      </c>
      <c r="J54" s="2" t="s">
        <v>888</v>
      </c>
      <c r="K54" s="2">
        <v>1595</v>
      </c>
      <c r="L54" s="2">
        <v>0</v>
      </c>
      <c r="M54" s="2" t="s">
        <v>122</v>
      </c>
      <c r="N54" s="2" t="s">
        <v>123</v>
      </c>
      <c r="P54" s="2"/>
      <c r="AD54" s="2" t="s">
        <v>124</v>
      </c>
      <c r="AE54" s="2" t="s">
        <v>191</v>
      </c>
      <c r="AF54" s="2">
        <v>1975</v>
      </c>
      <c r="AG54" s="2" t="s">
        <v>126</v>
      </c>
      <c r="AH54" s="2" t="s">
        <v>890</v>
      </c>
      <c r="AI54" s="2" t="s">
        <v>150</v>
      </c>
      <c r="AJ54" s="2" t="s">
        <v>162</v>
      </c>
      <c r="AK54" s="2" t="s">
        <v>128</v>
      </c>
      <c r="AL54" s="2" t="s">
        <v>169</v>
      </c>
      <c r="AM54" s="2" t="s">
        <v>169</v>
      </c>
      <c r="AN54" s="2" t="s">
        <v>883</v>
      </c>
      <c r="AO54" s="2" t="s">
        <v>194</v>
      </c>
      <c r="AP54" s="2" t="s">
        <v>194</v>
      </c>
      <c r="AQ54" s="2" t="s">
        <v>891</v>
      </c>
      <c r="AR54" s="2" t="s">
        <v>532</v>
      </c>
      <c r="AS54" s="2" t="s">
        <v>532</v>
      </c>
      <c r="AT54" s="2" t="s">
        <v>892</v>
      </c>
      <c r="AV54" s="2" t="s">
        <v>159</v>
      </c>
      <c r="AX54" s="2" t="s">
        <v>893</v>
      </c>
      <c r="AY54" s="2">
        <v>2002</v>
      </c>
      <c r="AZ54" s="2" t="s">
        <v>126</v>
      </c>
      <c r="BA54" s="2" t="s">
        <v>894</v>
      </c>
      <c r="BB54" s="2" t="s">
        <v>150</v>
      </c>
      <c r="BC54" s="2" t="s">
        <v>150</v>
      </c>
      <c r="BD54" s="2" t="s">
        <v>150</v>
      </c>
      <c r="BE54" s="2" t="s">
        <v>236</v>
      </c>
      <c r="BF54" s="2" t="s">
        <v>128</v>
      </c>
      <c r="BG54" s="2">
        <v>3</v>
      </c>
      <c r="BI54" s="2" t="s">
        <v>157</v>
      </c>
      <c r="BL54" s="2" t="s">
        <v>173</v>
      </c>
      <c r="CP54" s="2" t="s">
        <v>123</v>
      </c>
      <c r="CZ54" s="2" t="s">
        <v>123</v>
      </c>
      <c r="DJ54" s="2" t="s">
        <v>123</v>
      </c>
      <c r="EM54" s="2" t="s">
        <v>123</v>
      </c>
      <c r="FM54" s="2" t="s">
        <v>123</v>
      </c>
      <c r="FN54" s="2" t="s">
        <v>132</v>
      </c>
      <c r="GU54" s="2" t="s">
        <v>532</v>
      </c>
      <c r="GV54" s="2" t="s">
        <v>532</v>
      </c>
      <c r="GW54" s="2" t="s">
        <v>532</v>
      </c>
      <c r="GX54" s="2" t="s">
        <v>186</v>
      </c>
      <c r="GY54" s="2">
        <v>1950</v>
      </c>
      <c r="GZ54" s="2" t="s">
        <v>141</v>
      </c>
    </row>
    <row r="55" spans="1:211" x14ac:dyDescent="0.45">
      <c r="A55" s="2" t="s">
        <v>896</v>
      </c>
      <c r="B55" s="2">
        <v>53</v>
      </c>
      <c r="C55" s="2" t="s">
        <v>873</v>
      </c>
      <c r="D55" s="2" t="s">
        <v>118</v>
      </c>
      <c r="E55" s="2" t="s">
        <v>797</v>
      </c>
      <c r="G55" s="2"/>
      <c r="I55" s="2" t="s">
        <v>119</v>
      </c>
      <c r="J55" s="2" t="s">
        <v>895</v>
      </c>
      <c r="K55" s="2">
        <v>1418</v>
      </c>
      <c r="L55" s="2">
        <v>0</v>
      </c>
      <c r="M55" s="2" t="s">
        <v>122</v>
      </c>
      <c r="N55" s="2" t="s">
        <v>123</v>
      </c>
      <c r="P55" s="2"/>
      <c r="AD55" s="2" t="s">
        <v>124</v>
      </c>
      <c r="AE55" s="2" t="s">
        <v>191</v>
      </c>
      <c r="AF55" s="2">
        <v>1975</v>
      </c>
      <c r="AG55" s="2" t="s">
        <v>126</v>
      </c>
      <c r="AH55" s="2" t="s">
        <v>897</v>
      </c>
      <c r="AI55" s="2" t="s">
        <v>150</v>
      </c>
      <c r="AJ55" s="2" t="s">
        <v>162</v>
      </c>
      <c r="AK55" s="2" t="s">
        <v>150</v>
      </c>
      <c r="AL55" s="2" t="s">
        <v>162</v>
      </c>
      <c r="AM55" s="2" t="s">
        <v>162</v>
      </c>
      <c r="AN55" s="2" t="s">
        <v>898</v>
      </c>
      <c r="AO55" s="2" t="s">
        <v>153</v>
      </c>
      <c r="AP55" s="2" t="s">
        <v>153</v>
      </c>
      <c r="AR55" s="2" t="s">
        <v>532</v>
      </c>
      <c r="AS55" s="2" t="s">
        <v>532</v>
      </c>
      <c r="AT55" s="2" t="s">
        <v>157</v>
      </c>
      <c r="AV55" s="2" t="s">
        <v>159</v>
      </c>
      <c r="AW55" s="2">
        <v>1</v>
      </c>
      <c r="AX55" s="2" t="s">
        <v>191</v>
      </c>
      <c r="AY55" s="2">
        <v>2011</v>
      </c>
      <c r="AZ55" s="2" t="s">
        <v>126</v>
      </c>
      <c r="BA55" s="2" t="s">
        <v>899</v>
      </c>
      <c r="BB55" s="2" t="s">
        <v>162</v>
      </c>
      <c r="BC55" s="2" t="s">
        <v>150</v>
      </c>
      <c r="BD55" s="2" t="s">
        <v>236</v>
      </c>
      <c r="BE55" s="2" t="s">
        <v>132</v>
      </c>
      <c r="BF55" s="2" t="s">
        <v>132</v>
      </c>
      <c r="BG55" s="2" t="s">
        <v>900</v>
      </c>
      <c r="BH55" s="2" t="s">
        <v>901</v>
      </c>
      <c r="BI55" s="2" t="s">
        <v>157</v>
      </c>
      <c r="BJ55" s="2" t="s">
        <v>878</v>
      </c>
      <c r="BL55" s="2" t="s">
        <v>173</v>
      </c>
      <c r="CP55" s="2" t="s">
        <v>123</v>
      </c>
      <c r="CZ55" s="2" t="s">
        <v>123</v>
      </c>
      <c r="DJ55" s="2" t="s">
        <v>123</v>
      </c>
      <c r="EM55" s="2" t="s">
        <v>123</v>
      </c>
      <c r="FM55" s="2" t="s">
        <v>123</v>
      </c>
      <c r="FN55" s="2" t="s">
        <v>132</v>
      </c>
      <c r="GU55" s="2" t="s">
        <v>532</v>
      </c>
      <c r="GV55" s="2" t="s">
        <v>532</v>
      </c>
      <c r="GW55" s="2" t="s">
        <v>532</v>
      </c>
      <c r="GX55" s="2" t="s">
        <v>140</v>
      </c>
      <c r="GY55" s="2">
        <v>1950</v>
      </c>
      <c r="GZ55" s="2" t="s">
        <v>141</v>
      </c>
    </row>
    <row r="56" spans="1:211" x14ac:dyDescent="0.45">
      <c r="A56" s="2" t="s">
        <v>904</v>
      </c>
      <c r="B56" s="2">
        <v>54</v>
      </c>
      <c r="C56" s="2" t="s">
        <v>902</v>
      </c>
      <c r="D56" s="2" t="s">
        <v>118</v>
      </c>
      <c r="G56" s="2"/>
      <c r="I56" s="2" t="s">
        <v>119</v>
      </c>
      <c r="J56" s="2" t="s">
        <v>903</v>
      </c>
      <c r="K56" s="2">
        <v>255</v>
      </c>
      <c r="L56" s="2">
        <v>0</v>
      </c>
      <c r="M56" s="2" t="s">
        <v>122</v>
      </c>
      <c r="N56" s="2" t="s">
        <v>123</v>
      </c>
      <c r="P56" s="2"/>
      <c r="AD56" s="2" t="s">
        <v>124</v>
      </c>
      <c r="AE56" s="2" t="s">
        <v>905</v>
      </c>
      <c r="AF56" s="2">
        <v>2009</v>
      </c>
      <c r="AG56" s="2" t="s">
        <v>126</v>
      </c>
      <c r="AH56" s="2" t="s">
        <v>906</v>
      </c>
      <c r="AI56" s="2" t="s">
        <v>151</v>
      </c>
      <c r="AJ56" s="2" t="s">
        <v>151</v>
      </c>
      <c r="AK56" s="2" t="s">
        <v>150</v>
      </c>
      <c r="AL56" s="2" t="s">
        <v>128</v>
      </c>
      <c r="AM56" s="2" t="s">
        <v>162</v>
      </c>
      <c r="AN56" s="2" t="s">
        <v>907</v>
      </c>
      <c r="AO56" s="2" t="s">
        <v>131</v>
      </c>
      <c r="AP56" s="2" t="s">
        <v>759</v>
      </c>
      <c r="AQ56" s="2" t="s">
        <v>908</v>
      </c>
      <c r="AR56" s="2" t="s">
        <v>908</v>
      </c>
      <c r="AS56" s="2" t="s">
        <v>909</v>
      </c>
      <c r="AT56" s="2" t="s">
        <v>172</v>
      </c>
      <c r="AV56" s="2" t="s">
        <v>123</v>
      </c>
      <c r="AW56" s="2" t="s">
        <v>132</v>
      </c>
      <c r="CP56" s="2" t="s">
        <v>123</v>
      </c>
      <c r="CZ56" s="2" t="s">
        <v>123</v>
      </c>
      <c r="DJ56" s="2" t="s">
        <v>123</v>
      </c>
      <c r="EM56" s="2" t="s">
        <v>123</v>
      </c>
      <c r="EN56" s="2" t="s">
        <v>180</v>
      </c>
      <c r="EO56" s="2" t="s">
        <v>132</v>
      </c>
      <c r="FM56" s="2" t="s">
        <v>123</v>
      </c>
      <c r="FN56" s="2" t="s">
        <v>132</v>
      </c>
      <c r="FP56" s="2" t="s">
        <v>132</v>
      </c>
      <c r="GU56" s="2" t="s">
        <v>910</v>
      </c>
      <c r="GV56" s="2" t="s">
        <v>911</v>
      </c>
      <c r="GW56" s="2" t="s">
        <v>912</v>
      </c>
      <c r="GX56" s="2" t="s">
        <v>186</v>
      </c>
      <c r="GY56" s="2">
        <v>1983</v>
      </c>
      <c r="GZ56" s="2" t="s">
        <v>141</v>
      </c>
    </row>
    <row r="57" spans="1:211" x14ac:dyDescent="0.45">
      <c r="A57" s="2" t="s">
        <v>917</v>
      </c>
      <c r="B57" s="2">
        <v>55</v>
      </c>
      <c r="C57" s="2" t="s">
        <v>915</v>
      </c>
      <c r="D57" s="2" t="s">
        <v>118</v>
      </c>
      <c r="G57" s="2"/>
      <c r="I57" s="2" t="s">
        <v>119</v>
      </c>
      <c r="J57" s="2" t="s">
        <v>916</v>
      </c>
      <c r="K57" s="2">
        <v>76609</v>
      </c>
      <c r="L57" s="2">
        <v>0</v>
      </c>
      <c r="M57" s="2" t="s">
        <v>122</v>
      </c>
      <c r="N57" s="2" t="s">
        <v>123</v>
      </c>
      <c r="P57" s="2"/>
      <c r="AD57" s="2" t="s">
        <v>124</v>
      </c>
      <c r="AE57" s="2" t="s">
        <v>223</v>
      </c>
      <c r="AF57" s="2" t="s">
        <v>918</v>
      </c>
      <c r="AG57" s="2" t="s">
        <v>148</v>
      </c>
      <c r="AH57" s="2" t="s">
        <v>919</v>
      </c>
      <c r="AI57" s="2" t="s">
        <v>169</v>
      </c>
      <c r="AJ57" s="2" t="s">
        <v>169</v>
      </c>
      <c r="AK57" s="2" t="s">
        <v>150</v>
      </c>
      <c r="AL57" s="2" t="s">
        <v>128</v>
      </c>
      <c r="AM57" s="2" t="s">
        <v>128</v>
      </c>
      <c r="AN57" s="2" t="s">
        <v>920</v>
      </c>
      <c r="AO57" s="2" t="s">
        <v>302</v>
      </c>
      <c r="AP57" s="2" t="s">
        <v>302</v>
      </c>
      <c r="AQ57" s="2" t="s">
        <v>921</v>
      </c>
      <c r="AR57" s="2" t="s">
        <v>922</v>
      </c>
      <c r="AS57" s="2" t="s">
        <v>923</v>
      </c>
      <c r="AT57" s="2" t="s">
        <v>157</v>
      </c>
      <c r="AV57" s="2" t="s">
        <v>159</v>
      </c>
      <c r="AW57" s="2">
        <v>2</v>
      </c>
      <c r="AX57" s="2" t="s">
        <v>223</v>
      </c>
      <c r="AY57" s="2">
        <v>2009</v>
      </c>
      <c r="AZ57" s="2" t="s">
        <v>148</v>
      </c>
      <c r="BA57" s="2" t="s">
        <v>924</v>
      </c>
      <c r="BB57" s="2" t="s">
        <v>169</v>
      </c>
      <c r="BC57" s="2" t="s">
        <v>169</v>
      </c>
      <c r="BD57" s="2" t="s">
        <v>169</v>
      </c>
      <c r="BE57" s="2" t="s">
        <v>128</v>
      </c>
      <c r="BF57" s="2" t="s">
        <v>128</v>
      </c>
      <c r="BG57" s="2" t="s">
        <v>925</v>
      </c>
      <c r="BH57" s="2" t="s">
        <v>926</v>
      </c>
      <c r="BI57" s="2" t="s">
        <v>157</v>
      </c>
      <c r="BK57" s="2" t="s">
        <v>927</v>
      </c>
      <c r="BL57" s="2" t="s">
        <v>173</v>
      </c>
      <c r="CP57" s="2" t="s">
        <v>387</v>
      </c>
      <c r="CQ57" s="2" t="s">
        <v>223</v>
      </c>
      <c r="CR57" s="2" t="s">
        <v>928</v>
      </c>
      <c r="CS57" s="2" t="s">
        <v>169</v>
      </c>
      <c r="CT57" s="2" t="s">
        <v>162</v>
      </c>
      <c r="CU57" s="2" t="s">
        <v>128</v>
      </c>
      <c r="CV57" s="2" t="s">
        <v>169</v>
      </c>
      <c r="CW57" s="2" t="s">
        <v>169</v>
      </c>
      <c r="CX57" s="2" t="s">
        <v>169</v>
      </c>
      <c r="CY57" s="2" t="s">
        <v>929</v>
      </c>
      <c r="CZ57" s="2" t="s">
        <v>214</v>
      </c>
      <c r="DA57" s="2" t="s">
        <v>223</v>
      </c>
      <c r="DB57" s="2" t="s">
        <v>928</v>
      </c>
      <c r="DC57" s="2" t="s">
        <v>169</v>
      </c>
      <c r="DD57" s="2" t="s">
        <v>162</v>
      </c>
      <c r="DE57" s="2" t="s">
        <v>128</v>
      </c>
      <c r="DF57" s="2" t="s">
        <v>169</v>
      </c>
      <c r="DG57" s="2" t="s">
        <v>169</v>
      </c>
      <c r="DH57" s="2" t="s">
        <v>150</v>
      </c>
      <c r="DI57" s="2" t="s">
        <v>930</v>
      </c>
      <c r="DJ57" s="2" t="s">
        <v>123</v>
      </c>
      <c r="EM57" s="2" t="s">
        <v>177</v>
      </c>
      <c r="EN57" s="2" t="s">
        <v>180</v>
      </c>
      <c r="EO57" s="2">
        <v>1</v>
      </c>
      <c r="EP57" s="2" t="s">
        <v>223</v>
      </c>
      <c r="EQ57" s="2" t="s">
        <v>169</v>
      </c>
      <c r="ER57" s="2" t="s">
        <v>169</v>
      </c>
      <c r="ES57" s="2" t="s">
        <v>236</v>
      </c>
      <c r="ET57" s="2" t="s">
        <v>180</v>
      </c>
      <c r="EU57" s="2" t="s">
        <v>931</v>
      </c>
      <c r="EV57" s="2" t="s">
        <v>932</v>
      </c>
      <c r="EW57" s="2" t="s">
        <v>173</v>
      </c>
      <c r="FM57" s="2" t="s">
        <v>123</v>
      </c>
      <c r="FN57" s="2" t="s">
        <v>132</v>
      </c>
      <c r="FP57" s="2" t="s">
        <v>132</v>
      </c>
      <c r="GU57" s="2" t="s">
        <v>933</v>
      </c>
      <c r="GV57" s="2" t="s">
        <v>934</v>
      </c>
      <c r="GW57" s="2" t="s">
        <v>935</v>
      </c>
      <c r="GX57" s="2" t="s">
        <v>140</v>
      </c>
      <c r="GY57" s="2">
        <v>1957</v>
      </c>
      <c r="GZ57" s="2" t="s">
        <v>141</v>
      </c>
      <c r="HB57" s="2" t="s">
        <v>936</v>
      </c>
    </row>
    <row r="58" spans="1:211" x14ac:dyDescent="0.45">
      <c r="A58" s="2" t="s">
        <v>940</v>
      </c>
      <c r="B58" s="2">
        <v>56</v>
      </c>
      <c r="C58" s="2" t="s">
        <v>938</v>
      </c>
      <c r="D58" s="2" t="s">
        <v>118</v>
      </c>
      <c r="G58" s="2"/>
      <c r="I58" s="2" t="s">
        <v>119</v>
      </c>
      <c r="J58" s="2" t="s">
        <v>939</v>
      </c>
      <c r="K58" s="2">
        <v>451</v>
      </c>
      <c r="L58" s="2">
        <v>0</v>
      </c>
      <c r="M58" s="2" t="s">
        <v>122</v>
      </c>
      <c r="N58" s="2" t="s">
        <v>123</v>
      </c>
      <c r="P58" s="2"/>
      <c r="AD58" s="2" t="s">
        <v>124</v>
      </c>
      <c r="AE58" s="2" t="s">
        <v>941</v>
      </c>
      <c r="AF58" s="2">
        <v>2004</v>
      </c>
      <c r="AG58" s="2" t="s">
        <v>148</v>
      </c>
      <c r="AH58" s="2" t="s">
        <v>942</v>
      </c>
      <c r="AI58" s="2" t="s">
        <v>150</v>
      </c>
      <c r="AJ58" s="2" t="s">
        <v>150</v>
      </c>
      <c r="AK58" s="2" t="s">
        <v>150</v>
      </c>
      <c r="AL58" s="2" t="s">
        <v>150</v>
      </c>
      <c r="AM58" s="2" t="s">
        <v>169</v>
      </c>
      <c r="AN58" s="2" t="s">
        <v>237</v>
      </c>
      <c r="AO58" s="2" t="s">
        <v>302</v>
      </c>
      <c r="AP58" s="2" t="s">
        <v>943</v>
      </c>
      <c r="AQ58" s="2" t="s">
        <v>944</v>
      </c>
      <c r="AR58" s="2" t="s">
        <v>945</v>
      </c>
      <c r="AS58" s="2" t="s">
        <v>946</v>
      </c>
      <c r="AT58" s="2" t="s">
        <v>157</v>
      </c>
      <c r="AV58" s="2" t="s">
        <v>123</v>
      </c>
      <c r="AW58" s="2" t="s">
        <v>132</v>
      </c>
      <c r="CP58" s="2" t="s">
        <v>123</v>
      </c>
      <c r="CZ58" s="2" t="s">
        <v>123</v>
      </c>
      <c r="DJ58" s="2" t="s">
        <v>123</v>
      </c>
      <c r="EM58" s="2" t="s">
        <v>177</v>
      </c>
      <c r="EN58" s="2" t="s">
        <v>178</v>
      </c>
      <c r="EO58" s="2">
        <v>1</v>
      </c>
      <c r="EP58" s="2" t="s">
        <v>747</v>
      </c>
      <c r="EQ58" s="2" t="s">
        <v>169</v>
      </c>
      <c r="ER58" s="2" t="s">
        <v>169</v>
      </c>
      <c r="ES58" s="2" t="s">
        <v>169</v>
      </c>
      <c r="ET58" s="2" t="s">
        <v>178</v>
      </c>
      <c r="EU58" s="2" t="s">
        <v>947</v>
      </c>
      <c r="EV58" s="2" t="s">
        <v>948</v>
      </c>
      <c r="EW58" s="2" t="s">
        <v>173</v>
      </c>
      <c r="FM58" s="2" t="s">
        <v>123</v>
      </c>
      <c r="FN58" s="2" t="s">
        <v>132</v>
      </c>
      <c r="FP58" s="2" t="s">
        <v>132</v>
      </c>
      <c r="GU58" s="2" t="s">
        <v>949</v>
      </c>
      <c r="GV58" s="2" t="s">
        <v>950</v>
      </c>
      <c r="GW58" s="2" t="s">
        <v>951</v>
      </c>
      <c r="GX58" s="2" t="s">
        <v>186</v>
      </c>
      <c r="GY58" s="2">
        <v>1984</v>
      </c>
      <c r="GZ58" s="2" t="s">
        <v>141</v>
      </c>
      <c r="HA58" s="2" t="s">
        <v>952</v>
      </c>
      <c r="HB58" s="2" t="s">
        <v>953</v>
      </c>
      <c r="HC58" s="2" t="s">
        <v>954</v>
      </c>
    </row>
    <row r="59" spans="1:211" x14ac:dyDescent="0.45">
      <c r="A59" s="2" t="s">
        <v>957</v>
      </c>
      <c r="B59" s="2">
        <v>57</v>
      </c>
      <c r="C59" s="2" t="s">
        <v>955</v>
      </c>
      <c r="D59" s="2" t="s">
        <v>118</v>
      </c>
      <c r="E59" s="2" t="s">
        <v>774</v>
      </c>
      <c r="G59" s="2"/>
      <c r="I59" s="2" t="s">
        <v>119</v>
      </c>
      <c r="J59" s="2" t="s">
        <v>956</v>
      </c>
      <c r="K59" s="2">
        <v>1186</v>
      </c>
      <c r="L59" s="2">
        <v>0</v>
      </c>
      <c r="M59" s="2" t="s">
        <v>122</v>
      </c>
      <c r="N59" s="2" t="s">
        <v>416</v>
      </c>
      <c r="O59" s="2" t="s">
        <v>223</v>
      </c>
      <c r="P59" s="2" t="s">
        <v>148</v>
      </c>
      <c r="Q59" s="2" t="s">
        <v>958</v>
      </c>
      <c r="R59" s="2" t="s">
        <v>151</v>
      </c>
      <c r="S59" s="2" t="s">
        <v>128</v>
      </c>
      <c r="T59" s="2" t="s">
        <v>236</v>
      </c>
      <c r="U59" s="2" t="s">
        <v>959</v>
      </c>
      <c r="V59" s="2" t="s">
        <v>302</v>
      </c>
      <c r="W59" s="2" t="s">
        <v>153</v>
      </c>
      <c r="X59" s="2" t="s">
        <v>960</v>
      </c>
      <c r="Y59" s="2" t="s">
        <v>961</v>
      </c>
      <c r="Z59" s="2" t="s">
        <v>962</v>
      </c>
      <c r="AA59" s="2" t="s">
        <v>157</v>
      </c>
      <c r="AC59" s="2">
        <v>4</v>
      </c>
      <c r="AD59" s="2" t="s">
        <v>123</v>
      </c>
      <c r="AV59" s="2" t="s">
        <v>123</v>
      </c>
      <c r="AW59" s="2" t="s">
        <v>132</v>
      </c>
      <c r="CP59" s="2" t="s">
        <v>123</v>
      </c>
      <c r="CZ59" s="2" t="s">
        <v>123</v>
      </c>
      <c r="DJ59" s="2" t="s">
        <v>123</v>
      </c>
      <c r="EM59" s="2" t="s">
        <v>123</v>
      </c>
      <c r="EN59" s="2" t="s">
        <v>180</v>
      </c>
      <c r="EO59" s="2" t="s">
        <v>132</v>
      </c>
      <c r="FM59" s="2" t="s">
        <v>123</v>
      </c>
      <c r="FN59" s="2" t="s">
        <v>132</v>
      </c>
      <c r="GU59" s="2" t="s">
        <v>826</v>
      </c>
      <c r="GV59" s="2" t="s">
        <v>824</v>
      </c>
      <c r="GW59" s="2" t="s">
        <v>820</v>
      </c>
      <c r="GX59" s="2" t="s">
        <v>140</v>
      </c>
      <c r="GY59" s="2">
        <v>1993</v>
      </c>
      <c r="GZ59" s="2" t="s">
        <v>483</v>
      </c>
    </row>
    <row r="60" spans="1:211" x14ac:dyDescent="0.45">
      <c r="A60" s="2" t="s">
        <v>964</v>
      </c>
      <c r="B60" s="2">
        <v>58</v>
      </c>
      <c r="C60" s="2" t="s">
        <v>955</v>
      </c>
      <c r="D60" s="2" t="s">
        <v>118</v>
      </c>
      <c r="E60" s="2" t="s">
        <v>774</v>
      </c>
      <c r="G60" s="2"/>
      <c r="I60" s="2" t="s">
        <v>119</v>
      </c>
      <c r="J60" s="2" t="s">
        <v>963</v>
      </c>
      <c r="K60" s="2">
        <v>456</v>
      </c>
      <c r="L60" s="2">
        <v>0</v>
      </c>
      <c r="M60" s="2" t="s">
        <v>122</v>
      </c>
      <c r="N60" s="2" t="s">
        <v>123</v>
      </c>
      <c r="P60" s="2"/>
      <c r="AD60" s="2" t="s">
        <v>123</v>
      </c>
      <c r="AV60" s="2" t="s">
        <v>123</v>
      </c>
      <c r="CP60" s="2" t="s">
        <v>123</v>
      </c>
      <c r="CZ60" s="2" t="s">
        <v>123</v>
      </c>
      <c r="DJ60" s="2" t="s">
        <v>123</v>
      </c>
      <c r="EM60" s="2" t="s">
        <v>123</v>
      </c>
      <c r="EN60" s="2" t="s">
        <v>178</v>
      </c>
      <c r="FM60" s="2" t="s">
        <v>123</v>
      </c>
      <c r="FN60" s="2" t="s">
        <v>132</v>
      </c>
      <c r="GU60" s="2" t="s">
        <v>818</v>
      </c>
      <c r="GV60" s="2" t="s">
        <v>824</v>
      </c>
      <c r="GW60" s="2" t="s">
        <v>788</v>
      </c>
      <c r="GX60" s="2" t="s">
        <v>186</v>
      </c>
      <c r="GY60" s="2">
        <v>1992</v>
      </c>
      <c r="GZ60" s="2" t="s">
        <v>141</v>
      </c>
      <c r="HB60" s="2" t="s">
        <v>965</v>
      </c>
      <c r="HC60" s="2" t="s">
        <v>966</v>
      </c>
    </row>
    <row r="61" spans="1:211" x14ac:dyDescent="0.45">
      <c r="A61" s="2" t="s">
        <v>968</v>
      </c>
      <c r="B61" s="2">
        <v>59</v>
      </c>
      <c r="C61" s="2" t="s">
        <v>370</v>
      </c>
      <c r="D61" s="2" t="s">
        <v>118</v>
      </c>
      <c r="E61" s="2" t="s">
        <v>774</v>
      </c>
      <c r="G61" s="2"/>
      <c r="I61" s="2" t="s">
        <v>119</v>
      </c>
      <c r="J61" s="2" t="s">
        <v>967</v>
      </c>
      <c r="K61" s="2">
        <v>5160</v>
      </c>
      <c r="L61" s="2">
        <v>0</v>
      </c>
      <c r="M61" s="2" t="s">
        <v>122</v>
      </c>
      <c r="N61" s="2" t="s">
        <v>123</v>
      </c>
      <c r="P61" s="2"/>
      <c r="AD61" s="2" t="s">
        <v>124</v>
      </c>
      <c r="AE61" s="2" t="s">
        <v>191</v>
      </c>
      <c r="AF61" s="2">
        <v>2000</v>
      </c>
      <c r="AG61" s="2" t="s">
        <v>148</v>
      </c>
      <c r="AH61" s="2" t="s">
        <v>969</v>
      </c>
      <c r="AI61" s="2" t="s">
        <v>151</v>
      </c>
      <c r="AJ61" s="2" t="s">
        <v>151</v>
      </c>
      <c r="AK61" s="2" t="s">
        <v>162</v>
      </c>
      <c r="AL61" s="2" t="s">
        <v>162</v>
      </c>
      <c r="AM61" s="2" t="s">
        <v>150</v>
      </c>
      <c r="AN61" s="2">
        <v>0</v>
      </c>
      <c r="AO61" s="2" t="s">
        <v>153</v>
      </c>
      <c r="AP61" s="2" t="s">
        <v>226</v>
      </c>
      <c r="AQ61" s="2" t="s">
        <v>802</v>
      </c>
      <c r="AR61" s="2" t="s">
        <v>824</v>
      </c>
      <c r="AS61" s="2" t="s">
        <v>780</v>
      </c>
      <c r="AT61" s="2" t="s">
        <v>230</v>
      </c>
      <c r="AU61" s="2" t="s">
        <v>970</v>
      </c>
      <c r="AV61" s="2" t="s">
        <v>123</v>
      </c>
      <c r="AW61" s="2" t="s">
        <v>132</v>
      </c>
      <c r="CP61" s="2" t="s">
        <v>123</v>
      </c>
      <c r="CZ61" s="2" t="s">
        <v>123</v>
      </c>
      <c r="DJ61" s="2" t="s">
        <v>123</v>
      </c>
      <c r="EM61" s="2" t="s">
        <v>123</v>
      </c>
      <c r="FM61" s="2" t="s">
        <v>123</v>
      </c>
      <c r="FN61" s="2" t="s">
        <v>132</v>
      </c>
      <c r="FP61" s="2" t="s">
        <v>132</v>
      </c>
      <c r="GU61" s="2" t="s">
        <v>786</v>
      </c>
      <c r="GV61" s="2" t="s">
        <v>787</v>
      </c>
      <c r="GW61" s="2" t="s">
        <v>807</v>
      </c>
      <c r="GX61" s="2" t="s">
        <v>186</v>
      </c>
      <c r="GY61" s="2">
        <v>1968</v>
      </c>
      <c r="GZ61" s="2" t="s">
        <v>398</v>
      </c>
      <c r="HA61" s="2" t="s">
        <v>971</v>
      </c>
      <c r="HB61" s="2" t="s">
        <v>972</v>
      </c>
    </row>
    <row r="62" spans="1:211" x14ac:dyDescent="0.45">
      <c r="A62" s="2" t="s">
        <v>974</v>
      </c>
      <c r="B62" s="2">
        <v>60</v>
      </c>
      <c r="C62" s="2" t="s">
        <v>370</v>
      </c>
      <c r="D62" s="2" t="s">
        <v>118</v>
      </c>
      <c r="E62" s="2" t="s">
        <v>774</v>
      </c>
      <c r="G62" s="2"/>
      <c r="I62" s="2" t="s">
        <v>119</v>
      </c>
      <c r="J62" s="2" t="s">
        <v>973</v>
      </c>
      <c r="K62" s="2">
        <v>1963</v>
      </c>
      <c r="L62" s="2">
        <v>0</v>
      </c>
      <c r="M62" s="2" t="s">
        <v>122</v>
      </c>
      <c r="N62" s="2" t="s">
        <v>123</v>
      </c>
      <c r="P62" s="2"/>
      <c r="AD62" s="2" t="s">
        <v>124</v>
      </c>
      <c r="AE62" s="2" t="s">
        <v>975</v>
      </c>
      <c r="AF62" s="2">
        <v>1996</v>
      </c>
      <c r="AG62" s="2" t="s">
        <v>148</v>
      </c>
      <c r="AH62" s="2" t="s">
        <v>601</v>
      </c>
      <c r="AI62" s="2" t="s">
        <v>128</v>
      </c>
      <c r="AJ62" s="2" t="s">
        <v>151</v>
      </c>
      <c r="AK62" s="2" t="s">
        <v>169</v>
      </c>
      <c r="AL62" s="2" t="s">
        <v>129</v>
      </c>
      <c r="AM62" s="2" t="s">
        <v>129</v>
      </c>
      <c r="AN62" s="2" t="s">
        <v>976</v>
      </c>
      <c r="AO62" s="2" t="s">
        <v>131</v>
      </c>
      <c r="AP62" s="2" t="s">
        <v>131</v>
      </c>
      <c r="AQ62" s="2" t="s">
        <v>802</v>
      </c>
      <c r="AR62" s="2" t="s">
        <v>824</v>
      </c>
      <c r="AS62" s="2" t="s">
        <v>977</v>
      </c>
      <c r="AT62" s="2" t="s">
        <v>230</v>
      </c>
      <c r="AV62" s="2" t="s">
        <v>123</v>
      </c>
      <c r="AW62" s="2" t="s">
        <v>132</v>
      </c>
      <c r="CP62" s="2" t="s">
        <v>123</v>
      </c>
      <c r="CZ62" s="2" t="s">
        <v>123</v>
      </c>
      <c r="DJ62" s="2" t="s">
        <v>123</v>
      </c>
      <c r="EM62" s="2" t="s">
        <v>123</v>
      </c>
      <c r="EN62" s="2" t="s">
        <v>178</v>
      </c>
      <c r="EO62" s="2" t="s">
        <v>132</v>
      </c>
      <c r="FM62" s="2" t="s">
        <v>123</v>
      </c>
      <c r="FN62" s="2" t="s">
        <v>132</v>
      </c>
      <c r="FP62" s="2" t="s">
        <v>132</v>
      </c>
      <c r="GU62" s="2" t="s">
        <v>978</v>
      </c>
      <c r="GV62" s="2" t="s">
        <v>819</v>
      </c>
      <c r="GW62" s="2" t="s">
        <v>979</v>
      </c>
      <c r="GX62" s="2" t="s">
        <v>140</v>
      </c>
      <c r="GY62" s="2">
        <v>1962</v>
      </c>
      <c r="GZ62" s="2" t="s">
        <v>220</v>
      </c>
      <c r="HB62" s="2" t="s">
        <v>980</v>
      </c>
      <c r="HC62" s="2" t="s">
        <v>386</v>
      </c>
    </row>
    <row r="63" spans="1:211" x14ac:dyDescent="0.45">
      <c r="A63" s="2" t="s">
        <v>986</v>
      </c>
      <c r="B63" s="2">
        <v>61</v>
      </c>
      <c r="C63" s="2" t="s">
        <v>984</v>
      </c>
      <c r="D63" s="2" t="s">
        <v>118</v>
      </c>
      <c r="E63" s="2" t="s">
        <v>774</v>
      </c>
      <c r="G63" s="2"/>
      <c r="I63" s="2" t="s">
        <v>119</v>
      </c>
      <c r="J63" s="2" t="s">
        <v>985</v>
      </c>
      <c r="K63" s="2">
        <v>1348</v>
      </c>
      <c r="L63" s="2">
        <v>0</v>
      </c>
      <c r="M63" s="2" t="s">
        <v>122</v>
      </c>
      <c r="N63" s="2" t="s">
        <v>123</v>
      </c>
      <c r="P63" s="2"/>
      <c r="AD63" s="2" t="s">
        <v>124</v>
      </c>
      <c r="AE63" s="2" t="s">
        <v>987</v>
      </c>
      <c r="AF63" s="2">
        <v>2015</v>
      </c>
      <c r="AG63" s="2" t="s">
        <v>148</v>
      </c>
      <c r="AH63" s="2" t="s">
        <v>988</v>
      </c>
      <c r="AI63" s="2" t="s">
        <v>169</v>
      </c>
      <c r="AJ63" s="2" t="s">
        <v>150</v>
      </c>
      <c r="AK63" s="2" t="s">
        <v>151</v>
      </c>
      <c r="AL63" s="2" t="s">
        <v>151</v>
      </c>
      <c r="AM63" s="2" t="s">
        <v>151</v>
      </c>
      <c r="AN63" s="2" t="s">
        <v>883</v>
      </c>
      <c r="AO63" s="2" t="s">
        <v>131</v>
      </c>
      <c r="AP63" s="2" t="s">
        <v>302</v>
      </c>
      <c r="AR63" s="2" t="s">
        <v>989</v>
      </c>
      <c r="AS63" s="2" t="s">
        <v>990</v>
      </c>
      <c r="AT63" s="2" t="s">
        <v>157</v>
      </c>
      <c r="AV63" s="2" t="s">
        <v>123</v>
      </c>
      <c r="CP63" s="2" t="s">
        <v>123</v>
      </c>
      <c r="CZ63" s="2" t="s">
        <v>123</v>
      </c>
      <c r="DJ63" s="2" t="s">
        <v>123</v>
      </c>
      <c r="EM63" s="2" t="s">
        <v>123</v>
      </c>
      <c r="FM63" s="2" t="s">
        <v>123</v>
      </c>
      <c r="FN63" s="2" t="s">
        <v>132</v>
      </c>
      <c r="GU63" s="2" t="s">
        <v>786</v>
      </c>
      <c r="GV63" s="2" t="s">
        <v>991</v>
      </c>
      <c r="GW63" s="2" t="s">
        <v>820</v>
      </c>
      <c r="GX63" s="2" t="s">
        <v>140</v>
      </c>
      <c r="GY63" s="2">
        <v>1991</v>
      </c>
      <c r="GZ63" s="2" t="s">
        <v>220</v>
      </c>
    </row>
    <row r="64" spans="1:211" x14ac:dyDescent="0.45">
      <c r="A64" s="2" t="s">
        <v>994</v>
      </c>
      <c r="B64" s="2">
        <v>62</v>
      </c>
      <c r="C64" s="2" t="s">
        <v>984</v>
      </c>
      <c r="D64" s="2" t="s">
        <v>118</v>
      </c>
      <c r="E64" s="2" t="s">
        <v>992</v>
      </c>
      <c r="G64" s="2"/>
      <c r="I64" s="2" t="s">
        <v>119</v>
      </c>
      <c r="J64" s="2" t="s">
        <v>993</v>
      </c>
      <c r="K64" s="2">
        <v>1026</v>
      </c>
      <c r="L64" s="2">
        <v>0</v>
      </c>
      <c r="M64" s="2" t="s">
        <v>122</v>
      </c>
      <c r="N64" s="2" t="s">
        <v>123</v>
      </c>
      <c r="P64" s="2"/>
      <c r="AD64" s="2" t="s">
        <v>124</v>
      </c>
      <c r="AE64" s="2" t="s">
        <v>995</v>
      </c>
      <c r="AF64" s="2">
        <v>2010</v>
      </c>
      <c r="AG64" s="2" t="s">
        <v>148</v>
      </c>
      <c r="AH64" s="2" t="s">
        <v>429</v>
      </c>
      <c r="AI64" s="2" t="s">
        <v>169</v>
      </c>
      <c r="AJ64" s="2" t="s">
        <v>169</v>
      </c>
      <c r="AK64" s="2" t="s">
        <v>150</v>
      </c>
      <c r="AL64" s="2" t="s">
        <v>236</v>
      </c>
      <c r="AM64" s="2" t="s">
        <v>128</v>
      </c>
      <c r="AN64" s="2" t="s">
        <v>883</v>
      </c>
      <c r="AO64" s="2" t="s">
        <v>152</v>
      </c>
      <c r="AP64" s="2" t="s">
        <v>131</v>
      </c>
      <c r="AQ64" s="2" t="s">
        <v>996</v>
      </c>
      <c r="AR64" s="2" t="s">
        <v>794</v>
      </c>
      <c r="AS64" s="2" t="s">
        <v>780</v>
      </c>
      <c r="AT64" s="2" t="s">
        <v>230</v>
      </c>
      <c r="AV64" s="2" t="s">
        <v>123</v>
      </c>
      <c r="AW64" s="2" t="s">
        <v>132</v>
      </c>
      <c r="CP64" s="2" t="s">
        <v>123</v>
      </c>
      <c r="CZ64" s="2" t="s">
        <v>123</v>
      </c>
      <c r="DJ64" s="2" t="s">
        <v>123</v>
      </c>
      <c r="EM64" s="2" t="s">
        <v>123</v>
      </c>
      <c r="EN64" s="2" t="s">
        <v>180</v>
      </c>
      <c r="EO64" s="2" t="s">
        <v>132</v>
      </c>
      <c r="FM64" s="2" t="s">
        <v>123</v>
      </c>
      <c r="FN64" s="2" t="s">
        <v>132</v>
      </c>
      <c r="FP64" s="2" t="s">
        <v>132</v>
      </c>
      <c r="GU64" s="2" t="s">
        <v>786</v>
      </c>
      <c r="GV64" s="2" t="s">
        <v>819</v>
      </c>
      <c r="GW64" s="2" t="s">
        <v>820</v>
      </c>
      <c r="GX64" s="2" t="s">
        <v>186</v>
      </c>
      <c r="GY64" s="2">
        <v>1986</v>
      </c>
      <c r="GZ64" s="2" t="s">
        <v>483</v>
      </c>
      <c r="HB64" s="2" t="s">
        <v>386</v>
      </c>
      <c r="HC64" s="2" t="s">
        <v>386</v>
      </c>
    </row>
    <row r="65" spans="1:211" x14ac:dyDescent="0.45">
      <c r="A65" s="2" t="s">
        <v>1001</v>
      </c>
      <c r="B65" s="2">
        <v>63</v>
      </c>
      <c r="C65" s="2" t="s">
        <v>999</v>
      </c>
      <c r="D65" s="2" t="s">
        <v>118</v>
      </c>
      <c r="E65" s="2" t="s">
        <v>260</v>
      </c>
      <c r="G65" s="2"/>
      <c r="I65" s="2" t="s">
        <v>119</v>
      </c>
      <c r="J65" s="2" t="s">
        <v>1000</v>
      </c>
      <c r="K65" s="2">
        <v>18013</v>
      </c>
      <c r="L65" s="2">
        <v>0</v>
      </c>
      <c r="M65" s="2" t="s">
        <v>122</v>
      </c>
      <c r="N65" s="2" t="s">
        <v>123</v>
      </c>
      <c r="P65" s="2"/>
      <c r="AD65" s="2" t="s">
        <v>124</v>
      </c>
      <c r="AE65" s="2" t="s">
        <v>1002</v>
      </c>
      <c r="AF65" s="2">
        <v>1996</v>
      </c>
      <c r="AG65" s="2" t="s">
        <v>148</v>
      </c>
      <c r="AH65" s="2" t="s">
        <v>1003</v>
      </c>
      <c r="AI65" s="2" t="s">
        <v>150</v>
      </c>
      <c r="AJ65" s="2" t="s">
        <v>150</v>
      </c>
      <c r="AK65" s="2" t="s">
        <v>162</v>
      </c>
      <c r="AL65" s="2" t="s">
        <v>129</v>
      </c>
      <c r="AM65" s="2" t="s">
        <v>236</v>
      </c>
      <c r="AN65" s="2">
        <v>1</v>
      </c>
      <c r="AO65" s="2" t="s">
        <v>131</v>
      </c>
      <c r="AP65" s="2" t="s">
        <v>153</v>
      </c>
      <c r="AQ65" s="2" t="s">
        <v>1004</v>
      </c>
      <c r="AR65" s="2" t="s">
        <v>1005</v>
      </c>
      <c r="AS65" s="2" t="s">
        <v>532</v>
      </c>
      <c r="AT65" s="2" t="s">
        <v>157</v>
      </c>
      <c r="AU65" s="2" t="s">
        <v>1006</v>
      </c>
      <c r="AV65" s="2" t="s">
        <v>123</v>
      </c>
      <c r="AW65" s="2" t="s">
        <v>132</v>
      </c>
      <c r="CP65" s="2" t="s">
        <v>123</v>
      </c>
      <c r="CZ65" s="2" t="s">
        <v>123</v>
      </c>
      <c r="DJ65" s="2" t="s">
        <v>123</v>
      </c>
      <c r="EM65" s="2" t="s">
        <v>177</v>
      </c>
      <c r="EN65" s="2" t="s">
        <v>178</v>
      </c>
      <c r="EO65" s="2" t="s">
        <v>132</v>
      </c>
      <c r="EP65" s="2" t="s">
        <v>1002</v>
      </c>
      <c r="EQ65" s="2" t="s">
        <v>236</v>
      </c>
      <c r="ER65" s="2" t="s">
        <v>236</v>
      </c>
      <c r="ES65" s="2" t="s">
        <v>151</v>
      </c>
      <c r="ET65" s="2" t="s">
        <v>178</v>
      </c>
      <c r="EU65" s="2" t="s">
        <v>1007</v>
      </c>
      <c r="EV65" s="2" t="s">
        <v>1008</v>
      </c>
      <c r="EW65" s="2" t="s">
        <v>173</v>
      </c>
      <c r="FM65" s="2" t="s">
        <v>123</v>
      </c>
      <c r="FN65" s="2" t="s">
        <v>132</v>
      </c>
      <c r="FP65" s="2" t="s">
        <v>132</v>
      </c>
      <c r="GU65" s="2" t="s">
        <v>1009</v>
      </c>
      <c r="GV65" s="2" t="s">
        <v>1007</v>
      </c>
      <c r="GW65" s="2" t="s">
        <v>1009</v>
      </c>
      <c r="GX65" s="2" t="s">
        <v>186</v>
      </c>
      <c r="GY65" s="2">
        <v>1966</v>
      </c>
      <c r="GZ65" s="2" t="s">
        <v>141</v>
      </c>
    </row>
    <row r="66" spans="1:211" x14ac:dyDescent="0.45">
      <c r="A66" s="2" t="s">
        <v>1016</v>
      </c>
      <c r="B66" s="2">
        <v>64</v>
      </c>
      <c r="C66" s="2" t="s">
        <v>1014</v>
      </c>
      <c r="D66" s="2" t="s">
        <v>118</v>
      </c>
      <c r="G66" s="2"/>
      <c r="I66" s="2" t="s">
        <v>119</v>
      </c>
      <c r="J66" s="2" t="s">
        <v>1015</v>
      </c>
      <c r="K66" s="2">
        <v>1293</v>
      </c>
      <c r="L66" s="2">
        <v>0</v>
      </c>
      <c r="M66" s="2" t="s">
        <v>122</v>
      </c>
      <c r="N66" s="2" t="s">
        <v>123</v>
      </c>
      <c r="P66" s="2"/>
      <c r="AD66" s="2" t="s">
        <v>124</v>
      </c>
      <c r="AE66" s="2" t="s">
        <v>742</v>
      </c>
      <c r="AF66" s="2">
        <v>2003</v>
      </c>
      <c r="AG66" s="2" t="s">
        <v>148</v>
      </c>
      <c r="AH66" s="2" t="s">
        <v>1017</v>
      </c>
      <c r="AI66" s="2" t="s">
        <v>128</v>
      </c>
      <c r="AJ66" s="2" t="s">
        <v>128</v>
      </c>
      <c r="AK66" s="2" t="s">
        <v>128</v>
      </c>
      <c r="AL66" s="2" t="s">
        <v>236</v>
      </c>
      <c r="AM66" s="2" t="s">
        <v>132</v>
      </c>
      <c r="AN66" s="2" t="s">
        <v>1018</v>
      </c>
      <c r="AO66" s="2" t="s">
        <v>131</v>
      </c>
      <c r="AP66" s="2" t="s">
        <v>131</v>
      </c>
      <c r="AR66" s="2" t="s">
        <v>1019</v>
      </c>
      <c r="AS66" s="2" t="s">
        <v>1020</v>
      </c>
      <c r="AT66" s="2" t="s">
        <v>157</v>
      </c>
      <c r="AV66" s="2" t="s">
        <v>123</v>
      </c>
      <c r="AW66" s="2" t="s">
        <v>132</v>
      </c>
      <c r="CP66" s="2" t="s">
        <v>123</v>
      </c>
      <c r="CZ66" s="2" t="s">
        <v>123</v>
      </c>
      <c r="DJ66" s="2" t="s">
        <v>123</v>
      </c>
      <c r="EM66" s="2" t="s">
        <v>123</v>
      </c>
      <c r="EN66" s="2" t="s">
        <v>180</v>
      </c>
      <c r="EO66" s="2" t="s">
        <v>132</v>
      </c>
      <c r="FM66" s="2" t="s">
        <v>123</v>
      </c>
      <c r="FN66" s="2" t="s">
        <v>132</v>
      </c>
      <c r="FP66" s="2" t="s">
        <v>132</v>
      </c>
      <c r="GU66" s="2" t="s">
        <v>276</v>
      </c>
      <c r="GV66" s="2" t="s">
        <v>1021</v>
      </c>
      <c r="GW66" s="2" t="s">
        <v>1022</v>
      </c>
      <c r="GX66" s="2" t="s">
        <v>140</v>
      </c>
      <c r="GY66" s="2">
        <v>1980</v>
      </c>
      <c r="GZ66" s="2" t="s">
        <v>483</v>
      </c>
      <c r="HB66" s="2" t="s">
        <v>1023</v>
      </c>
    </row>
    <row r="67" spans="1:211" x14ac:dyDescent="0.45">
      <c r="A67" s="2" t="s">
        <v>1036</v>
      </c>
      <c r="B67" s="2">
        <v>65</v>
      </c>
      <c r="C67" s="2" t="s">
        <v>1033</v>
      </c>
      <c r="D67" s="2" t="s">
        <v>118</v>
      </c>
      <c r="E67" s="2" t="s">
        <v>1034</v>
      </c>
      <c r="G67" s="2"/>
      <c r="I67" s="2" t="s">
        <v>119</v>
      </c>
      <c r="J67" s="2" t="s">
        <v>1035</v>
      </c>
      <c r="K67" s="2">
        <v>1167</v>
      </c>
      <c r="L67" s="2">
        <v>0</v>
      </c>
      <c r="M67" s="2" t="s">
        <v>122</v>
      </c>
      <c r="N67" s="2" t="s">
        <v>123</v>
      </c>
      <c r="P67" s="2"/>
      <c r="AD67" s="2" t="s">
        <v>124</v>
      </c>
      <c r="AE67" s="2" t="s">
        <v>1037</v>
      </c>
      <c r="AF67" s="2" t="s">
        <v>1038</v>
      </c>
      <c r="AG67" s="2" t="s">
        <v>126</v>
      </c>
      <c r="AH67" s="2" t="s">
        <v>1039</v>
      </c>
      <c r="AI67" s="2" t="s">
        <v>128</v>
      </c>
      <c r="AJ67" s="2" t="s">
        <v>151</v>
      </c>
      <c r="AK67" s="2" t="s">
        <v>236</v>
      </c>
      <c r="AL67" s="2" t="s">
        <v>129</v>
      </c>
      <c r="AM67" s="2" t="s">
        <v>129</v>
      </c>
      <c r="AN67" s="2">
        <v>5</v>
      </c>
      <c r="AO67" s="2" t="s">
        <v>302</v>
      </c>
      <c r="AP67" s="2" t="s">
        <v>302</v>
      </c>
      <c r="AR67" s="2" t="s">
        <v>1040</v>
      </c>
      <c r="AS67" s="2" t="s">
        <v>1041</v>
      </c>
      <c r="AT67" s="2" t="s">
        <v>892</v>
      </c>
      <c r="AU67" s="2" t="s">
        <v>1042</v>
      </c>
      <c r="AV67" s="2" t="s">
        <v>123</v>
      </c>
      <c r="AW67" s="2" t="s">
        <v>132</v>
      </c>
      <c r="CP67" s="2" t="s">
        <v>123</v>
      </c>
      <c r="CZ67" s="2" t="s">
        <v>123</v>
      </c>
      <c r="DJ67" s="2" t="s">
        <v>123</v>
      </c>
      <c r="EM67" s="2" t="s">
        <v>123</v>
      </c>
      <c r="EN67" s="2" t="s">
        <v>180</v>
      </c>
      <c r="EO67" s="2" t="s">
        <v>132</v>
      </c>
      <c r="FM67" s="2" t="s">
        <v>123</v>
      </c>
      <c r="FN67" s="2" t="s">
        <v>132</v>
      </c>
      <c r="FP67" s="2" t="s">
        <v>132</v>
      </c>
      <c r="GU67" s="2" t="s">
        <v>1043</v>
      </c>
      <c r="GV67" s="2" t="s">
        <v>1044</v>
      </c>
      <c r="GW67" s="2" t="s">
        <v>1045</v>
      </c>
      <c r="GX67" s="2" t="s">
        <v>186</v>
      </c>
      <c r="GY67" s="2">
        <v>1982</v>
      </c>
      <c r="GZ67" s="2" t="s">
        <v>246</v>
      </c>
    </row>
    <row r="68" spans="1:211" x14ac:dyDescent="0.45">
      <c r="A68" s="2" t="s">
        <v>1048</v>
      </c>
      <c r="B68" s="2">
        <v>66</v>
      </c>
      <c r="C68" s="2" t="s">
        <v>1046</v>
      </c>
      <c r="D68" s="2" t="s">
        <v>118</v>
      </c>
      <c r="G68" s="2"/>
      <c r="I68" s="2" t="s">
        <v>119</v>
      </c>
      <c r="J68" s="2" t="s">
        <v>1047</v>
      </c>
      <c r="K68" s="2">
        <v>1978</v>
      </c>
      <c r="L68" s="2">
        <v>0</v>
      </c>
      <c r="M68" s="2" t="s">
        <v>122</v>
      </c>
      <c r="N68" s="2" t="s">
        <v>123</v>
      </c>
      <c r="P68" s="2"/>
      <c r="AD68" s="2" t="s">
        <v>124</v>
      </c>
      <c r="AE68" s="2" t="s">
        <v>1049</v>
      </c>
      <c r="AF68" s="2">
        <v>2009</v>
      </c>
      <c r="AG68" s="2" t="s">
        <v>148</v>
      </c>
      <c r="AH68" s="2" t="s">
        <v>1050</v>
      </c>
      <c r="AI68" s="2" t="s">
        <v>150</v>
      </c>
      <c r="AJ68" s="2" t="s">
        <v>162</v>
      </c>
      <c r="AK68" s="2" t="s">
        <v>169</v>
      </c>
      <c r="AL68" s="2" t="s">
        <v>162</v>
      </c>
      <c r="AM68" s="2" t="s">
        <v>150</v>
      </c>
      <c r="AN68" s="2" t="s">
        <v>1051</v>
      </c>
      <c r="AO68" s="2" t="s">
        <v>302</v>
      </c>
      <c r="AP68" s="2" t="s">
        <v>153</v>
      </c>
      <c r="AQ68" s="2" t="s">
        <v>1052</v>
      </c>
      <c r="AR68" s="2" t="s">
        <v>1053</v>
      </c>
      <c r="AS68" s="2" t="s">
        <v>1054</v>
      </c>
      <c r="AT68" s="2" t="s">
        <v>230</v>
      </c>
      <c r="AU68" s="2" t="s">
        <v>1050</v>
      </c>
      <c r="AV68" s="2" t="s">
        <v>123</v>
      </c>
      <c r="AW68" s="2" t="s">
        <v>132</v>
      </c>
      <c r="CP68" s="2" t="s">
        <v>123</v>
      </c>
      <c r="CZ68" s="2" t="s">
        <v>123</v>
      </c>
      <c r="DJ68" s="2" t="s">
        <v>123</v>
      </c>
      <c r="EM68" s="2" t="s">
        <v>123</v>
      </c>
      <c r="EN68" s="2" t="s">
        <v>180</v>
      </c>
      <c r="EO68" s="2" t="s">
        <v>132</v>
      </c>
      <c r="FM68" s="2" t="s">
        <v>123</v>
      </c>
      <c r="FN68" s="2" t="s">
        <v>132</v>
      </c>
      <c r="FP68" s="2" t="s">
        <v>132</v>
      </c>
      <c r="GU68" s="2" t="s">
        <v>1055</v>
      </c>
      <c r="GV68" s="2" t="s">
        <v>1056</v>
      </c>
      <c r="GW68" s="2" t="s">
        <v>1057</v>
      </c>
      <c r="GX68" s="2" t="s">
        <v>186</v>
      </c>
      <c r="GY68" s="2">
        <v>1978</v>
      </c>
      <c r="GZ68" s="2" t="s">
        <v>141</v>
      </c>
      <c r="HB68" s="2" t="s">
        <v>1058</v>
      </c>
    </row>
    <row r="69" spans="1:211" x14ac:dyDescent="0.45">
      <c r="A69" s="2" t="s">
        <v>1067</v>
      </c>
      <c r="B69" s="2">
        <v>67</v>
      </c>
      <c r="C69" s="2" t="s">
        <v>1065</v>
      </c>
      <c r="D69" s="2" t="s">
        <v>118</v>
      </c>
      <c r="G69" s="2"/>
      <c r="I69" s="2" t="s">
        <v>119</v>
      </c>
      <c r="J69" s="2" t="s">
        <v>1066</v>
      </c>
      <c r="K69" s="2">
        <v>2803</v>
      </c>
      <c r="L69" s="2">
        <v>0</v>
      </c>
      <c r="M69" s="2" t="s">
        <v>122</v>
      </c>
      <c r="N69" s="2" t="s">
        <v>123</v>
      </c>
      <c r="P69" s="2"/>
      <c r="AD69" s="2" t="s">
        <v>124</v>
      </c>
      <c r="AE69" s="2" t="s">
        <v>1068</v>
      </c>
      <c r="AF69" s="2">
        <v>2019</v>
      </c>
      <c r="AG69" s="2" t="s">
        <v>148</v>
      </c>
      <c r="AH69" s="2" t="s">
        <v>1069</v>
      </c>
      <c r="AI69" s="2" t="s">
        <v>128</v>
      </c>
      <c r="AJ69" s="2" t="s">
        <v>151</v>
      </c>
      <c r="AK69" s="2" t="s">
        <v>128</v>
      </c>
      <c r="AL69" s="2" t="s">
        <v>129</v>
      </c>
      <c r="AM69" s="2" t="s">
        <v>132</v>
      </c>
      <c r="AN69" s="2" t="s">
        <v>1070</v>
      </c>
      <c r="AO69" s="2" t="s">
        <v>153</v>
      </c>
      <c r="AP69" s="2" t="s">
        <v>132</v>
      </c>
      <c r="AR69" s="2" t="s">
        <v>1071</v>
      </c>
      <c r="AS69" s="2" t="s">
        <v>1072</v>
      </c>
      <c r="AT69" s="2" t="s">
        <v>892</v>
      </c>
      <c r="AV69" s="2" t="s">
        <v>123</v>
      </c>
      <c r="CP69" s="2" t="s">
        <v>123</v>
      </c>
      <c r="CZ69" s="2" t="s">
        <v>123</v>
      </c>
      <c r="DJ69" s="2" t="s">
        <v>123</v>
      </c>
      <c r="EM69" s="2" t="s">
        <v>123</v>
      </c>
      <c r="FM69" s="2" t="s">
        <v>123</v>
      </c>
      <c r="FN69" s="2" t="s">
        <v>132</v>
      </c>
      <c r="GU69" s="2" t="s">
        <v>1073</v>
      </c>
      <c r="GV69" s="2" t="s">
        <v>1074</v>
      </c>
      <c r="GW69" s="2" t="s">
        <v>1075</v>
      </c>
      <c r="GX69" s="2" t="s">
        <v>140</v>
      </c>
      <c r="GY69" s="2">
        <v>1991</v>
      </c>
      <c r="GZ69" s="2" t="s">
        <v>398</v>
      </c>
      <c r="HC69" s="2" t="s">
        <v>1076</v>
      </c>
    </row>
    <row r="70" spans="1:211" x14ac:dyDescent="0.45">
      <c r="A70" s="2" t="s">
        <v>1079</v>
      </c>
      <c r="B70" s="2">
        <v>68</v>
      </c>
      <c r="C70" s="2" t="s">
        <v>1077</v>
      </c>
      <c r="D70" s="2" t="s">
        <v>118</v>
      </c>
      <c r="G70" s="2"/>
      <c r="I70" s="2" t="s">
        <v>119</v>
      </c>
      <c r="J70" s="2" t="s">
        <v>1078</v>
      </c>
      <c r="K70" s="2">
        <v>862</v>
      </c>
      <c r="L70" s="2">
        <v>0</v>
      </c>
      <c r="M70" s="2" t="s">
        <v>122</v>
      </c>
      <c r="N70" s="2" t="s">
        <v>123</v>
      </c>
      <c r="P70" s="2"/>
      <c r="AD70" s="2" t="s">
        <v>124</v>
      </c>
      <c r="AE70" s="2" t="s">
        <v>223</v>
      </c>
      <c r="AF70" s="2">
        <v>2007</v>
      </c>
      <c r="AG70" s="2" t="s">
        <v>148</v>
      </c>
      <c r="AH70" s="2" t="s">
        <v>969</v>
      </c>
      <c r="AI70" s="2" t="s">
        <v>151</v>
      </c>
      <c r="AJ70" s="2" t="s">
        <v>151</v>
      </c>
      <c r="AK70" s="2" t="s">
        <v>150</v>
      </c>
      <c r="AL70" s="2" t="s">
        <v>162</v>
      </c>
      <c r="AM70" s="2" t="s">
        <v>150</v>
      </c>
      <c r="AN70" s="2" t="s">
        <v>237</v>
      </c>
      <c r="AO70" s="2" t="s">
        <v>131</v>
      </c>
      <c r="AP70" s="2" t="s">
        <v>302</v>
      </c>
      <c r="AR70" s="2" t="s">
        <v>1080</v>
      </c>
      <c r="AS70" s="2" t="s">
        <v>1081</v>
      </c>
      <c r="AT70" s="2" t="s">
        <v>230</v>
      </c>
      <c r="AV70" s="2" t="s">
        <v>123</v>
      </c>
      <c r="AW70" s="2" t="s">
        <v>132</v>
      </c>
      <c r="CP70" s="2" t="s">
        <v>123</v>
      </c>
      <c r="CZ70" s="2" t="s">
        <v>123</v>
      </c>
      <c r="DJ70" s="2" t="s">
        <v>123</v>
      </c>
      <c r="EM70" s="2" t="s">
        <v>123</v>
      </c>
      <c r="EN70" s="2" t="s">
        <v>178</v>
      </c>
      <c r="EO70" s="2" t="s">
        <v>132</v>
      </c>
      <c r="EP70" s="2" t="s">
        <v>1082</v>
      </c>
      <c r="EQ70" s="2" t="s">
        <v>151</v>
      </c>
      <c r="ER70" s="2" t="s">
        <v>151</v>
      </c>
      <c r="ES70" s="2" t="s">
        <v>151</v>
      </c>
      <c r="ET70" s="2" t="s">
        <v>178</v>
      </c>
      <c r="EV70" s="2" t="s">
        <v>1083</v>
      </c>
      <c r="EW70" s="2" t="s">
        <v>173</v>
      </c>
      <c r="FM70" s="2" t="s">
        <v>123</v>
      </c>
      <c r="FN70" s="2" t="s">
        <v>132</v>
      </c>
      <c r="FP70" s="2" t="s">
        <v>132</v>
      </c>
      <c r="GU70" s="2" t="s">
        <v>1084</v>
      </c>
      <c r="GV70" s="2" t="s">
        <v>1085</v>
      </c>
      <c r="GW70" s="2" t="s">
        <v>1086</v>
      </c>
      <c r="GX70" s="2" t="s">
        <v>140</v>
      </c>
      <c r="GY70" s="2">
        <v>1982</v>
      </c>
      <c r="GZ70" s="2" t="s">
        <v>141</v>
      </c>
    </row>
    <row r="71" spans="1:211" x14ac:dyDescent="0.45">
      <c r="A71" s="2" t="s">
        <v>1089</v>
      </c>
      <c r="B71" s="2">
        <v>69</v>
      </c>
      <c r="C71" s="2" t="s">
        <v>1087</v>
      </c>
      <c r="D71" s="2" t="s">
        <v>118</v>
      </c>
      <c r="G71" s="2"/>
      <c r="I71" s="2" t="s">
        <v>119</v>
      </c>
      <c r="J71" s="2" t="s">
        <v>1088</v>
      </c>
      <c r="K71" s="2">
        <v>1206</v>
      </c>
      <c r="L71" s="2">
        <v>0</v>
      </c>
      <c r="M71" s="2" t="s">
        <v>122</v>
      </c>
      <c r="N71" s="2" t="s">
        <v>123</v>
      </c>
      <c r="P71" s="2"/>
      <c r="AD71" s="2" t="s">
        <v>124</v>
      </c>
      <c r="AE71" s="2" t="s">
        <v>1090</v>
      </c>
      <c r="AF71" s="2">
        <v>2004</v>
      </c>
      <c r="AG71" s="2" t="s">
        <v>126</v>
      </c>
      <c r="AH71" s="2" t="s">
        <v>844</v>
      </c>
      <c r="AI71" s="2" t="s">
        <v>162</v>
      </c>
      <c r="AJ71" s="2" t="s">
        <v>162</v>
      </c>
      <c r="AK71" s="2" t="s">
        <v>150</v>
      </c>
      <c r="AL71" s="2" t="s">
        <v>151</v>
      </c>
      <c r="AM71" s="2" t="s">
        <v>150</v>
      </c>
      <c r="AN71" s="2" t="s">
        <v>237</v>
      </c>
      <c r="AO71" s="2" t="s">
        <v>302</v>
      </c>
      <c r="AP71" s="2" t="s">
        <v>226</v>
      </c>
      <c r="AQ71" s="2" t="s">
        <v>1091</v>
      </c>
      <c r="AR71" s="2" t="s">
        <v>1092</v>
      </c>
      <c r="AS71" s="2" t="s">
        <v>1093</v>
      </c>
      <c r="AT71" s="2" t="s">
        <v>157</v>
      </c>
      <c r="AV71" s="2" t="s">
        <v>123</v>
      </c>
      <c r="CP71" s="2" t="s">
        <v>123</v>
      </c>
      <c r="CZ71" s="2" t="s">
        <v>123</v>
      </c>
      <c r="DJ71" s="2" t="s">
        <v>123</v>
      </c>
      <c r="EM71" s="2" t="s">
        <v>123</v>
      </c>
      <c r="FM71" s="2" t="s">
        <v>123</v>
      </c>
      <c r="FN71" s="2" t="s">
        <v>132</v>
      </c>
      <c r="GU71" s="2" t="s">
        <v>1094</v>
      </c>
      <c r="GV71" s="2" t="s">
        <v>1095</v>
      </c>
      <c r="GW71" s="2" t="s">
        <v>1096</v>
      </c>
      <c r="GX71" s="2" t="s">
        <v>140</v>
      </c>
      <c r="GY71" s="2">
        <v>1976</v>
      </c>
      <c r="GZ71" s="2" t="s">
        <v>141</v>
      </c>
    </row>
    <row r="72" spans="1:211" x14ac:dyDescent="0.45">
      <c r="A72" s="2" t="s">
        <v>1100</v>
      </c>
      <c r="B72" s="2">
        <v>70</v>
      </c>
      <c r="C72" s="2" t="s">
        <v>1098</v>
      </c>
      <c r="D72" s="2" t="s">
        <v>118</v>
      </c>
      <c r="G72" s="2"/>
      <c r="I72" s="2" t="s">
        <v>119</v>
      </c>
      <c r="J72" s="2" t="s">
        <v>1099</v>
      </c>
      <c r="K72" s="2">
        <v>358</v>
      </c>
      <c r="L72" s="2">
        <v>0</v>
      </c>
      <c r="M72" s="2" t="s">
        <v>122</v>
      </c>
      <c r="N72" s="2" t="s">
        <v>123</v>
      </c>
      <c r="P72" s="2"/>
      <c r="AD72" s="2" t="s">
        <v>124</v>
      </c>
      <c r="AE72" s="2" t="s">
        <v>1090</v>
      </c>
      <c r="AF72" s="2">
        <v>2018</v>
      </c>
      <c r="AG72" s="2" t="s">
        <v>126</v>
      </c>
      <c r="AH72" s="2" t="s">
        <v>844</v>
      </c>
      <c r="AI72" s="2" t="s">
        <v>150</v>
      </c>
      <c r="AJ72" s="2" t="s">
        <v>151</v>
      </c>
      <c r="AK72" s="2" t="s">
        <v>162</v>
      </c>
      <c r="AL72" s="2" t="s">
        <v>150</v>
      </c>
      <c r="AM72" s="2" t="s">
        <v>132</v>
      </c>
      <c r="AN72" s="2">
        <v>1</v>
      </c>
      <c r="AO72" s="2" t="s">
        <v>153</v>
      </c>
      <c r="AP72" s="2" t="s">
        <v>132</v>
      </c>
      <c r="AR72" s="2" t="s">
        <v>1101</v>
      </c>
      <c r="AS72" s="2" t="s">
        <v>1102</v>
      </c>
      <c r="AT72" s="2" t="s">
        <v>157</v>
      </c>
      <c r="AV72" s="2" t="s">
        <v>123</v>
      </c>
      <c r="AW72" s="2" t="s">
        <v>132</v>
      </c>
      <c r="CP72" s="2" t="s">
        <v>123</v>
      </c>
      <c r="CZ72" s="2" t="s">
        <v>123</v>
      </c>
      <c r="DJ72" s="2" t="s">
        <v>123</v>
      </c>
      <c r="EM72" s="2" t="s">
        <v>123</v>
      </c>
      <c r="FM72" s="2" t="s">
        <v>123</v>
      </c>
      <c r="GU72" s="2" t="s">
        <v>1103</v>
      </c>
      <c r="GV72" s="2" t="s">
        <v>1104</v>
      </c>
      <c r="GW72" s="2" t="s">
        <v>1105</v>
      </c>
      <c r="GX72" s="2" t="s">
        <v>140</v>
      </c>
      <c r="GY72" s="2">
        <v>1991</v>
      </c>
      <c r="GZ72" s="2" t="s">
        <v>141</v>
      </c>
    </row>
    <row r="73" spans="1:211" x14ac:dyDescent="0.45">
      <c r="A73" s="2" t="s">
        <v>1133</v>
      </c>
      <c r="B73" s="2">
        <v>71</v>
      </c>
      <c r="C73" s="2" t="s">
        <v>1131</v>
      </c>
      <c r="D73" s="2" t="s">
        <v>118</v>
      </c>
      <c r="G73" s="2"/>
      <c r="I73" s="2" t="s">
        <v>119</v>
      </c>
      <c r="J73" s="2" t="s">
        <v>1132</v>
      </c>
      <c r="K73" s="2">
        <v>3215</v>
      </c>
      <c r="L73" s="2">
        <v>0</v>
      </c>
      <c r="M73" s="2" t="s">
        <v>122</v>
      </c>
      <c r="N73" s="2" t="s">
        <v>123</v>
      </c>
      <c r="P73" s="2"/>
      <c r="AD73" s="2" t="s">
        <v>124</v>
      </c>
      <c r="AE73" s="2" t="s">
        <v>191</v>
      </c>
      <c r="AF73" s="2">
        <v>2015</v>
      </c>
      <c r="AG73" s="2" t="s">
        <v>126</v>
      </c>
      <c r="AH73" s="2" t="s">
        <v>1134</v>
      </c>
      <c r="AI73" s="2" t="s">
        <v>128</v>
      </c>
      <c r="AJ73" s="2" t="s">
        <v>151</v>
      </c>
      <c r="AK73" s="2" t="s">
        <v>169</v>
      </c>
      <c r="AL73" s="2" t="s">
        <v>162</v>
      </c>
      <c r="AM73" s="2" t="s">
        <v>150</v>
      </c>
      <c r="AN73" s="2">
        <v>1</v>
      </c>
      <c r="AO73" s="2" t="s">
        <v>302</v>
      </c>
      <c r="AP73" s="2" t="s">
        <v>226</v>
      </c>
      <c r="AQ73" s="2" t="s">
        <v>1135</v>
      </c>
      <c r="AR73" s="2" t="s">
        <v>1136</v>
      </c>
      <c r="AS73" s="2" t="s">
        <v>1137</v>
      </c>
      <c r="AT73" s="2" t="s">
        <v>172</v>
      </c>
      <c r="AV73" s="2" t="s">
        <v>123</v>
      </c>
      <c r="AW73" s="2" t="s">
        <v>132</v>
      </c>
      <c r="CP73" s="2" t="s">
        <v>123</v>
      </c>
      <c r="CZ73" s="2" t="s">
        <v>123</v>
      </c>
      <c r="DJ73" s="2" t="s">
        <v>123</v>
      </c>
      <c r="EM73" s="2" t="s">
        <v>123</v>
      </c>
      <c r="FM73" s="2" t="s">
        <v>123</v>
      </c>
      <c r="GU73" s="2" t="s">
        <v>1138</v>
      </c>
      <c r="GV73" s="2" t="s">
        <v>1139</v>
      </c>
      <c r="GW73" s="2" t="s">
        <v>1140</v>
      </c>
      <c r="GX73" s="2" t="s">
        <v>186</v>
      </c>
      <c r="GY73" s="2">
        <v>1991</v>
      </c>
      <c r="GZ73" s="2" t="s">
        <v>141</v>
      </c>
      <c r="HB73" s="2" t="s">
        <v>1141</v>
      </c>
    </row>
    <row r="74" spans="1:211" x14ac:dyDescent="0.45">
      <c r="A74" s="2" t="s">
        <v>1144</v>
      </c>
      <c r="B74" s="2">
        <v>72</v>
      </c>
      <c r="C74" s="2" t="s">
        <v>1142</v>
      </c>
      <c r="D74" s="2" t="s">
        <v>118</v>
      </c>
      <c r="G74" s="2"/>
      <c r="I74" s="2" t="s">
        <v>119</v>
      </c>
      <c r="J74" s="2" t="s">
        <v>1143</v>
      </c>
      <c r="K74" s="2">
        <v>258</v>
      </c>
      <c r="L74" s="2">
        <v>0</v>
      </c>
      <c r="M74" s="2" t="s">
        <v>122</v>
      </c>
      <c r="N74" s="2" t="s">
        <v>123</v>
      </c>
      <c r="P74" s="2"/>
      <c r="AD74" s="2" t="s">
        <v>124</v>
      </c>
      <c r="AE74" s="2" t="s">
        <v>1145</v>
      </c>
      <c r="AF74" s="2">
        <v>2016</v>
      </c>
      <c r="AG74" s="2" t="s">
        <v>126</v>
      </c>
      <c r="AH74" s="2" t="s">
        <v>1146</v>
      </c>
      <c r="AI74" s="2" t="s">
        <v>150</v>
      </c>
      <c r="AJ74" s="2" t="s">
        <v>150</v>
      </c>
      <c r="AK74" s="2" t="s">
        <v>169</v>
      </c>
      <c r="AL74" s="2" t="s">
        <v>169</v>
      </c>
      <c r="AM74" s="2" t="s">
        <v>169</v>
      </c>
      <c r="AN74" s="2">
        <v>3</v>
      </c>
      <c r="AO74" s="2" t="s">
        <v>302</v>
      </c>
      <c r="AP74" s="2" t="s">
        <v>943</v>
      </c>
      <c r="AR74" s="2" t="s">
        <v>1147</v>
      </c>
      <c r="AS74" s="2" t="s">
        <v>1148</v>
      </c>
      <c r="AT74" s="2" t="s">
        <v>892</v>
      </c>
      <c r="AV74" s="2" t="s">
        <v>123</v>
      </c>
      <c r="AW74" s="2" t="s">
        <v>132</v>
      </c>
      <c r="CP74" s="2" t="s">
        <v>123</v>
      </c>
      <c r="CZ74" s="2" t="s">
        <v>123</v>
      </c>
      <c r="DJ74" s="2" t="s">
        <v>123</v>
      </c>
      <c r="EM74" s="2" t="s">
        <v>123</v>
      </c>
      <c r="EN74" s="2" t="s">
        <v>178</v>
      </c>
      <c r="EO74" s="2">
        <v>1</v>
      </c>
      <c r="FM74" s="2" t="s">
        <v>123</v>
      </c>
      <c r="GU74" s="2" t="s">
        <v>1149</v>
      </c>
      <c r="GV74" s="2" t="s">
        <v>1149</v>
      </c>
      <c r="GW74" s="2" t="s">
        <v>1150</v>
      </c>
      <c r="GX74" s="2" t="s">
        <v>186</v>
      </c>
      <c r="GY74" s="2">
        <v>1986</v>
      </c>
      <c r="GZ74" s="2" t="s">
        <v>398</v>
      </c>
    </row>
    <row r="75" spans="1:211" x14ac:dyDescent="0.45">
      <c r="A75" s="2" t="s">
        <v>1154</v>
      </c>
      <c r="B75" s="2">
        <v>73</v>
      </c>
      <c r="C75" s="2" t="s">
        <v>1151</v>
      </c>
      <c r="D75" s="2" t="s">
        <v>118</v>
      </c>
      <c r="E75" s="2" t="s">
        <v>1152</v>
      </c>
      <c r="G75" s="2"/>
      <c r="I75" s="2" t="s">
        <v>119</v>
      </c>
      <c r="J75" s="2" t="s">
        <v>1153</v>
      </c>
      <c r="K75" s="2">
        <v>1159</v>
      </c>
      <c r="L75" s="2">
        <v>0</v>
      </c>
      <c r="M75" s="2" t="s">
        <v>122</v>
      </c>
      <c r="N75" s="2" t="s">
        <v>123</v>
      </c>
      <c r="P75" s="2"/>
      <c r="AD75" s="2" t="s">
        <v>124</v>
      </c>
      <c r="AE75" s="2" t="s">
        <v>191</v>
      </c>
      <c r="AF75" s="2">
        <v>2018</v>
      </c>
      <c r="AG75" s="2" t="s">
        <v>126</v>
      </c>
      <c r="AH75" s="2" t="s">
        <v>969</v>
      </c>
      <c r="AI75" s="2" t="s">
        <v>150</v>
      </c>
      <c r="AJ75" s="2" t="s">
        <v>150</v>
      </c>
      <c r="AK75" s="2" t="s">
        <v>162</v>
      </c>
      <c r="AL75" s="2" t="s">
        <v>128</v>
      </c>
      <c r="AM75" s="2" t="s">
        <v>151</v>
      </c>
      <c r="AN75" s="2" t="s">
        <v>530</v>
      </c>
      <c r="AO75" s="2" t="s">
        <v>131</v>
      </c>
      <c r="AP75" s="2" t="s">
        <v>302</v>
      </c>
      <c r="AQ75" s="2" t="s">
        <v>1155</v>
      </c>
      <c r="AR75" s="2" t="s">
        <v>1156</v>
      </c>
      <c r="AS75" s="2" t="s">
        <v>1157</v>
      </c>
      <c r="AT75" s="2" t="s">
        <v>230</v>
      </c>
      <c r="AU75" s="2" t="s">
        <v>1158</v>
      </c>
      <c r="AV75" s="2" t="s">
        <v>123</v>
      </c>
      <c r="CP75" s="2" t="s">
        <v>123</v>
      </c>
      <c r="CZ75" s="2" t="s">
        <v>123</v>
      </c>
      <c r="DJ75" s="2" t="s">
        <v>123</v>
      </c>
      <c r="EM75" s="2" t="s">
        <v>123</v>
      </c>
      <c r="FM75" s="2" t="s">
        <v>123</v>
      </c>
      <c r="GU75" s="2" t="s">
        <v>1159</v>
      </c>
      <c r="GV75" s="2" t="s">
        <v>1160</v>
      </c>
      <c r="GW75" s="2" t="s">
        <v>1161</v>
      </c>
      <c r="GX75" s="2" t="s">
        <v>140</v>
      </c>
      <c r="GY75" s="2">
        <v>1991</v>
      </c>
      <c r="GZ75" s="2" t="s">
        <v>483</v>
      </c>
      <c r="HB75" s="2" t="s">
        <v>1162</v>
      </c>
      <c r="HC75" s="2" t="s">
        <v>142</v>
      </c>
    </row>
    <row r="76" spans="1:211" x14ac:dyDescent="0.45">
      <c r="A76" s="2" t="s">
        <v>1165</v>
      </c>
      <c r="B76" s="2">
        <v>74</v>
      </c>
      <c r="C76" s="2" t="s">
        <v>1163</v>
      </c>
      <c r="D76" s="2" t="s">
        <v>118</v>
      </c>
      <c r="G76" s="2"/>
      <c r="I76" s="2" t="s">
        <v>119</v>
      </c>
      <c r="J76" s="2" t="s">
        <v>1164</v>
      </c>
      <c r="K76" s="2">
        <v>982</v>
      </c>
      <c r="L76" s="2">
        <v>0</v>
      </c>
      <c r="M76" s="2" t="s">
        <v>122</v>
      </c>
      <c r="N76" s="2" t="s">
        <v>123</v>
      </c>
      <c r="P76" s="2"/>
      <c r="AD76" s="2" t="s">
        <v>124</v>
      </c>
      <c r="AE76" s="2" t="s">
        <v>191</v>
      </c>
      <c r="AF76" s="2" t="s">
        <v>1166</v>
      </c>
      <c r="AG76" s="2" t="s">
        <v>148</v>
      </c>
      <c r="AH76" s="2" t="s">
        <v>1167</v>
      </c>
      <c r="AI76" s="2" t="s">
        <v>169</v>
      </c>
      <c r="AJ76" s="2" t="s">
        <v>169</v>
      </c>
      <c r="AK76" s="2" t="s">
        <v>169</v>
      </c>
      <c r="AL76" s="2" t="s">
        <v>150</v>
      </c>
      <c r="AM76" s="2" t="s">
        <v>150</v>
      </c>
      <c r="AN76" s="2" t="s">
        <v>1168</v>
      </c>
      <c r="AO76" s="2" t="s">
        <v>132</v>
      </c>
      <c r="AP76" s="2" t="s">
        <v>132</v>
      </c>
      <c r="AQ76" s="2" t="s">
        <v>1169</v>
      </c>
      <c r="AR76" s="2" t="s">
        <v>1170</v>
      </c>
      <c r="AS76" s="2" t="s">
        <v>132</v>
      </c>
      <c r="AU76" s="2" t="s">
        <v>1171</v>
      </c>
      <c r="AV76" s="2" t="s">
        <v>159</v>
      </c>
      <c r="AW76" s="2">
        <v>1</v>
      </c>
      <c r="AX76" s="2" t="s">
        <v>1172</v>
      </c>
      <c r="AY76" s="2">
        <v>2020</v>
      </c>
      <c r="AZ76" s="2" t="s">
        <v>148</v>
      </c>
      <c r="BA76" s="2" t="s">
        <v>927</v>
      </c>
      <c r="BB76" s="2" t="s">
        <v>132</v>
      </c>
      <c r="BC76" s="2" t="s">
        <v>132</v>
      </c>
      <c r="BD76" s="2" t="s">
        <v>132</v>
      </c>
      <c r="BE76" s="2" t="s">
        <v>132</v>
      </c>
      <c r="BF76" s="2" t="s">
        <v>132</v>
      </c>
      <c r="BG76" s="2" t="s">
        <v>1173</v>
      </c>
      <c r="BH76" s="2" t="s">
        <v>1174</v>
      </c>
      <c r="BI76" s="2" t="s">
        <v>230</v>
      </c>
      <c r="BK76" s="2" t="s">
        <v>1175</v>
      </c>
      <c r="BL76" s="2" t="s">
        <v>173</v>
      </c>
      <c r="CP76" s="2" t="s">
        <v>123</v>
      </c>
      <c r="CZ76" s="2" t="s">
        <v>214</v>
      </c>
      <c r="DA76" s="2" t="s">
        <v>747</v>
      </c>
      <c r="DB76" s="2" t="s">
        <v>1176</v>
      </c>
      <c r="DC76" s="2" t="s">
        <v>169</v>
      </c>
      <c r="DD76" s="2" t="s">
        <v>162</v>
      </c>
      <c r="DE76" s="2" t="s">
        <v>150</v>
      </c>
      <c r="DF76" s="2" t="s">
        <v>169</v>
      </c>
      <c r="DG76" s="2" t="s">
        <v>150</v>
      </c>
      <c r="DH76" s="2" t="s">
        <v>150</v>
      </c>
      <c r="DI76" s="2" t="s">
        <v>1177</v>
      </c>
      <c r="DJ76" s="2" t="s">
        <v>174</v>
      </c>
      <c r="DM76" s="2" t="s">
        <v>1178</v>
      </c>
      <c r="DO76" s="2" t="s">
        <v>747</v>
      </c>
      <c r="DP76" s="2" t="s">
        <v>150</v>
      </c>
      <c r="DQ76" s="2" t="s">
        <v>150</v>
      </c>
      <c r="DR76" s="2" t="s">
        <v>150</v>
      </c>
      <c r="DS76" s="2" t="s">
        <v>150</v>
      </c>
      <c r="DT76" s="2" t="s">
        <v>162</v>
      </c>
      <c r="DU76" s="2" t="s">
        <v>162</v>
      </c>
      <c r="DV76" s="2" t="s">
        <v>162</v>
      </c>
      <c r="DW76" s="2">
        <v>25</v>
      </c>
      <c r="DX76" s="2">
        <v>10</v>
      </c>
      <c r="DY76" s="2">
        <v>0</v>
      </c>
      <c r="DZ76" s="2">
        <v>10</v>
      </c>
      <c r="EA76" s="2">
        <v>25</v>
      </c>
      <c r="EB76" s="2">
        <v>15</v>
      </c>
      <c r="EC76" s="2">
        <v>15</v>
      </c>
      <c r="EE76" s="2">
        <v>10</v>
      </c>
      <c r="EF76" s="2">
        <v>10</v>
      </c>
      <c r="EG76" s="2">
        <v>0</v>
      </c>
      <c r="EH76" s="2">
        <v>10</v>
      </c>
      <c r="EI76" s="2">
        <v>50</v>
      </c>
      <c r="EJ76" s="2">
        <v>10</v>
      </c>
      <c r="EK76" s="2">
        <v>10</v>
      </c>
      <c r="EM76" s="2" t="s">
        <v>123</v>
      </c>
      <c r="FM76" s="2" t="s">
        <v>123</v>
      </c>
      <c r="GU76" s="2" t="s">
        <v>1179</v>
      </c>
      <c r="GV76" s="2" t="s">
        <v>1180</v>
      </c>
      <c r="GW76" s="2" t="s">
        <v>1181</v>
      </c>
      <c r="GX76" s="2" t="s">
        <v>186</v>
      </c>
      <c r="GY76" s="2" t="s">
        <v>1182</v>
      </c>
      <c r="GZ76" s="2" t="s">
        <v>141</v>
      </c>
      <c r="HB76" s="2" t="s">
        <v>1183</v>
      </c>
    </row>
    <row r="77" spans="1:211" x14ac:dyDescent="0.45">
      <c r="A77" s="2" t="s">
        <v>1185</v>
      </c>
      <c r="B77" s="2">
        <v>75</v>
      </c>
      <c r="C77" s="2" t="s">
        <v>1151</v>
      </c>
      <c r="D77" s="2" t="s">
        <v>118</v>
      </c>
      <c r="E77" s="2" t="s">
        <v>359</v>
      </c>
      <c r="G77" s="2"/>
      <c r="I77" s="2" t="s">
        <v>119</v>
      </c>
      <c r="J77" s="2" t="s">
        <v>1184</v>
      </c>
      <c r="K77" s="2">
        <v>739</v>
      </c>
      <c r="L77" s="2">
        <v>0</v>
      </c>
      <c r="M77" s="2" t="s">
        <v>122</v>
      </c>
      <c r="N77" s="2" t="s">
        <v>123</v>
      </c>
      <c r="P77" s="2"/>
      <c r="AD77" s="2" t="s">
        <v>124</v>
      </c>
      <c r="AE77" s="2" t="s">
        <v>191</v>
      </c>
      <c r="AF77" s="2">
        <v>2018</v>
      </c>
      <c r="AG77" s="2" t="s">
        <v>126</v>
      </c>
      <c r="AH77" s="2" t="s">
        <v>1186</v>
      </c>
      <c r="AI77" s="2" t="s">
        <v>151</v>
      </c>
      <c r="AJ77" s="2" t="s">
        <v>162</v>
      </c>
      <c r="AK77" s="2" t="s">
        <v>169</v>
      </c>
      <c r="AL77" s="2" t="s">
        <v>150</v>
      </c>
      <c r="AM77" s="2" t="s">
        <v>132</v>
      </c>
      <c r="AN77" s="2" t="s">
        <v>959</v>
      </c>
      <c r="AO77" s="2" t="s">
        <v>302</v>
      </c>
      <c r="AP77" s="2" t="s">
        <v>226</v>
      </c>
      <c r="AQ77" s="2" t="s">
        <v>1187</v>
      </c>
      <c r="AR77" s="2" t="s">
        <v>1188</v>
      </c>
      <c r="AS77" s="2" t="s">
        <v>1189</v>
      </c>
      <c r="AT77" s="2" t="s">
        <v>172</v>
      </c>
      <c r="AV77" s="2" t="s">
        <v>123</v>
      </c>
      <c r="AW77" s="2" t="s">
        <v>132</v>
      </c>
      <c r="CP77" s="2" t="s">
        <v>123</v>
      </c>
      <c r="CZ77" s="2" t="s">
        <v>123</v>
      </c>
      <c r="DJ77" s="2" t="s">
        <v>123</v>
      </c>
      <c r="EM77" s="2" t="s">
        <v>123</v>
      </c>
      <c r="FM77" s="2" t="s">
        <v>123</v>
      </c>
      <c r="GU77" s="2" t="s">
        <v>276</v>
      </c>
      <c r="GV77" s="2" t="s">
        <v>1190</v>
      </c>
      <c r="GW77" s="2" t="s">
        <v>1191</v>
      </c>
      <c r="GX77" s="2" t="s">
        <v>186</v>
      </c>
      <c r="GY77" s="2">
        <v>1991</v>
      </c>
      <c r="GZ77" s="2" t="s">
        <v>141</v>
      </c>
    </row>
    <row r="78" spans="1:211" x14ac:dyDescent="0.45">
      <c r="A78" s="2" t="s">
        <v>1194</v>
      </c>
      <c r="B78" s="2">
        <v>76</v>
      </c>
      <c r="C78" s="2" t="s">
        <v>1192</v>
      </c>
      <c r="D78" s="2" t="s">
        <v>118</v>
      </c>
      <c r="G78" s="2"/>
      <c r="I78" s="2" t="s">
        <v>119</v>
      </c>
      <c r="J78" s="2" t="s">
        <v>1193</v>
      </c>
      <c r="K78" s="2">
        <v>1676</v>
      </c>
      <c r="L78" s="2">
        <v>0</v>
      </c>
      <c r="M78" s="2" t="s">
        <v>122</v>
      </c>
      <c r="N78" s="2" t="s">
        <v>123</v>
      </c>
      <c r="P78" s="2"/>
      <c r="AD78" s="2" t="s">
        <v>124</v>
      </c>
      <c r="AE78" s="2" t="s">
        <v>223</v>
      </c>
      <c r="AF78" s="2">
        <v>1998</v>
      </c>
      <c r="AG78" s="2" t="s">
        <v>148</v>
      </c>
      <c r="AH78" s="2" t="s">
        <v>1195</v>
      </c>
      <c r="AI78" s="2" t="s">
        <v>162</v>
      </c>
      <c r="AJ78" s="2" t="s">
        <v>151</v>
      </c>
      <c r="AK78" s="2" t="s">
        <v>151</v>
      </c>
      <c r="AL78" s="2" t="s">
        <v>236</v>
      </c>
      <c r="AM78" s="2" t="s">
        <v>151</v>
      </c>
      <c r="AN78" s="2">
        <v>0</v>
      </c>
      <c r="AO78" s="2" t="s">
        <v>131</v>
      </c>
      <c r="AP78" s="2" t="s">
        <v>302</v>
      </c>
      <c r="AQ78" s="2" t="s">
        <v>1196</v>
      </c>
      <c r="AR78" s="2" t="s">
        <v>1196</v>
      </c>
      <c r="AS78" s="2" t="s">
        <v>1197</v>
      </c>
      <c r="AT78" s="2" t="s">
        <v>157</v>
      </c>
      <c r="AV78" s="2" t="s">
        <v>123</v>
      </c>
      <c r="CP78" s="2" t="s">
        <v>123</v>
      </c>
      <c r="CZ78" s="2" t="s">
        <v>123</v>
      </c>
      <c r="DJ78" s="2" t="s">
        <v>123</v>
      </c>
      <c r="EM78" s="2" t="s">
        <v>177</v>
      </c>
      <c r="EN78" s="2" t="s">
        <v>180</v>
      </c>
      <c r="EO78" s="2" t="s">
        <v>132</v>
      </c>
      <c r="EP78" s="2" t="s">
        <v>132</v>
      </c>
      <c r="EQ78" s="2" t="s">
        <v>151</v>
      </c>
      <c r="ER78" s="2" t="s">
        <v>151</v>
      </c>
      <c r="ES78" s="2" t="s">
        <v>151</v>
      </c>
      <c r="ET78" s="2" t="s">
        <v>178</v>
      </c>
      <c r="EU78" s="2" t="s">
        <v>132</v>
      </c>
      <c r="EV78" s="2" t="s">
        <v>132</v>
      </c>
      <c r="EW78" s="2" t="s">
        <v>173</v>
      </c>
      <c r="FM78" s="2" t="s">
        <v>123</v>
      </c>
      <c r="GU78" s="2" t="s">
        <v>1198</v>
      </c>
      <c r="GV78" s="2" t="s">
        <v>1199</v>
      </c>
      <c r="GW78" s="2" t="s">
        <v>1198</v>
      </c>
      <c r="GX78" s="2" t="s">
        <v>186</v>
      </c>
      <c r="GY78" s="2">
        <v>1974</v>
      </c>
      <c r="GZ78" s="2" t="s">
        <v>141</v>
      </c>
      <c r="HA78" s="2" t="s">
        <v>313</v>
      </c>
    </row>
    <row r="79" spans="1:211" x14ac:dyDescent="0.45">
      <c r="A79" s="2" t="s">
        <v>1202</v>
      </c>
      <c r="B79" s="2">
        <v>77</v>
      </c>
      <c r="C79" s="2" t="s">
        <v>1200</v>
      </c>
      <c r="D79" s="2" t="s">
        <v>118</v>
      </c>
      <c r="G79" s="2"/>
      <c r="I79" s="2" t="s">
        <v>119</v>
      </c>
      <c r="J79" s="2" t="s">
        <v>1201</v>
      </c>
      <c r="K79" s="2">
        <v>658</v>
      </c>
      <c r="L79" s="2">
        <v>0</v>
      </c>
      <c r="M79" s="2" t="s">
        <v>122</v>
      </c>
      <c r="N79" s="2" t="s">
        <v>123</v>
      </c>
      <c r="P79" s="2"/>
      <c r="AD79" s="2" t="s">
        <v>123</v>
      </c>
      <c r="AV79" s="2" t="s">
        <v>123</v>
      </c>
      <c r="AW79" s="2" t="s">
        <v>132</v>
      </c>
      <c r="CP79" s="2" t="s">
        <v>123</v>
      </c>
      <c r="CZ79" s="2" t="s">
        <v>214</v>
      </c>
      <c r="DA79" s="2" t="s">
        <v>191</v>
      </c>
      <c r="DB79" s="2" t="s">
        <v>308</v>
      </c>
      <c r="DC79" s="2" t="s">
        <v>162</v>
      </c>
      <c r="DD79" s="2" t="s">
        <v>162</v>
      </c>
      <c r="DE79" s="2" t="s">
        <v>150</v>
      </c>
      <c r="DF79" s="2" t="s">
        <v>150</v>
      </c>
      <c r="DG79" s="2" t="s">
        <v>150</v>
      </c>
      <c r="DH79" s="2" t="s">
        <v>169</v>
      </c>
      <c r="DI79" s="2" t="s">
        <v>1203</v>
      </c>
      <c r="DJ79" s="2" t="s">
        <v>123</v>
      </c>
      <c r="EM79" s="2" t="s">
        <v>177</v>
      </c>
      <c r="EN79" s="2" t="s">
        <v>178</v>
      </c>
      <c r="EO79" s="2">
        <v>2</v>
      </c>
      <c r="EP79" s="2" t="s">
        <v>191</v>
      </c>
      <c r="EQ79" s="2" t="s">
        <v>169</v>
      </c>
      <c r="ER79" s="2" t="s">
        <v>169</v>
      </c>
      <c r="ES79" s="2" t="s">
        <v>169</v>
      </c>
      <c r="ET79" s="2" t="s">
        <v>178</v>
      </c>
      <c r="EU79" s="2" t="s">
        <v>1204</v>
      </c>
      <c r="EV79" s="2" t="s">
        <v>1205</v>
      </c>
      <c r="EW79" s="2" t="s">
        <v>1206</v>
      </c>
      <c r="EX79" s="2" t="s">
        <v>223</v>
      </c>
      <c r="EY79" s="2" t="s">
        <v>128</v>
      </c>
      <c r="EZ79" s="2" t="s">
        <v>236</v>
      </c>
      <c r="FA79" s="2" t="s">
        <v>129</v>
      </c>
      <c r="FB79" s="2" t="s">
        <v>178</v>
      </c>
      <c r="FC79" s="2" t="s">
        <v>960</v>
      </c>
      <c r="FD79" s="2" t="s">
        <v>1207</v>
      </c>
      <c r="FE79" s="2" t="s">
        <v>173</v>
      </c>
      <c r="FM79" s="2" t="s">
        <v>123</v>
      </c>
      <c r="GU79" s="2" t="s">
        <v>1208</v>
      </c>
      <c r="GV79" s="2" t="s">
        <v>1209</v>
      </c>
      <c r="GW79" s="2" t="s">
        <v>1210</v>
      </c>
      <c r="GX79" s="2" t="s">
        <v>186</v>
      </c>
      <c r="GY79" s="2">
        <v>1987</v>
      </c>
      <c r="GZ79" s="2" t="s">
        <v>141</v>
      </c>
      <c r="HB79" s="2" t="s">
        <v>191</v>
      </c>
    </row>
    <row r="80" spans="1:211" x14ac:dyDescent="0.45">
      <c r="A80" s="2" t="s">
        <v>1213</v>
      </c>
      <c r="B80" s="2">
        <v>78</v>
      </c>
      <c r="C80" s="2" t="s">
        <v>1211</v>
      </c>
      <c r="D80" s="2" t="s">
        <v>118</v>
      </c>
      <c r="E80" s="2" t="s">
        <v>1152</v>
      </c>
      <c r="G80" s="2"/>
      <c r="I80" s="2" t="s">
        <v>119</v>
      </c>
      <c r="J80" s="2" t="s">
        <v>1212</v>
      </c>
      <c r="K80" s="2">
        <v>808</v>
      </c>
      <c r="L80" s="2">
        <v>0</v>
      </c>
      <c r="M80" s="2" t="s">
        <v>122</v>
      </c>
      <c r="N80" s="2" t="s">
        <v>123</v>
      </c>
      <c r="P80" s="2"/>
      <c r="AD80" s="2" t="s">
        <v>124</v>
      </c>
      <c r="AE80" s="2" t="s">
        <v>1214</v>
      </c>
      <c r="AF80" s="2">
        <v>1998</v>
      </c>
      <c r="AG80" s="2" t="s">
        <v>148</v>
      </c>
      <c r="AH80" s="2" t="s">
        <v>1215</v>
      </c>
      <c r="AI80" s="2" t="s">
        <v>150</v>
      </c>
      <c r="AJ80" s="2" t="s">
        <v>150</v>
      </c>
      <c r="AK80" s="2" t="s">
        <v>151</v>
      </c>
      <c r="AL80" s="2" t="s">
        <v>129</v>
      </c>
      <c r="AM80" s="2" t="s">
        <v>128</v>
      </c>
      <c r="AN80" s="2" t="s">
        <v>1216</v>
      </c>
      <c r="AO80" s="2" t="s">
        <v>131</v>
      </c>
      <c r="AP80" s="2" t="s">
        <v>131</v>
      </c>
      <c r="AQ80" s="2" t="s">
        <v>1217</v>
      </c>
      <c r="AR80" s="2" t="s">
        <v>1218</v>
      </c>
      <c r="AS80" s="2" t="s">
        <v>1219</v>
      </c>
      <c r="AU80" s="2" t="s">
        <v>1220</v>
      </c>
      <c r="AV80" s="2" t="s">
        <v>123</v>
      </c>
      <c r="CP80" s="2" t="s">
        <v>123</v>
      </c>
      <c r="CZ80" s="2" t="s">
        <v>123</v>
      </c>
      <c r="DJ80" s="2" t="s">
        <v>123</v>
      </c>
      <c r="EM80" s="2" t="s">
        <v>123</v>
      </c>
      <c r="FM80" s="2" t="s">
        <v>123</v>
      </c>
      <c r="GU80" s="2" t="s">
        <v>1221</v>
      </c>
      <c r="GV80" s="2" t="s">
        <v>1222</v>
      </c>
      <c r="GW80" s="2" t="s">
        <v>1223</v>
      </c>
      <c r="GX80" s="2" t="s">
        <v>186</v>
      </c>
      <c r="GY80" s="2">
        <v>1973</v>
      </c>
      <c r="GZ80" s="2" t="s">
        <v>141</v>
      </c>
    </row>
    <row r="81" spans="1:211" x14ac:dyDescent="0.45">
      <c r="A81" s="2" t="s">
        <v>1226</v>
      </c>
      <c r="B81" s="2">
        <v>79</v>
      </c>
      <c r="C81" s="2" t="s">
        <v>1224</v>
      </c>
      <c r="D81" s="2" t="s">
        <v>118</v>
      </c>
      <c r="E81" s="2" t="s">
        <v>797</v>
      </c>
      <c r="G81" s="2"/>
      <c r="I81" s="2" t="s">
        <v>119</v>
      </c>
      <c r="J81" s="2" t="s">
        <v>1225</v>
      </c>
      <c r="K81" s="2">
        <v>4209</v>
      </c>
      <c r="L81" s="2">
        <v>0</v>
      </c>
      <c r="M81" s="2" t="s">
        <v>122</v>
      </c>
      <c r="N81" s="2" t="s">
        <v>123</v>
      </c>
      <c r="P81" s="2"/>
      <c r="AD81" s="2" t="s">
        <v>124</v>
      </c>
      <c r="AE81" s="2" t="s">
        <v>1227</v>
      </c>
      <c r="AF81" s="2">
        <v>1985</v>
      </c>
      <c r="AG81" s="2" t="s">
        <v>148</v>
      </c>
      <c r="AH81" s="2" t="s">
        <v>391</v>
      </c>
      <c r="AI81" s="2" t="s">
        <v>150</v>
      </c>
      <c r="AJ81" s="2" t="s">
        <v>150</v>
      </c>
      <c r="AK81" s="2" t="s">
        <v>169</v>
      </c>
      <c r="AL81" s="2" t="s">
        <v>236</v>
      </c>
      <c r="AM81" s="2" t="s">
        <v>236</v>
      </c>
      <c r="AN81" s="2">
        <v>0</v>
      </c>
      <c r="AO81" s="2" t="s">
        <v>152</v>
      </c>
      <c r="AP81" s="2" t="s">
        <v>152</v>
      </c>
      <c r="AQ81" s="2" t="s">
        <v>1228</v>
      </c>
      <c r="AR81" s="2" t="s">
        <v>1229</v>
      </c>
      <c r="AS81" s="2" t="s">
        <v>1229</v>
      </c>
      <c r="AT81" s="2" t="s">
        <v>157</v>
      </c>
      <c r="AV81" s="2" t="s">
        <v>159</v>
      </c>
      <c r="AW81" s="2">
        <v>2</v>
      </c>
      <c r="AX81" s="2" t="s">
        <v>1230</v>
      </c>
      <c r="AY81" s="2">
        <v>2005</v>
      </c>
      <c r="AZ81" s="2" t="s">
        <v>148</v>
      </c>
      <c r="BA81" s="2" t="s">
        <v>1231</v>
      </c>
      <c r="BB81" s="2" t="s">
        <v>169</v>
      </c>
      <c r="BC81" s="2" t="s">
        <v>169</v>
      </c>
      <c r="BD81" s="2" t="s">
        <v>169</v>
      </c>
      <c r="BE81" s="2" t="s">
        <v>236</v>
      </c>
      <c r="BF81" s="2" t="s">
        <v>236</v>
      </c>
      <c r="BG81" s="2">
        <v>0</v>
      </c>
      <c r="BH81" s="2" t="s">
        <v>1232</v>
      </c>
      <c r="BI81" s="2" t="s">
        <v>157</v>
      </c>
      <c r="BL81" s="2" t="s">
        <v>166</v>
      </c>
      <c r="BM81" s="2" t="s">
        <v>1233</v>
      </c>
      <c r="BN81" s="2">
        <v>2008</v>
      </c>
      <c r="BO81" s="2" t="s">
        <v>148</v>
      </c>
      <c r="BP81" s="2" t="s">
        <v>1234</v>
      </c>
      <c r="BQ81" s="2" t="s">
        <v>169</v>
      </c>
      <c r="BR81" s="2" t="s">
        <v>169</v>
      </c>
      <c r="BS81" s="2" t="s">
        <v>169</v>
      </c>
      <c r="BT81" s="2" t="s">
        <v>128</v>
      </c>
      <c r="BU81" s="2" t="s">
        <v>162</v>
      </c>
      <c r="BV81" s="2" t="s">
        <v>1235</v>
      </c>
      <c r="BW81" s="2" t="s">
        <v>1236</v>
      </c>
      <c r="BX81" s="2" t="s">
        <v>157</v>
      </c>
      <c r="CA81" s="2" t="s">
        <v>173</v>
      </c>
      <c r="CP81" s="2" t="s">
        <v>123</v>
      </c>
      <c r="CZ81" s="2" t="s">
        <v>123</v>
      </c>
      <c r="DJ81" s="2" t="s">
        <v>174</v>
      </c>
      <c r="DK81" s="2" t="s">
        <v>394</v>
      </c>
      <c r="DO81" s="2" t="s">
        <v>1230</v>
      </c>
      <c r="DP81" s="2" t="s">
        <v>150</v>
      </c>
      <c r="DQ81" s="2" t="s">
        <v>150</v>
      </c>
      <c r="DR81" s="2" t="s">
        <v>150</v>
      </c>
      <c r="DS81" s="2" t="s">
        <v>150</v>
      </c>
      <c r="DT81" s="2" t="s">
        <v>150</v>
      </c>
      <c r="DU81" s="2" t="s">
        <v>169</v>
      </c>
      <c r="DV81" s="2" t="s">
        <v>150</v>
      </c>
      <c r="DW81" s="2">
        <v>20</v>
      </c>
      <c r="DX81" s="2">
        <v>5</v>
      </c>
      <c r="DY81" s="2">
        <v>0</v>
      </c>
      <c r="DZ81" s="2">
        <v>30</v>
      </c>
      <c r="EA81" s="2">
        <v>25</v>
      </c>
      <c r="EB81" s="2">
        <v>10</v>
      </c>
      <c r="EC81" s="2">
        <v>10</v>
      </c>
      <c r="EE81" s="2">
        <v>10</v>
      </c>
      <c r="EF81" s="2">
        <v>5</v>
      </c>
      <c r="EG81" s="2">
        <v>0</v>
      </c>
      <c r="EH81" s="2">
        <v>25</v>
      </c>
      <c r="EI81" s="2">
        <v>25</v>
      </c>
      <c r="EJ81" s="2">
        <v>5</v>
      </c>
      <c r="EK81" s="2">
        <v>30</v>
      </c>
      <c r="EM81" s="2" t="s">
        <v>123</v>
      </c>
      <c r="FM81" s="2" t="s">
        <v>123</v>
      </c>
      <c r="GU81" s="2" t="s">
        <v>1237</v>
      </c>
      <c r="GV81" s="2" t="s">
        <v>1229</v>
      </c>
      <c r="GW81" s="2" t="s">
        <v>1229</v>
      </c>
      <c r="GX81" s="2" t="s">
        <v>140</v>
      </c>
      <c r="GY81" s="2">
        <v>1958</v>
      </c>
      <c r="GZ81" s="2" t="s">
        <v>141</v>
      </c>
    </row>
    <row r="82" spans="1:211" x14ac:dyDescent="0.45">
      <c r="A82" s="2" t="s">
        <v>1240</v>
      </c>
      <c r="B82" s="2">
        <v>80</v>
      </c>
      <c r="C82" s="2" t="s">
        <v>1238</v>
      </c>
      <c r="D82" s="2" t="s">
        <v>118</v>
      </c>
      <c r="G82" s="2"/>
      <c r="I82" s="2" t="s">
        <v>119</v>
      </c>
      <c r="J82" s="2" t="s">
        <v>1239</v>
      </c>
      <c r="K82" s="2">
        <v>356</v>
      </c>
      <c r="L82" s="2">
        <v>0</v>
      </c>
      <c r="M82" s="2" t="s">
        <v>122</v>
      </c>
      <c r="N82" s="2" t="s">
        <v>123</v>
      </c>
      <c r="P82" s="2"/>
      <c r="AD82" s="2" t="s">
        <v>124</v>
      </c>
      <c r="AE82" s="2" t="s">
        <v>223</v>
      </c>
      <c r="AF82" s="2">
        <v>1997</v>
      </c>
      <c r="AG82" s="2" t="s">
        <v>148</v>
      </c>
      <c r="AH82" s="2" t="s">
        <v>161</v>
      </c>
      <c r="AI82" s="2" t="s">
        <v>128</v>
      </c>
      <c r="AJ82" s="2" t="s">
        <v>128</v>
      </c>
      <c r="AK82" s="2" t="s">
        <v>162</v>
      </c>
      <c r="AL82" s="2" t="s">
        <v>162</v>
      </c>
      <c r="AM82" s="2" t="s">
        <v>162</v>
      </c>
      <c r="AN82" s="2">
        <v>1</v>
      </c>
      <c r="AO82" s="2" t="s">
        <v>131</v>
      </c>
      <c r="AP82" s="2" t="s">
        <v>131</v>
      </c>
      <c r="AQ82" s="2" t="s">
        <v>1241</v>
      </c>
      <c r="AR82" s="2" t="s">
        <v>1242</v>
      </c>
      <c r="AS82" s="2" t="s">
        <v>1243</v>
      </c>
      <c r="AT82" s="2" t="s">
        <v>157</v>
      </c>
      <c r="AU82" s="2" t="s">
        <v>1244</v>
      </c>
      <c r="AV82" s="2" t="s">
        <v>123</v>
      </c>
      <c r="AW82" s="2" t="s">
        <v>132</v>
      </c>
      <c r="CP82" s="2" t="s">
        <v>123</v>
      </c>
      <c r="CZ82" s="2" t="s">
        <v>123</v>
      </c>
      <c r="DJ82" s="2" t="s">
        <v>123</v>
      </c>
      <c r="EM82" s="2" t="s">
        <v>123</v>
      </c>
      <c r="EN82" s="2" t="s">
        <v>178</v>
      </c>
      <c r="EO82" s="2" t="s">
        <v>132</v>
      </c>
      <c r="FM82" s="2" t="s">
        <v>123</v>
      </c>
      <c r="GU82" s="2" t="s">
        <v>1245</v>
      </c>
      <c r="GV82" s="2" t="s">
        <v>1246</v>
      </c>
      <c r="GW82" s="2" t="s">
        <v>1247</v>
      </c>
      <c r="GX82" s="2" t="s">
        <v>186</v>
      </c>
      <c r="GY82" s="2">
        <v>1974</v>
      </c>
      <c r="GZ82" s="2" t="s">
        <v>398</v>
      </c>
      <c r="HB82" s="2" t="s">
        <v>1248</v>
      </c>
    </row>
    <row r="83" spans="1:211" x14ac:dyDescent="0.45">
      <c r="A83" s="2" t="s">
        <v>1253</v>
      </c>
      <c r="B83" s="2">
        <v>81</v>
      </c>
      <c r="C83" s="2" t="s">
        <v>1251</v>
      </c>
      <c r="D83" s="2" t="s">
        <v>118</v>
      </c>
      <c r="G83" s="2"/>
      <c r="I83" s="2" t="s">
        <v>119</v>
      </c>
      <c r="J83" s="2" t="s">
        <v>1252</v>
      </c>
      <c r="K83" s="2">
        <v>367</v>
      </c>
      <c r="L83" s="2">
        <v>0</v>
      </c>
      <c r="M83" s="2" t="s">
        <v>122</v>
      </c>
      <c r="N83" s="2" t="s">
        <v>123</v>
      </c>
      <c r="P83" s="2"/>
      <c r="AD83" s="2" t="s">
        <v>124</v>
      </c>
      <c r="AE83" s="2" t="s">
        <v>223</v>
      </c>
      <c r="AF83" s="2">
        <v>2006</v>
      </c>
      <c r="AG83" s="2" t="s">
        <v>148</v>
      </c>
      <c r="AH83" s="2" t="s">
        <v>1050</v>
      </c>
      <c r="AI83" s="2" t="s">
        <v>162</v>
      </c>
      <c r="AJ83" s="2" t="s">
        <v>162</v>
      </c>
      <c r="AK83" s="2" t="s">
        <v>169</v>
      </c>
      <c r="AL83" s="2" t="s">
        <v>236</v>
      </c>
      <c r="AM83" s="2" t="s">
        <v>151</v>
      </c>
      <c r="AN83" s="2">
        <v>3</v>
      </c>
      <c r="AO83" s="2" t="s">
        <v>131</v>
      </c>
      <c r="AP83" s="2" t="s">
        <v>302</v>
      </c>
      <c r="AQ83" s="2" t="s">
        <v>1254</v>
      </c>
      <c r="AR83" s="2" t="s">
        <v>1255</v>
      </c>
      <c r="AS83" s="2" t="s">
        <v>1256</v>
      </c>
      <c r="AT83" s="2" t="s">
        <v>157</v>
      </c>
      <c r="AU83" s="2" t="s">
        <v>1257</v>
      </c>
      <c r="AV83" s="2" t="s">
        <v>123</v>
      </c>
      <c r="AW83" s="2" t="s">
        <v>132</v>
      </c>
      <c r="CP83" s="2" t="s">
        <v>123</v>
      </c>
      <c r="CZ83" s="2" t="s">
        <v>214</v>
      </c>
      <c r="DA83" s="2" t="s">
        <v>747</v>
      </c>
      <c r="DB83" s="2" t="s">
        <v>1176</v>
      </c>
      <c r="DC83" s="2" t="s">
        <v>169</v>
      </c>
      <c r="DD83" s="2" t="s">
        <v>150</v>
      </c>
      <c r="DE83" s="2" t="s">
        <v>150</v>
      </c>
      <c r="DF83" s="2" t="s">
        <v>169</v>
      </c>
      <c r="DG83" s="2" t="s">
        <v>162</v>
      </c>
      <c r="DH83" s="2" t="s">
        <v>162</v>
      </c>
      <c r="DI83" s="2" t="s">
        <v>1258</v>
      </c>
      <c r="DJ83" s="2" t="s">
        <v>123</v>
      </c>
      <c r="EM83" s="2" t="s">
        <v>123</v>
      </c>
      <c r="FM83" s="2" t="s">
        <v>123</v>
      </c>
      <c r="GU83" s="2" t="s">
        <v>1259</v>
      </c>
      <c r="GV83" s="2" t="s">
        <v>1260</v>
      </c>
      <c r="GW83" s="2" t="s">
        <v>1261</v>
      </c>
      <c r="GX83" s="2" t="s">
        <v>186</v>
      </c>
      <c r="GY83" s="2">
        <v>1982</v>
      </c>
      <c r="GZ83" s="2" t="s">
        <v>141</v>
      </c>
    </row>
    <row r="84" spans="1:211" x14ac:dyDescent="0.45">
      <c r="A84" s="2" t="s">
        <v>1267</v>
      </c>
      <c r="B84" s="2">
        <v>82</v>
      </c>
      <c r="C84" s="2" t="s">
        <v>1264</v>
      </c>
      <c r="D84" s="2" t="s">
        <v>118</v>
      </c>
      <c r="E84" s="2" t="s">
        <v>1265</v>
      </c>
      <c r="G84" s="2"/>
      <c r="I84" s="2" t="s">
        <v>119</v>
      </c>
      <c r="J84" s="2" t="s">
        <v>1266</v>
      </c>
      <c r="K84" s="2">
        <v>2127</v>
      </c>
      <c r="L84" s="2">
        <v>0</v>
      </c>
      <c r="M84" s="2" t="s">
        <v>122</v>
      </c>
      <c r="N84" s="2" t="s">
        <v>123</v>
      </c>
      <c r="P84" s="2"/>
      <c r="AD84" s="2" t="s">
        <v>124</v>
      </c>
      <c r="AE84" s="2" t="s">
        <v>747</v>
      </c>
      <c r="AF84" s="2">
        <v>1982</v>
      </c>
      <c r="AG84" s="2" t="s">
        <v>126</v>
      </c>
      <c r="AH84" s="2" t="s">
        <v>1268</v>
      </c>
      <c r="AI84" s="2" t="s">
        <v>169</v>
      </c>
      <c r="AJ84" s="2" t="s">
        <v>169</v>
      </c>
      <c r="AK84" s="2" t="s">
        <v>169</v>
      </c>
      <c r="AL84" s="2" t="s">
        <v>169</v>
      </c>
      <c r="AM84" s="2" t="s">
        <v>169</v>
      </c>
      <c r="AN84" s="2">
        <v>0</v>
      </c>
      <c r="AO84" s="2" t="s">
        <v>153</v>
      </c>
      <c r="AP84" s="2" t="s">
        <v>759</v>
      </c>
      <c r="AQ84" s="2" t="s">
        <v>1269</v>
      </c>
      <c r="AR84" s="2" t="s">
        <v>1270</v>
      </c>
      <c r="AS84" s="2" t="s">
        <v>386</v>
      </c>
      <c r="AU84" s="2" t="s">
        <v>1271</v>
      </c>
      <c r="AV84" s="2" t="s">
        <v>159</v>
      </c>
      <c r="AW84" s="2">
        <v>1</v>
      </c>
      <c r="AX84" s="2" t="s">
        <v>1272</v>
      </c>
      <c r="AY84" s="2">
        <v>2011</v>
      </c>
      <c r="AZ84" s="2" t="s">
        <v>148</v>
      </c>
      <c r="BA84" s="2" t="s">
        <v>927</v>
      </c>
      <c r="BB84" s="2" t="s">
        <v>169</v>
      </c>
      <c r="BC84" s="2" t="s">
        <v>169</v>
      </c>
      <c r="BD84" s="2" t="s">
        <v>169</v>
      </c>
      <c r="BE84" s="2" t="s">
        <v>169</v>
      </c>
      <c r="BF84" s="2" t="s">
        <v>169</v>
      </c>
      <c r="BG84" s="2" t="s">
        <v>1273</v>
      </c>
      <c r="BH84" s="2" t="s">
        <v>1274</v>
      </c>
      <c r="BI84" s="2" t="s">
        <v>157</v>
      </c>
      <c r="BK84" s="2" t="s">
        <v>1275</v>
      </c>
      <c r="BL84" s="2" t="s">
        <v>173</v>
      </c>
      <c r="CP84" s="2" t="s">
        <v>123</v>
      </c>
      <c r="CZ84" s="2" t="s">
        <v>214</v>
      </c>
      <c r="DA84" s="2" t="s">
        <v>191</v>
      </c>
      <c r="DB84" s="2" t="s">
        <v>1276</v>
      </c>
      <c r="DC84" s="2" t="s">
        <v>169</v>
      </c>
      <c r="DD84" s="2" t="s">
        <v>169</v>
      </c>
      <c r="DE84" s="2" t="s">
        <v>169</v>
      </c>
      <c r="DF84" s="2" t="s">
        <v>150</v>
      </c>
      <c r="DG84" s="2" t="s">
        <v>169</v>
      </c>
      <c r="DH84" s="2" t="s">
        <v>169</v>
      </c>
      <c r="DI84" s="2" t="s">
        <v>1277</v>
      </c>
      <c r="DJ84" s="2" t="s">
        <v>123</v>
      </c>
      <c r="EM84" s="2" t="s">
        <v>177</v>
      </c>
      <c r="EN84" s="2" t="s">
        <v>178</v>
      </c>
      <c r="EO84" s="2">
        <v>1</v>
      </c>
      <c r="EP84" s="2" t="s">
        <v>747</v>
      </c>
      <c r="EQ84" s="2" t="s">
        <v>169</v>
      </c>
      <c r="ER84" s="2" t="s">
        <v>169</v>
      </c>
      <c r="ES84" s="2" t="s">
        <v>151</v>
      </c>
      <c r="ET84" s="2" t="s">
        <v>178</v>
      </c>
      <c r="EU84" s="2" t="s">
        <v>1278</v>
      </c>
      <c r="EV84" s="2" t="s">
        <v>1279</v>
      </c>
      <c r="EW84" s="2" t="s">
        <v>173</v>
      </c>
      <c r="FM84" s="2" t="s">
        <v>123</v>
      </c>
      <c r="GU84" s="2" t="s">
        <v>1280</v>
      </c>
      <c r="GV84" s="2" t="s">
        <v>1281</v>
      </c>
      <c r="GW84" s="2" t="s">
        <v>1282</v>
      </c>
      <c r="GX84" s="2" t="s">
        <v>186</v>
      </c>
      <c r="GY84" s="2" t="s">
        <v>1283</v>
      </c>
      <c r="GZ84" s="2" t="s">
        <v>398</v>
      </c>
      <c r="HB84" s="2" t="s">
        <v>1284</v>
      </c>
      <c r="HC84" s="2" t="s">
        <v>1285</v>
      </c>
    </row>
    <row r="85" spans="1:211" x14ac:dyDescent="0.45">
      <c r="A85" s="2" t="s">
        <v>1289</v>
      </c>
      <c r="B85" s="2">
        <v>83</v>
      </c>
      <c r="C85" s="2" t="s">
        <v>1142</v>
      </c>
      <c r="D85" s="2" t="s">
        <v>118</v>
      </c>
      <c r="G85" s="2"/>
      <c r="I85" s="2" t="s">
        <v>119</v>
      </c>
      <c r="J85" s="2" t="s">
        <v>1288</v>
      </c>
      <c r="K85" s="2">
        <v>1208727</v>
      </c>
      <c r="L85" s="2">
        <v>0</v>
      </c>
      <c r="M85" s="2" t="s">
        <v>122</v>
      </c>
      <c r="N85" s="2" t="s">
        <v>123</v>
      </c>
      <c r="P85" s="2"/>
      <c r="AD85" s="2" t="s">
        <v>124</v>
      </c>
      <c r="AE85" s="2" t="s">
        <v>1290</v>
      </c>
      <c r="AF85" s="2">
        <v>2012</v>
      </c>
      <c r="AG85" s="2" t="s">
        <v>148</v>
      </c>
      <c r="AH85" s="2" t="s">
        <v>1050</v>
      </c>
      <c r="AI85" s="2" t="s">
        <v>162</v>
      </c>
      <c r="AJ85" s="2" t="s">
        <v>151</v>
      </c>
      <c r="AK85" s="2" t="s">
        <v>162</v>
      </c>
      <c r="AL85" s="2" t="s">
        <v>151</v>
      </c>
      <c r="AM85" s="2" t="s">
        <v>128</v>
      </c>
      <c r="AN85" s="2" t="s">
        <v>237</v>
      </c>
      <c r="AO85" s="2" t="s">
        <v>132</v>
      </c>
      <c r="AP85" s="2" t="s">
        <v>132</v>
      </c>
      <c r="AQ85" s="2" t="s">
        <v>1291</v>
      </c>
      <c r="AR85" s="2" t="s">
        <v>1292</v>
      </c>
      <c r="AS85" s="2" t="s">
        <v>1293</v>
      </c>
      <c r="AT85" s="2" t="s">
        <v>892</v>
      </c>
      <c r="AV85" s="2" t="s">
        <v>123</v>
      </c>
      <c r="AW85" s="2" t="s">
        <v>132</v>
      </c>
      <c r="CP85" s="2" t="s">
        <v>123</v>
      </c>
      <c r="CZ85" s="2" t="s">
        <v>123</v>
      </c>
      <c r="DJ85" s="2" t="s">
        <v>123</v>
      </c>
      <c r="EM85" s="2" t="s">
        <v>177</v>
      </c>
      <c r="EN85" s="2" t="s">
        <v>178</v>
      </c>
      <c r="EO85" s="2" t="s">
        <v>132</v>
      </c>
      <c r="EP85" s="2" t="s">
        <v>191</v>
      </c>
      <c r="EQ85" s="2" t="s">
        <v>162</v>
      </c>
      <c r="ER85" s="2" t="s">
        <v>151</v>
      </c>
      <c r="ES85" s="2" t="s">
        <v>128</v>
      </c>
      <c r="ET85" s="2" t="s">
        <v>178</v>
      </c>
      <c r="EU85" s="2" t="s">
        <v>1294</v>
      </c>
      <c r="EV85" s="2" t="s">
        <v>1295</v>
      </c>
      <c r="EW85" s="2" t="s">
        <v>173</v>
      </c>
      <c r="FM85" s="2" t="s">
        <v>123</v>
      </c>
      <c r="GU85" s="2" t="s">
        <v>1296</v>
      </c>
      <c r="GV85" s="2" t="s">
        <v>1297</v>
      </c>
      <c r="GW85" s="2" t="s">
        <v>1298</v>
      </c>
      <c r="GX85" s="2" t="s">
        <v>186</v>
      </c>
      <c r="GY85" s="2">
        <v>1987</v>
      </c>
      <c r="GZ85" s="2" t="s">
        <v>246</v>
      </c>
      <c r="HB85" s="2" t="s">
        <v>1299</v>
      </c>
      <c r="HC85" s="2" t="s">
        <v>1300</v>
      </c>
    </row>
    <row r="86" spans="1:211" x14ac:dyDescent="0.45">
      <c r="A86" s="2" t="s">
        <v>1304</v>
      </c>
      <c r="B86" s="2">
        <v>84</v>
      </c>
      <c r="C86" s="2" t="s">
        <v>1302</v>
      </c>
      <c r="D86" s="2" t="s">
        <v>118</v>
      </c>
      <c r="G86" s="2"/>
      <c r="I86" s="2" t="s">
        <v>119</v>
      </c>
      <c r="J86" s="2" t="s">
        <v>1303</v>
      </c>
      <c r="K86" s="2">
        <v>558</v>
      </c>
      <c r="L86" s="2">
        <v>0</v>
      </c>
      <c r="M86" s="2" t="s">
        <v>122</v>
      </c>
      <c r="N86" s="2" t="s">
        <v>416</v>
      </c>
      <c r="O86" s="2" t="s">
        <v>191</v>
      </c>
      <c r="P86" s="2" t="s">
        <v>126</v>
      </c>
      <c r="Q86" s="2" t="s">
        <v>1305</v>
      </c>
      <c r="R86" s="2" t="s">
        <v>162</v>
      </c>
      <c r="S86" s="2" t="s">
        <v>128</v>
      </c>
      <c r="T86" s="2" t="s">
        <v>150</v>
      </c>
      <c r="U86" s="2" t="s">
        <v>1306</v>
      </c>
      <c r="V86" s="2" t="s">
        <v>153</v>
      </c>
      <c r="W86" s="2" t="s">
        <v>759</v>
      </c>
      <c r="X86" s="2" t="s">
        <v>1307</v>
      </c>
      <c r="Y86" s="2" t="s">
        <v>1308</v>
      </c>
      <c r="Z86" s="2" t="s">
        <v>1309</v>
      </c>
      <c r="AA86" s="2" t="s">
        <v>230</v>
      </c>
      <c r="AC86" s="2" t="s">
        <v>1310</v>
      </c>
      <c r="AD86" s="2" t="s">
        <v>124</v>
      </c>
      <c r="AE86" s="2" t="s">
        <v>1311</v>
      </c>
      <c r="AF86" s="2">
        <v>2015</v>
      </c>
      <c r="AG86" s="2" t="s">
        <v>126</v>
      </c>
      <c r="AH86" s="2" t="s">
        <v>1312</v>
      </c>
      <c r="AI86" s="2" t="s">
        <v>162</v>
      </c>
      <c r="AJ86" s="2" t="s">
        <v>128</v>
      </c>
      <c r="AK86" s="2" t="s">
        <v>162</v>
      </c>
      <c r="AL86" s="2" t="s">
        <v>162</v>
      </c>
      <c r="AM86" s="2" t="s">
        <v>162</v>
      </c>
      <c r="AN86" s="2" t="s">
        <v>237</v>
      </c>
      <c r="AO86" s="2" t="s">
        <v>302</v>
      </c>
      <c r="AP86" s="2" t="s">
        <v>153</v>
      </c>
      <c r="AQ86" s="2" t="s">
        <v>1313</v>
      </c>
      <c r="AR86" s="2" t="s">
        <v>1314</v>
      </c>
      <c r="AS86" s="2" t="s">
        <v>1315</v>
      </c>
      <c r="AT86" s="2" t="s">
        <v>172</v>
      </c>
      <c r="AV86" s="2" t="s">
        <v>123</v>
      </c>
      <c r="AW86" s="2" t="s">
        <v>132</v>
      </c>
      <c r="CP86" s="2" t="s">
        <v>123</v>
      </c>
      <c r="CZ86" s="2" t="s">
        <v>123</v>
      </c>
      <c r="DJ86" s="2" t="s">
        <v>123</v>
      </c>
      <c r="EM86" s="2" t="s">
        <v>123</v>
      </c>
      <c r="FM86" s="2" t="s">
        <v>123</v>
      </c>
      <c r="GU86" s="2" t="s">
        <v>1316</v>
      </c>
      <c r="GV86" s="2" t="s">
        <v>1317</v>
      </c>
      <c r="GW86" s="2" t="s">
        <v>1318</v>
      </c>
      <c r="GX86" s="2" t="s">
        <v>186</v>
      </c>
      <c r="GY86" s="2">
        <v>1992</v>
      </c>
      <c r="GZ86" s="2" t="s">
        <v>398</v>
      </c>
      <c r="HB86" s="2" t="s">
        <v>1319</v>
      </c>
      <c r="HC86" s="2" t="s">
        <v>1320</v>
      </c>
    </row>
    <row r="87" spans="1:211" x14ac:dyDescent="0.45">
      <c r="A87" s="2" t="s">
        <v>1324</v>
      </c>
      <c r="B87" s="2">
        <v>85</v>
      </c>
      <c r="C87" s="2" t="s">
        <v>1322</v>
      </c>
      <c r="D87" s="2" t="s">
        <v>118</v>
      </c>
      <c r="G87" s="2"/>
      <c r="I87" s="2" t="s">
        <v>119</v>
      </c>
      <c r="J87" s="2" t="s">
        <v>1323</v>
      </c>
      <c r="K87" s="2">
        <v>767</v>
      </c>
      <c r="L87" s="2">
        <v>0</v>
      </c>
      <c r="M87" s="2" t="s">
        <v>122</v>
      </c>
      <c r="N87" s="2" t="s">
        <v>123</v>
      </c>
      <c r="P87" s="2"/>
      <c r="AD87" s="2" t="s">
        <v>124</v>
      </c>
      <c r="AE87" s="2" t="s">
        <v>191</v>
      </c>
      <c r="AF87" s="2">
        <v>2018</v>
      </c>
      <c r="AG87" s="2" t="s">
        <v>126</v>
      </c>
      <c r="AH87" s="2" t="s">
        <v>1325</v>
      </c>
      <c r="AI87" s="2" t="s">
        <v>150</v>
      </c>
      <c r="AJ87" s="2" t="s">
        <v>150</v>
      </c>
      <c r="AK87" s="2" t="s">
        <v>128</v>
      </c>
      <c r="AL87" s="2" t="s">
        <v>236</v>
      </c>
      <c r="AM87" s="2" t="s">
        <v>128</v>
      </c>
      <c r="AN87" s="2">
        <v>1</v>
      </c>
      <c r="AO87" s="2" t="s">
        <v>302</v>
      </c>
      <c r="AP87" s="2" t="s">
        <v>226</v>
      </c>
      <c r="AQ87" s="2" t="s">
        <v>1326</v>
      </c>
      <c r="AR87" s="2" t="s">
        <v>1327</v>
      </c>
      <c r="AS87" s="2" t="s">
        <v>1328</v>
      </c>
      <c r="AT87" s="2" t="s">
        <v>157</v>
      </c>
      <c r="AV87" s="2" t="s">
        <v>123</v>
      </c>
      <c r="AW87" s="2" t="s">
        <v>132</v>
      </c>
      <c r="CP87" s="2" t="s">
        <v>123</v>
      </c>
      <c r="CZ87" s="2" t="s">
        <v>123</v>
      </c>
      <c r="DJ87" s="2" t="s">
        <v>123</v>
      </c>
      <c r="EM87" s="2" t="s">
        <v>123</v>
      </c>
      <c r="EN87" s="2" t="s">
        <v>180</v>
      </c>
      <c r="FM87" s="2" t="s">
        <v>123</v>
      </c>
      <c r="GU87" s="2" t="s">
        <v>1329</v>
      </c>
      <c r="GV87" s="2" t="s">
        <v>1329</v>
      </c>
      <c r="GW87" s="2" t="s">
        <v>132</v>
      </c>
      <c r="GX87" s="2" t="s">
        <v>186</v>
      </c>
      <c r="GY87" s="2">
        <v>1991</v>
      </c>
      <c r="GZ87" s="2" t="s">
        <v>220</v>
      </c>
      <c r="HB87" s="2" t="s">
        <v>1330</v>
      </c>
      <c r="HC87" s="2" t="s">
        <v>532</v>
      </c>
    </row>
    <row r="88" spans="1:211" x14ac:dyDescent="0.45">
      <c r="A88" s="2" t="s">
        <v>1338</v>
      </c>
      <c r="B88" s="2">
        <v>86</v>
      </c>
      <c r="C88" s="2" t="s">
        <v>1336</v>
      </c>
      <c r="D88" s="2" t="s">
        <v>118</v>
      </c>
      <c r="G88" s="2"/>
      <c r="I88" s="2" t="s">
        <v>119</v>
      </c>
      <c r="J88" s="2" t="s">
        <v>1337</v>
      </c>
      <c r="K88" s="2">
        <v>516</v>
      </c>
      <c r="L88" s="2">
        <v>0</v>
      </c>
      <c r="M88" s="2" t="s">
        <v>122</v>
      </c>
      <c r="N88" s="2" t="s">
        <v>123</v>
      </c>
      <c r="P88" s="2"/>
      <c r="AD88" s="2" t="s">
        <v>124</v>
      </c>
      <c r="AE88" s="2" t="s">
        <v>191</v>
      </c>
      <c r="AF88" s="2">
        <v>2007</v>
      </c>
      <c r="AG88" s="2" t="s">
        <v>126</v>
      </c>
      <c r="AH88" s="2" t="s">
        <v>1339</v>
      </c>
      <c r="AI88" s="2" t="s">
        <v>162</v>
      </c>
      <c r="AJ88" s="2" t="s">
        <v>162</v>
      </c>
      <c r="AK88" s="2" t="s">
        <v>150</v>
      </c>
      <c r="AL88" s="2" t="s">
        <v>169</v>
      </c>
      <c r="AM88" s="2" t="s">
        <v>169</v>
      </c>
      <c r="AN88" s="2" t="s">
        <v>1340</v>
      </c>
      <c r="AO88" s="2" t="s">
        <v>131</v>
      </c>
      <c r="AP88" s="2" t="s">
        <v>759</v>
      </c>
      <c r="AQ88" s="2" t="s">
        <v>1341</v>
      </c>
      <c r="AR88" s="2" t="s">
        <v>1342</v>
      </c>
      <c r="AS88" s="2" t="s">
        <v>1343</v>
      </c>
      <c r="AT88" s="2" t="s">
        <v>157</v>
      </c>
      <c r="AU88" s="2" t="s">
        <v>1344</v>
      </c>
      <c r="AV88" s="2" t="s">
        <v>123</v>
      </c>
      <c r="AW88" s="2" t="s">
        <v>132</v>
      </c>
      <c r="CP88" s="2" t="s">
        <v>123</v>
      </c>
      <c r="CZ88" s="2" t="s">
        <v>123</v>
      </c>
      <c r="DJ88" s="2" t="s">
        <v>123</v>
      </c>
      <c r="EM88" s="2" t="s">
        <v>177</v>
      </c>
      <c r="EN88" s="2" t="s">
        <v>178</v>
      </c>
      <c r="EO88" s="2" t="s">
        <v>132</v>
      </c>
      <c r="EP88" s="2" t="s">
        <v>191</v>
      </c>
      <c r="EQ88" s="2" t="s">
        <v>236</v>
      </c>
      <c r="ER88" s="2" t="s">
        <v>236</v>
      </c>
      <c r="ES88" s="2" t="s">
        <v>151</v>
      </c>
      <c r="ET88" s="2" t="s">
        <v>178</v>
      </c>
      <c r="EU88" s="2" t="s">
        <v>1345</v>
      </c>
      <c r="EV88" s="2" t="s">
        <v>1346</v>
      </c>
      <c r="EW88" s="2" t="s">
        <v>173</v>
      </c>
      <c r="FM88" s="2" t="s">
        <v>123</v>
      </c>
      <c r="GU88" s="2" t="s">
        <v>1347</v>
      </c>
      <c r="GV88" s="2" t="s">
        <v>1348</v>
      </c>
      <c r="GW88" s="2" t="s">
        <v>1349</v>
      </c>
      <c r="GX88" s="2" t="s">
        <v>186</v>
      </c>
      <c r="GY88" s="2">
        <v>1982</v>
      </c>
      <c r="GZ88" s="2" t="s">
        <v>141</v>
      </c>
      <c r="HB88" s="2" t="s">
        <v>1350</v>
      </c>
    </row>
    <row r="89" spans="1:211" x14ac:dyDescent="0.45">
      <c r="A89" s="2" t="s">
        <v>1360</v>
      </c>
      <c r="B89" s="2">
        <v>87</v>
      </c>
      <c r="C89" s="2" t="s">
        <v>1352</v>
      </c>
      <c r="D89" s="2" t="s">
        <v>118</v>
      </c>
      <c r="G89" s="2"/>
      <c r="I89" s="2" t="s">
        <v>119</v>
      </c>
      <c r="J89" s="2" t="s">
        <v>1359</v>
      </c>
      <c r="K89" s="2">
        <v>8266</v>
      </c>
      <c r="L89" s="2">
        <v>0</v>
      </c>
      <c r="M89" s="2" t="s">
        <v>122</v>
      </c>
      <c r="N89" s="2" t="s">
        <v>123</v>
      </c>
      <c r="P89" s="2"/>
      <c r="AD89" s="2" t="s">
        <v>124</v>
      </c>
      <c r="AE89" s="2" t="s">
        <v>160</v>
      </c>
      <c r="AF89" s="2">
        <v>2010</v>
      </c>
      <c r="AG89" s="2" t="s">
        <v>148</v>
      </c>
      <c r="AH89" s="2" t="s">
        <v>1361</v>
      </c>
      <c r="AI89" s="2" t="s">
        <v>236</v>
      </c>
      <c r="AJ89" s="2" t="s">
        <v>150</v>
      </c>
      <c r="AK89" s="2" t="s">
        <v>129</v>
      </c>
      <c r="AL89" s="2" t="s">
        <v>129</v>
      </c>
      <c r="AM89" s="2" t="s">
        <v>129</v>
      </c>
      <c r="AN89" s="2" t="s">
        <v>1362</v>
      </c>
      <c r="AO89" s="2" t="s">
        <v>153</v>
      </c>
      <c r="AP89" s="2" t="s">
        <v>153</v>
      </c>
      <c r="AQ89" s="2" t="s">
        <v>1363</v>
      </c>
      <c r="AR89" s="2" t="s">
        <v>1364</v>
      </c>
      <c r="AS89" s="2" t="s">
        <v>1365</v>
      </c>
      <c r="AT89" s="2" t="s">
        <v>157</v>
      </c>
      <c r="AV89" s="2" t="s">
        <v>123</v>
      </c>
      <c r="AW89" s="2" t="s">
        <v>132</v>
      </c>
      <c r="CP89" s="2" t="s">
        <v>123</v>
      </c>
      <c r="CZ89" s="2" t="s">
        <v>123</v>
      </c>
      <c r="DJ89" s="2" t="s">
        <v>123</v>
      </c>
      <c r="EM89" s="2" t="s">
        <v>123</v>
      </c>
      <c r="FM89" s="2" t="s">
        <v>123</v>
      </c>
      <c r="GU89" s="2" t="s">
        <v>1366</v>
      </c>
      <c r="GV89" s="2" t="s">
        <v>1367</v>
      </c>
      <c r="GW89" s="2" t="s">
        <v>532</v>
      </c>
      <c r="GX89" s="2" t="s">
        <v>140</v>
      </c>
      <c r="GY89" s="2">
        <v>1986</v>
      </c>
      <c r="GZ89" s="2" t="s">
        <v>398</v>
      </c>
      <c r="HB89" s="2" t="s">
        <v>1368</v>
      </c>
    </row>
    <row r="90" spans="1:211" x14ac:dyDescent="0.45">
      <c r="A90" s="2" t="s">
        <v>1377</v>
      </c>
      <c r="B90" s="2">
        <v>88</v>
      </c>
      <c r="C90" s="2" t="s">
        <v>1352</v>
      </c>
      <c r="D90" s="2" t="s">
        <v>118</v>
      </c>
      <c r="G90" s="2"/>
      <c r="I90" s="2" t="s">
        <v>119</v>
      </c>
      <c r="J90" s="2" t="s">
        <v>1376</v>
      </c>
      <c r="K90" s="2">
        <v>352</v>
      </c>
      <c r="L90" s="2">
        <v>0</v>
      </c>
      <c r="M90" s="2" t="s">
        <v>122</v>
      </c>
      <c r="N90" s="2" t="s">
        <v>123</v>
      </c>
      <c r="P90" s="2"/>
      <c r="AD90" s="2" t="s">
        <v>124</v>
      </c>
      <c r="AE90" s="2" t="s">
        <v>223</v>
      </c>
      <c r="AF90" s="2">
        <v>2000</v>
      </c>
      <c r="AG90" s="2" t="s">
        <v>148</v>
      </c>
      <c r="AH90" s="2" t="s">
        <v>161</v>
      </c>
      <c r="AI90" s="2" t="s">
        <v>162</v>
      </c>
      <c r="AJ90" s="2" t="s">
        <v>162</v>
      </c>
      <c r="AK90" s="2" t="s">
        <v>150</v>
      </c>
      <c r="AL90" s="2" t="s">
        <v>129</v>
      </c>
      <c r="AM90" s="2" t="s">
        <v>128</v>
      </c>
      <c r="AN90" s="2">
        <v>5</v>
      </c>
      <c r="AO90" s="2" t="s">
        <v>302</v>
      </c>
      <c r="AP90" s="2" t="s">
        <v>302</v>
      </c>
      <c r="AQ90" s="2" t="s">
        <v>1378</v>
      </c>
      <c r="AR90" s="2" t="s">
        <v>1379</v>
      </c>
      <c r="AS90" s="2" t="s">
        <v>1380</v>
      </c>
      <c r="AT90" s="2" t="s">
        <v>172</v>
      </c>
      <c r="AV90" s="2" t="s">
        <v>123</v>
      </c>
      <c r="AW90" s="2" t="s">
        <v>132</v>
      </c>
      <c r="CP90" s="2" t="s">
        <v>123</v>
      </c>
      <c r="CZ90" s="2" t="s">
        <v>123</v>
      </c>
      <c r="DJ90" s="2" t="s">
        <v>123</v>
      </c>
      <c r="EM90" s="2" t="s">
        <v>123</v>
      </c>
      <c r="FM90" s="2" t="s">
        <v>123</v>
      </c>
      <c r="GU90" s="2" t="s">
        <v>1381</v>
      </c>
      <c r="GV90" s="2" t="s">
        <v>1382</v>
      </c>
      <c r="GW90" s="2" t="s">
        <v>1383</v>
      </c>
      <c r="GX90" s="2" t="s">
        <v>140</v>
      </c>
      <c r="GY90" s="2">
        <v>1982</v>
      </c>
      <c r="GZ90" s="2" t="s">
        <v>246</v>
      </c>
      <c r="HB90" s="2" t="s">
        <v>386</v>
      </c>
      <c r="HC90" s="2" t="s">
        <v>386</v>
      </c>
    </row>
    <row r="91" spans="1:211" x14ac:dyDescent="0.45">
      <c r="A91" s="2" t="s">
        <v>1385</v>
      </c>
      <c r="B91" s="2">
        <v>89</v>
      </c>
      <c r="C91" s="2" t="s">
        <v>1142</v>
      </c>
      <c r="D91" s="2" t="s">
        <v>118</v>
      </c>
      <c r="G91" s="2"/>
      <c r="I91" s="2" t="s">
        <v>119</v>
      </c>
      <c r="J91" s="2" t="s">
        <v>1384</v>
      </c>
      <c r="K91" s="2">
        <v>167</v>
      </c>
      <c r="L91" s="2">
        <v>0</v>
      </c>
      <c r="M91" s="2" t="s">
        <v>122</v>
      </c>
      <c r="N91" s="2" t="s">
        <v>123</v>
      </c>
      <c r="P91" s="2"/>
      <c r="AD91" s="2" t="s">
        <v>123</v>
      </c>
      <c r="AV91" s="2" t="s">
        <v>123</v>
      </c>
      <c r="AW91" s="2" t="s">
        <v>132</v>
      </c>
      <c r="CP91" s="2" t="s">
        <v>123</v>
      </c>
      <c r="CZ91" s="2" t="s">
        <v>123</v>
      </c>
      <c r="DJ91" s="2" t="s">
        <v>123</v>
      </c>
      <c r="EM91" s="2" t="s">
        <v>123</v>
      </c>
      <c r="FM91" s="2" t="s">
        <v>123</v>
      </c>
      <c r="GU91" s="2" t="s">
        <v>1386</v>
      </c>
      <c r="GV91" s="2" t="s">
        <v>1387</v>
      </c>
      <c r="GW91" s="2" t="s">
        <v>1388</v>
      </c>
      <c r="GX91" s="2" t="s">
        <v>186</v>
      </c>
      <c r="GY91" s="2">
        <v>1987</v>
      </c>
      <c r="GZ91" s="2" t="s">
        <v>141</v>
      </c>
      <c r="HB91" s="2" t="s">
        <v>532</v>
      </c>
      <c r="HC91" s="2" t="s">
        <v>1389</v>
      </c>
    </row>
    <row r="92" spans="1:211" x14ac:dyDescent="0.45">
      <c r="A92" s="2" t="s">
        <v>1392</v>
      </c>
      <c r="B92" s="2">
        <v>90</v>
      </c>
      <c r="C92" s="2" t="s">
        <v>1142</v>
      </c>
      <c r="D92" s="2" t="s">
        <v>118</v>
      </c>
      <c r="G92" s="2"/>
      <c r="I92" s="2" t="s">
        <v>119</v>
      </c>
      <c r="J92" s="2" t="s">
        <v>1391</v>
      </c>
      <c r="K92" s="2">
        <v>415</v>
      </c>
      <c r="L92" s="2">
        <v>0</v>
      </c>
      <c r="M92" s="2" t="s">
        <v>122</v>
      </c>
      <c r="N92" s="2" t="s">
        <v>123</v>
      </c>
      <c r="P92" s="2"/>
      <c r="AD92" s="2" t="s">
        <v>124</v>
      </c>
      <c r="AE92" s="2" t="s">
        <v>191</v>
      </c>
      <c r="AF92" s="2">
        <v>2012</v>
      </c>
      <c r="AG92" s="2" t="s">
        <v>126</v>
      </c>
      <c r="AH92" s="2" t="s">
        <v>1393</v>
      </c>
      <c r="AI92" s="2" t="s">
        <v>162</v>
      </c>
      <c r="AJ92" s="2" t="s">
        <v>150</v>
      </c>
      <c r="AK92" s="2" t="s">
        <v>150</v>
      </c>
      <c r="AL92" s="2" t="s">
        <v>236</v>
      </c>
      <c r="AM92" s="2" t="s">
        <v>236</v>
      </c>
      <c r="AN92" s="2" t="s">
        <v>1340</v>
      </c>
      <c r="AO92" s="2" t="s">
        <v>302</v>
      </c>
      <c r="AP92" s="2" t="s">
        <v>153</v>
      </c>
      <c r="AQ92" s="2" t="s">
        <v>1394</v>
      </c>
      <c r="AR92" s="2" t="s">
        <v>1395</v>
      </c>
      <c r="AS92" s="2" t="s">
        <v>1396</v>
      </c>
      <c r="AU92" s="2" t="s">
        <v>1397</v>
      </c>
      <c r="AV92" s="2" t="s">
        <v>123</v>
      </c>
      <c r="AW92" s="2" t="s">
        <v>132</v>
      </c>
      <c r="CP92" s="2" t="s">
        <v>123</v>
      </c>
      <c r="CZ92" s="2" t="s">
        <v>123</v>
      </c>
      <c r="DJ92" s="2" t="s">
        <v>123</v>
      </c>
      <c r="EM92" s="2" t="s">
        <v>123</v>
      </c>
      <c r="FM92" s="2" t="s">
        <v>123</v>
      </c>
      <c r="GU92" s="2" t="s">
        <v>1398</v>
      </c>
      <c r="GV92" s="2" t="s">
        <v>1399</v>
      </c>
      <c r="GW92" s="2" t="s">
        <v>1400</v>
      </c>
      <c r="GX92" s="2" t="s">
        <v>140</v>
      </c>
      <c r="GY92" s="2">
        <v>1985</v>
      </c>
      <c r="GZ92" s="2" t="s">
        <v>141</v>
      </c>
      <c r="HB92" s="2" t="s">
        <v>1401</v>
      </c>
    </row>
    <row r="93" spans="1:211" x14ac:dyDescent="0.45">
      <c r="A93" s="2" t="s">
        <v>1404</v>
      </c>
      <c r="B93" s="2">
        <v>91</v>
      </c>
      <c r="C93" s="2" t="s">
        <v>1131</v>
      </c>
      <c r="D93" s="2" t="s">
        <v>118</v>
      </c>
      <c r="G93" s="2"/>
      <c r="I93" s="2" t="s">
        <v>119</v>
      </c>
      <c r="J93" s="2" t="s">
        <v>1403</v>
      </c>
      <c r="K93" s="2">
        <v>325</v>
      </c>
      <c r="L93" s="2">
        <v>0</v>
      </c>
      <c r="M93" s="2" t="s">
        <v>122</v>
      </c>
      <c r="N93" s="2" t="s">
        <v>123</v>
      </c>
      <c r="P93" s="2"/>
      <c r="AD93" s="2" t="s">
        <v>124</v>
      </c>
      <c r="AE93" s="2" t="s">
        <v>742</v>
      </c>
      <c r="AF93" s="2">
        <v>2013</v>
      </c>
      <c r="AG93" s="2" t="s">
        <v>148</v>
      </c>
      <c r="AH93" s="2" t="s">
        <v>958</v>
      </c>
      <c r="AI93" s="2" t="s">
        <v>128</v>
      </c>
      <c r="AJ93" s="2" t="s">
        <v>128</v>
      </c>
      <c r="AK93" s="2" t="s">
        <v>162</v>
      </c>
      <c r="AL93" s="2" t="s">
        <v>151</v>
      </c>
      <c r="AM93" s="2" t="s">
        <v>151</v>
      </c>
      <c r="AN93" s="2">
        <v>3</v>
      </c>
      <c r="AO93" s="2" t="s">
        <v>131</v>
      </c>
      <c r="AP93" s="2" t="s">
        <v>153</v>
      </c>
      <c r="AQ93" s="2" t="s">
        <v>1405</v>
      </c>
      <c r="AR93" s="2" t="s">
        <v>1406</v>
      </c>
      <c r="AS93" s="2" t="s">
        <v>1407</v>
      </c>
      <c r="AT93" s="2" t="s">
        <v>157</v>
      </c>
      <c r="AV93" s="2" t="s">
        <v>123</v>
      </c>
      <c r="AW93" s="2" t="s">
        <v>132</v>
      </c>
      <c r="CP93" s="2" t="s">
        <v>123</v>
      </c>
      <c r="CZ93" s="2" t="s">
        <v>123</v>
      </c>
      <c r="DJ93" s="2" t="s">
        <v>123</v>
      </c>
      <c r="EM93" s="2" t="s">
        <v>123</v>
      </c>
      <c r="FM93" s="2" t="s">
        <v>123</v>
      </c>
      <c r="GU93" s="2" t="s">
        <v>1408</v>
      </c>
      <c r="GV93" s="2" t="s">
        <v>1409</v>
      </c>
      <c r="GW93" s="2" t="s">
        <v>1410</v>
      </c>
      <c r="GX93" s="2" t="s">
        <v>140</v>
      </c>
      <c r="GY93" s="2">
        <v>1984</v>
      </c>
      <c r="GZ93" s="2" t="s">
        <v>398</v>
      </c>
      <c r="HB93" s="2" t="s">
        <v>1411</v>
      </c>
    </row>
    <row r="94" spans="1:211" x14ac:dyDescent="0.45">
      <c r="A94" s="2" t="s">
        <v>1414</v>
      </c>
      <c r="B94" s="2">
        <v>92</v>
      </c>
      <c r="C94" s="2" t="s">
        <v>1412</v>
      </c>
      <c r="D94" s="2" t="s">
        <v>118</v>
      </c>
      <c r="G94" s="2"/>
      <c r="I94" s="2" t="s">
        <v>119</v>
      </c>
      <c r="J94" s="2" t="s">
        <v>1413</v>
      </c>
      <c r="K94" s="2">
        <v>1007</v>
      </c>
      <c r="L94" s="2">
        <v>0</v>
      </c>
      <c r="M94" s="2" t="s">
        <v>122</v>
      </c>
      <c r="N94" s="2" t="s">
        <v>123</v>
      </c>
      <c r="P94" s="2"/>
      <c r="AD94" s="2" t="s">
        <v>124</v>
      </c>
      <c r="AE94" s="2" t="s">
        <v>1415</v>
      </c>
      <c r="AF94" s="2">
        <v>2006</v>
      </c>
      <c r="AG94" s="2" t="s">
        <v>148</v>
      </c>
      <c r="AH94" s="2" t="s">
        <v>263</v>
      </c>
      <c r="AI94" s="2" t="s">
        <v>169</v>
      </c>
      <c r="AJ94" s="2" t="s">
        <v>169</v>
      </c>
      <c r="AK94" s="2" t="s">
        <v>169</v>
      </c>
      <c r="AL94" s="2" t="s">
        <v>150</v>
      </c>
      <c r="AM94" s="2" t="s">
        <v>169</v>
      </c>
      <c r="AN94" s="2" t="s">
        <v>1416</v>
      </c>
      <c r="AO94" s="2" t="s">
        <v>131</v>
      </c>
      <c r="AP94" s="2" t="s">
        <v>153</v>
      </c>
      <c r="AQ94" s="2" t="s">
        <v>1417</v>
      </c>
      <c r="AR94" s="2" t="s">
        <v>1418</v>
      </c>
      <c r="AS94" s="2" t="s">
        <v>1419</v>
      </c>
      <c r="AU94" s="2" t="s">
        <v>1420</v>
      </c>
      <c r="AV94" s="2" t="s">
        <v>123</v>
      </c>
      <c r="CP94" s="2" t="s">
        <v>123</v>
      </c>
      <c r="CZ94" s="2" t="s">
        <v>123</v>
      </c>
      <c r="DJ94" s="2" t="s">
        <v>123</v>
      </c>
      <c r="EM94" s="2" t="s">
        <v>123</v>
      </c>
      <c r="FM94" s="2" t="s">
        <v>123</v>
      </c>
      <c r="GU94" s="2" t="s">
        <v>1421</v>
      </c>
      <c r="GV94" s="2" t="s">
        <v>1422</v>
      </c>
      <c r="GW94" s="2" t="s">
        <v>142</v>
      </c>
      <c r="GX94" s="2" t="s">
        <v>140</v>
      </c>
      <c r="GY94" s="2">
        <v>1983</v>
      </c>
      <c r="GZ94" s="2" t="s">
        <v>141</v>
      </c>
      <c r="HB94" s="2" t="s">
        <v>1423</v>
      </c>
      <c r="HC94" s="2" t="s">
        <v>132</v>
      </c>
    </row>
    <row r="95" spans="1:211" x14ac:dyDescent="0.45">
      <c r="A95" s="2" t="s">
        <v>1427</v>
      </c>
      <c r="B95" s="2">
        <v>93</v>
      </c>
      <c r="C95" s="2" t="s">
        <v>1352</v>
      </c>
      <c r="D95" s="2" t="s">
        <v>118</v>
      </c>
      <c r="G95" s="2"/>
      <c r="I95" s="2" t="s">
        <v>119</v>
      </c>
      <c r="J95" s="2" t="s">
        <v>1426</v>
      </c>
      <c r="K95" s="2">
        <v>490</v>
      </c>
      <c r="L95" s="2">
        <v>0</v>
      </c>
      <c r="M95" s="2" t="s">
        <v>122</v>
      </c>
      <c r="N95" s="2" t="s">
        <v>123</v>
      </c>
      <c r="P95" s="2"/>
      <c r="AD95" s="2" t="s">
        <v>124</v>
      </c>
      <c r="AE95" s="2" t="s">
        <v>1415</v>
      </c>
      <c r="AF95" s="2">
        <v>2006</v>
      </c>
      <c r="AG95" s="2" t="s">
        <v>126</v>
      </c>
      <c r="AH95" s="2" t="s">
        <v>192</v>
      </c>
      <c r="AI95" s="2" t="s">
        <v>150</v>
      </c>
      <c r="AJ95" s="2" t="s">
        <v>150</v>
      </c>
      <c r="AK95" s="2" t="s">
        <v>169</v>
      </c>
      <c r="AL95" s="2" t="s">
        <v>150</v>
      </c>
      <c r="AM95" s="2" t="s">
        <v>150</v>
      </c>
      <c r="AN95" s="2" t="s">
        <v>237</v>
      </c>
      <c r="AO95" s="2" t="s">
        <v>226</v>
      </c>
      <c r="AP95" s="2" t="s">
        <v>1428</v>
      </c>
      <c r="AQ95" s="2" t="s">
        <v>1429</v>
      </c>
      <c r="AR95" s="2" t="s">
        <v>1430</v>
      </c>
      <c r="AS95" s="2" t="s">
        <v>1431</v>
      </c>
      <c r="AT95" s="2" t="s">
        <v>157</v>
      </c>
      <c r="AV95" s="2" t="s">
        <v>123</v>
      </c>
      <c r="AW95" s="2" t="s">
        <v>132</v>
      </c>
      <c r="CP95" s="2" t="s">
        <v>123</v>
      </c>
      <c r="CZ95" s="2" t="s">
        <v>123</v>
      </c>
      <c r="DJ95" s="2" t="s">
        <v>123</v>
      </c>
      <c r="EM95" s="2" t="s">
        <v>123</v>
      </c>
      <c r="FM95" s="2" t="s">
        <v>123</v>
      </c>
      <c r="GU95" s="2" t="s">
        <v>1432</v>
      </c>
      <c r="GV95" s="2" t="s">
        <v>1433</v>
      </c>
      <c r="GW95" s="2" t="s">
        <v>1434</v>
      </c>
      <c r="GX95" s="2" t="s">
        <v>186</v>
      </c>
      <c r="GY95" s="2">
        <v>1982</v>
      </c>
      <c r="GZ95" s="2" t="s">
        <v>141</v>
      </c>
    </row>
    <row r="96" spans="1:211" x14ac:dyDescent="0.45">
      <c r="A96" s="2" t="s">
        <v>1438</v>
      </c>
      <c r="B96" s="2">
        <v>94</v>
      </c>
      <c r="C96" s="2" t="s">
        <v>1436</v>
      </c>
      <c r="D96" s="2" t="s">
        <v>118</v>
      </c>
      <c r="G96" s="2"/>
      <c r="I96" s="2" t="s">
        <v>119</v>
      </c>
      <c r="J96" s="2" t="s">
        <v>1437</v>
      </c>
      <c r="K96" s="2">
        <v>880</v>
      </c>
      <c r="L96" s="2">
        <v>0</v>
      </c>
      <c r="M96" s="2" t="s">
        <v>122</v>
      </c>
      <c r="N96" s="2" t="s">
        <v>123</v>
      </c>
      <c r="P96" s="2"/>
      <c r="AD96" s="2" t="s">
        <v>124</v>
      </c>
      <c r="AE96" s="2" t="s">
        <v>1439</v>
      </c>
      <c r="AF96" s="2">
        <v>2019</v>
      </c>
      <c r="AG96" s="2" t="s">
        <v>148</v>
      </c>
      <c r="AH96" s="2" t="s">
        <v>1440</v>
      </c>
      <c r="AI96" s="2" t="s">
        <v>128</v>
      </c>
      <c r="AJ96" s="2" t="s">
        <v>128</v>
      </c>
      <c r="AK96" s="2" t="s">
        <v>150</v>
      </c>
      <c r="AL96" s="2" t="s">
        <v>169</v>
      </c>
      <c r="AM96" s="2" t="s">
        <v>169</v>
      </c>
      <c r="AN96" s="2" t="s">
        <v>1441</v>
      </c>
      <c r="AO96" s="2" t="s">
        <v>302</v>
      </c>
      <c r="AP96" s="2" t="s">
        <v>226</v>
      </c>
      <c r="AQ96" s="2" t="s">
        <v>1442</v>
      </c>
      <c r="AR96" s="2" t="s">
        <v>1443</v>
      </c>
      <c r="AS96" s="2" t="s">
        <v>1444</v>
      </c>
      <c r="AT96" s="2" t="s">
        <v>230</v>
      </c>
      <c r="AV96" s="2" t="s">
        <v>123</v>
      </c>
      <c r="AW96" s="2" t="s">
        <v>132</v>
      </c>
      <c r="CP96" s="2" t="s">
        <v>123</v>
      </c>
      <c r="CZ96" s="2" t="s">
        <v>123</v>
      </c>
      <c r="DJ96" s="2" t="s">
        <v>123</v>
      </c>
      <c r="EM96" s="2" t="s">
        <v>123</v>
      </c>
      <c r="EN96" s="2" t="s">
        <v>178</v>
      </c>
      <c r="FM96" s="2" t="s">
        <v>123</v>
      </c>
      <c r="GU96" s="2" t="s">
        <v>1445</v>
      </c>
      <c r="GV96" s="2" t="s">
        <v>1446</v>
      </c>
      <c r="GW96" s="2" t="s">
        <v>1447</v>
      </c>
      <c r="GX96" s="2" t="s">
        <v>140</v>
      </c>
      <c r="GY96" s="2">
        <v>1990</v>
      </c>
      <c r="GZ96" s="2" t="s">
        <v>398</v>
      </c>
      <c r="HB96" s="2" t="s">
        <v>1448</v>
      </c>
      <c r="HC96" s="2" t="s">
        <v>1449</v>
      </c>
    </row>
    <row r="97" spans="1:212" x14ac:dyDescent="0.45">
      <c r="A97" s="2" t="s">
        <v>1451</v>
      </c>
      <c r="B97" s="2">
        <v>95</v>
      </c>
      <c r="C97" s="2" t="s">
        <v>1352</v>
      </c>
      <c r="D97" s="2" t="s">
        <v>118</v>
      </c>
      <c r="G97" s="2"/>
      <c r="I97" s="2" t="s">
        <v>119</v>
      </c>
      <c r="J97" s="2" t="s">
        <v>1450</v>
      </c>
      <c r="K97" s="2">
        <v>402</v>
      </c>
      <c r="L97" s="2">
        <v>0</v>
      </c>
      <c r="M97" s="2" t="s">
        <v>122</v>
      </c>
      <c r="N97" s="2" t="s">
        <v>123</v>
      </c>
      <c r="P97" s="2"/>
      <c r="AD97" s="2" t="s">
        <v>124</v>
      </c>
      <c r="AE97" s="2" t="s">
        <v>223</v>
      </c>
      <c r="AF97" s="2">
        <v>2008</v>
      </c>
      <c r="AG97" s="2" t="s">
        <v>148</v>
      </c>
      <c r="AH97" s="2" t="s">
        <v>1452</v>
      </c>
      <c r="AI97" s="2" t="s">
        <v>128</v>
      </c>
      <c r="AJ97" s="2" t="s">
        <v>236</v>
      </c>
      <c r="AK97" s="2" t="s">
        <v>129</v>
      </c>
      <c r="AL97" s="2" t="s">
        <v>129</v>
      </c>
      <c r="AM97" s="2" t="s">
        <v>128</v>
      </c>
      <c r="AN97" s="2" t="s">
        <v>237</v>
      </c>
      <c r="AO97" s="2" t="s">
        <v>131</v>
      </c>
      <c r="AP97" s="2" t="s">
        <v>131</v>
      </c>
      <c r="AQ97" s="2" t="s">
        <v>1453</v>
      </c>
      <c r="AR97" s="2" t="s">
        <v>1454</v>
      </c>
      <c r="AS97" s="2" t="s">
        <v>1005</v>
      </c>
      <c r="AT97" s="2" t="s">
        <v>157</v>
      </c>
      <c r="AV97" s="2" t="s">
        <v>123</v>
      </c>
      <c r="AW97" s="2" t="s">
        <v>132</v>
      </c>
      <c r="CP97" s="2" t="s">
        <v>123</v>
      </c>
      <c r="CZ97" s="2" t="s">
        <v>123</v>
      </c>
      <c r="DJ97" s="2" t="s">
        <v>123</v>
      </c>
      <c r="EM97" s="2" t="s">
        <v>123</v>
      </c>
      <c r="FM97" s="2" t="s">
        <v>123</v>
      </c>
      <c r="GU97" s="2" t="s">
        <v>1455</v>
      </c>
      <c r="GV97" s="2" t="s">
        <v>1456</v>
      </c>
      <c r="GW97" s="2" t="s">
        <v>1457</v>
      </c>
      <c r="GX97" s="2" t="s">
        <v>140</v>
      </c>
      <c r="GY97" s="2">
        <v>1984</v>
      </c>
      <c r="GZ97" s="2" t="s">
        <v>220</v>
      </c>
      <c r="HB97" s="2" t="s">
        <v>386</v>
      </c>
      <c r="HC97" s="2" t="s">
        <v>386</v>
      </c>
    </row>
    <row r="98" spans="1:212" x14ac:dyDescent="0.45">
      <c r="A98" s="2" t="s">
        <v>1460</v>
      </c>
      <c r="B98" s="2">
        <v>96</v>
      </c>
      <c r="C98" s="2" t="s">
        <v>1131</v>
      </c>
      <c r="D98" s="2" t="s">
        <v>118</v>
      </c>
      <c r="G98" s="2"/>
      <c r="I98" s="2" t="s">
        <v>119</v>
      </c>
      <c r="J98" s="2" t="s">
        <v>1459</v>
      </c>
      <c r="K98" s="2">
        <v>665</v>
      </c>
      <c r="L98" s="2">
        <v>0</v>
      </c>
      <c r="M98" s="2" t="s">
        <v>122</v>
      </c>
      <c r="N98" s="2" t="s">
        <v>123</v>
      </c>
      <c r="P98" s="2"/>
      <c r="AD98" s="2" t="s">
        <v>124</v>
      </c>
      <c r="AE98" s="2" t="s">
        <v>1461</v>
      </c>
      <c r="AF98" s="2">
        <v>2007</v>
      </c>
      <c r="AG98" s="2" t="s">
        <v>148</v>
      </c>
      <c r="AH98" s="2" t="s">
        <v>1462</v>
      </c>
      <c r="AI98" s="2" t="s">
        <v>162</v>
      </c>
      <c r="AJ98" s="2" t="s">
        <v>151</v>
      </c>
      <c r="AK98" s="2" t="s">
        <v>151</v>
      </c>
      <c r="AL98" s="2" t="s">
        <v>150</v>
      </c>
      <c r="AM98" s="2" t="s">
        <v>128</v>
      </c>
      <c r="AN98" s="2">
        <v>2</v>
      </c>
      <c r="AO98" s="2" t="s">
        <v>302</v>
      </c>
      <c r="AP98" s="2" t="s">
        <v>302</v>
      </c>
      <c r="AQ98" s="2" t="s">
        <v>1463</v>
      </c>
      <c r="AR98" s="2" t="s">
        <v>1464</v>
      </c>
      <c r="AS98" s="2" t="s">
        <v>1465</v>
      </c>
      <c r="AT98" s="2" t="s">
        <v>157</v>
      </c>
      <c r="AV98" s="2" t="s">
        <v>123</v>
      </c>
      <c r="CP98" s="2" t="s">
        <v>123</v>
      </c>
      <c r="CZ98" s="2" t="s">
        <v>123</v>
      </c>
      <c r="DJ98" s="2" t="s">
        <v>123</v>
      </c>
      <c r="EM98" s="2" t="s">
        <v>123</v>
      </c>
      <c r="FM98" s="2" t="s">
        <v>123</v>
      </c>
      <c r="GU98" s="2" t="s">
        <v>1466</v>
      </c>
      <c r="GV98" s="2" t="s">
        <v>1467</v>
      </c>
      <c r="GW98" s="2" t="s">
        <v>1468</v>
      </c>
      <c r="GX98" s="2" t="s">
        <v>140</v>
      </c>
      <c r="GY98" s="2">
        <v>1982</v>
      </c>
      <c r="GZ98" s="2" t="s">
        <v>398</v>
      </c>
      <c r="HB98" s="2" t="s">
        <v>1469</v>
      </c>
    </row>
    <row r="99" spans="1:212" x14ac:dyDescent="0.45">
      <c r="A99" s="2" t="s">
        <v>1471</v>
      </c>
      <c r="B99" s="2">
        <v>97</v>
      </c>
      <c r="C99" s="2" t="s">
        <v>1352</v>
      </c>
      <c r="D99" s="2" t="s">
        <v>118</v>
      </c>
      <c r="G99" s="2"/>
      <c r="I99" s="2" t="s">
        <v>119</v>
      </c>
      <c r="J99" s="2" t="s">
        <v>1470</v>
      </c>
      <c r="K99" s="2">
        <v>495</v>
      </c>
      <c r="L99" s="2">
        <v>0</v>
      </c>
      <c r="M99" s="2" t="s">
        <v>122</v>
      </c>
      <c r="N99" s="2" t="s">
        <v>123</v>
      </c>
      <c r="P99" s="2"/>
      <c r="AD99" s="2" t="s">
        <v>124</v>
      </c>
      <c r="AE99" s="2" t="s">
        <v>1472</v>
      </c>
      <c r="AF99" s="2" t="s">
        <v>1473</v>
      </c>
      <c r="AG99" s="2" t="s">
        <v>148</v>
      </c>
      <c r="AH99" s="2" t="s">
        <v>1474</v>
      </c>
      <c r="AI99" s="2" t="s">
        <v>169</v>
      </c>
      <c r="AJ99" s="2" t="s">
        <v>169</v>
      </c>
      <c r="AK99" s="2" t="s">
        <v>151</v>
      </c>
      <c r="AL99" s="2" t="s">
        <v>162</v>
      </c>
      <c r="AM99" s="2" t="s">
        <v>162</v>
      </c>
      <c r="AN99" s="2" t="s">
        <v>1475</v>
      </c>
      <c r="AO99" s="2" t="s">
        <v>132</v>
      </c>
      <c r="AP99" s="2" t="s">
        <v>132</v>
      </c>
      <c r="AQ99" s="2" t="s">
        <v>1476</v>
      </c>
      <c r="AR99" s="2" t="s">
        <v>1477</v>
      </c>
      <c r="AS99" s="2" t="s">
        <v>1473</v>
      </c>
      <c r="AT99" s="2" t="s">
        <v>157</v>
      </c>
      <c r="AV99" s="2" t="s">
        <v>123</v>
      </c>
      <c r="AW99" s="2" t="s">
        <v>132</v>
      </c>
      <c r="CP99" s="2" t="s">
        <v>123</v>
      </c>
      <c r="CZ99" s="2" t="s">
        <v>123</v>
      </c>
      <c r="DJ99" s="2" t="s">
        <v>123</v>
      </c>
      <c r="EM99" s="2" t="s">
        <v>123</v>
      </c>
      <c r="FM99" s="2" t="s">
        <v>123</v>
      </c>
      <c r="GU99" s="2" t="s">
        <v>1478</v>
      </c>
      <c r="GV99" s="2" t="s">
        <v>1478</v>
      </c>
      <c r="GW99" s="2" t="s">
        <v>1473</v>
      </c>
      <c r="GX99" s="2" t="s">
        <v>140</v>
      </c>
      <c r="GY99" s="2" t="s">
        <v>1473</v>
      </c>
      <c r="GZ99" s="2" t="s">
        <v>398</v>
      </c>
      <c r="HB99" s="2" t="s">
        <v>1479</v>
      </c>
      <c r="HC99" s="2" t="s">
        <v>1473</v>
      </c>
      <c r="HD99" s="2" t="s">
        <v>1473</v>
      </c>
    </row>
    <row r="100" spans="1:212" x14ac:dyDescent="0.45">
      <c r="A100" s="2" t="s">
        <v>1482</v>
      </c>
      <c r="B100" s="2">
        <v>98</v>
      </c>
      <c r="C100" s="2" t="s">
        <v>1336</v>
      </c>
      <c r="D100" s="2" t="s">
        <v>118</v>
      </c>
      <c r="G100" s="2"/>
      <c r="I100" s="2" t="s">
        <v>119</v>
      </c>
      <c r="J100" s="2" t="s">
        <v>1481</v>
      </c>
      <c r="K100" s="2">
        <v>562</v>
      </c>
      <c r="L100" s="2">
        <v>0</v>
      </c>
      <c r="M100" s="2" t="s">
        <v>122</v>
      </c>
      <c r="N100" s="2" t="s">
        <v>123</v>
      </c>
      <c r="P100" s="2"/>
      <c r="AD100" s="2" t="s">
        <v>124</v>
      </c>
      <c r="AE100" s="2" t="s">
        <v>223</v>
      </c>
      <c r="AF100" s="2">
        <v>2014</v>
      </c>
      <c r="AG100" s="2" t="s">
        <v>148</v>
      </c>
      <c r="AH100" s="2" t="s">
        <v>1483</v>
      </c>
      <c r="AI100" s="2" t="s">
        <v>151</v>
      </c>
      <c r="AJ100" s="2" t="s">
        <v>128</v>
      </c>
      <c r="AK100" s="2" t="s">
        <v>128</v>
      </c>
      <c r="AL100" s="2" t="s">
        <v>151</v>
      </c>
      <c r="AM100" s="2" t="s">
        <v>162</v>
      </c>
      <c r="AN100" s="2" t="s">
        <v>1484</v>
      </c>
      <c r="AO100" s="2" t="s">
        <v>153</v>
      </c>
      <c r="AP100" s="2" t="s">
        <v>153</v>
      </c>
      <c r="AR100" s="2" t="s">
        <v>1485</v>
      </c>
      <c r="AS100" s="2" t="s">
        <v>1486</v>
      </c>
      <c r="AT100" s="2" t="s">
        <v>172</v>
      </c>
      <c r="AV100" s="2" t="s">
        <v>123</v>
      </c>
      <c r="AW100" s="2" t="s">
        <v>132</v>
      </c>
      <c r="CP100" s="2" t="s">
        <v>123</v>
      </c>
      <c r="CZ100" s="2" t="s">
        <v>123</v>
      </c>
      <c r="DJ100" s="2" t="s">
        <v>123</v>
      </c>
      <c r="EM100" s="2" t="s">
        <v>123</v>
      </c>
      <c r="FM100" s="2" t="s">
        <v>123</v>
      </c>
      <c r="GU100" s="2" t="s">
        <v>1487</v>
      </c>
      <c r="GV100" s="2" t="s">
        <v>1488</v>
      </c>
      <c r="GW100" s="2" t="s">
        <v>1489</v>
      </c>
      <c r="GX100" s="2" t="s">
        <v>140</v>
      </c>
      <c r="GY100" s="2">
        <v>1991</v>
      </c>
      <c r="GZ100" s="2" t="s">
        <v>141</v>
      </c>
    </row>
    <row r="101" spans="1:212" x14ac:dyDescent="0.45">
      <c r="A101" s="2" t="s">
        <v>1494</v>
      </c>
      <c r="B101" s="2">
        <v>99</v>
      </c>
      <c r="C101" s="2" t="s">
        <v>1131</v>
      </c>
      <c r="D101" s="2" t="s">
        <v>118</v>
      </c>
      <c r="G101" s="2"/>
      <c r="I101" s="2" t="s">
        <v>119</v>
      </c>
      <c r="J101" s="2" t="s">
        <v>1493</v>
      </c>
      <c r="K101" s="2">
        <v>2185</v>
      </c>
      <c r="L101" s="2">
        <v>0</v>
      </c>
      <c r="M101" s="2" t="s">
        <v>122</v>
      </c>
      <c r="N101" s="2" t="s">
        <v>123</v>
      </c>
      <c r="P101" s="2"/>
      <c r="AD101" s="2" t="s">
        <v>124</v>
      </c>
      <c r="AE101" s="2" t="s">
        <v>223</v>
      </c>
      <c r="AF101" s="2">
        <v>2005</v>
      </c>
      <c r="AG101" s="2" t="s">
        <v>148</v>
      </c>
      <c r="AH101" s="2" t="s">
        <v>1495</v>
      </c>
      <c r="AI101" s="2" t="s">
        <v>150</v>
      </c>
      <c r="AJ101" s="2" t="s">
        <v>169</v>
      </c>
      <c r="AK101" s="2" t="s">
        <v>169</v>
      </c>
      <c r="AL101" s="2" t="s">
        <v>169</v>
      </c>
      <c r="AM101" s="2" t="s">
        <v>150</v>
      </c>
      <c r="AN101" s="2" t="s">
        <v>237</v>
      </c>
      <c r="AO101" s="2" t="s">
        <v>131</v>
      </c>
      <c r="AP101" s="2" t="s">
        <v>302</v>
      </c>
      <c r="AR101" s="2" t="s">
        <v>1496</v>
      </c>
      <c r="AS101" s="2" t="s">
        <v>386</v>
      </c>
      <c r="AT101" s="2" t="s">
        <v>230</v>
      </c>
      <c r="AV101" s="2" t="s">
        <v>123</v>
      </c>
      <c r="CP101" s="2" t="s">
        <v>123</v>
      </c>
      <c r="CZ101" s="2" t="s">
        <v>123</v>
      </c>
      <c r="DJ101" s="2" t="s">
        <v>123</v>
      </c>
      <c r="EM101" s="2" t="s">
        <v>123</v>
      </c>
      <c r="EN101" s="2" t="s">
        <v>178</v>
      </c>
      <c r="FM101" s="2" t="s">
        <v>123</v>
      </c>
      <c r="GU101" s="2" t="s">
        <v>1497</v>
      </c>
      <c r="GV101" s="2" t="s">
        <v>1497</v>
      </c>
      <c r="GW101" s="2" t="s">
        <v>1497</v>
      </c>
      <c r="GX101" s="2" t="s">
        <v>186</v>
      </c>
      <c r="GY101" s="2">
        <v>1981</v>
      </c>
      <c r="GZ101" s="2" t="s">
        <v>246</v>
      </c>
    </row>
    <row r="102" spans="1:212" x14ac:dyDescent="0.45">
      <c r="A102" s="2" t="s">
        <v>1502</v>
      </c>
      <c r="B102" s="2">
        <v>100</v>
      </c>
      <c r="C102" s="2" t="s">
        <v>1131</v>
      </c>
      <c r="D102" s="2" t="s">
        <v>118</v>
      </c>
      <c r="G102" s="2"/>
      <c r="I102" s="2" t="s">
        <v>119</v>
      </c>
      <c r="J102" s="2" t="s">
        <v>1501</v>
      </c>
      <c r="K102" s="2">
        <v>1485</v>
      </c>
      <c r="L102" s="2">
        <v>0</v>
      </c>
      <c r="M102" s="2" t="s">
        <v>122</v>
      </c>
      <c r="N102" s="2" t="s">
        <v>123</v>
      </c>
      <c r="P102" s="2"/>
      <c r="AD102" s="2" t="s">
        <v>124</v>
      </c>
      <c r="AE102" s="2" t="s">
        <v>1503</v>
      </c>
      <c r="AF102" s="2">
        <v>2016</v>
      </c>
      <c r="AG102" s="2" t="s">
        <v>148</v>
      </c>
      <c r="AH102" s="2" t="s">
        <v>1504</v>
      </c>
      <c r="AI102" s="2" t="s">
        <v>150</v>
      </c>
      <c r="AJ102" s="2" t="s">
        <v>151</v>
      </c>
      <c r="AK102" s="2" t="s">
        <v>162</v>
      </c>
      <c r="AL102" s="2" t="s">
        <v>150</v>
      </c>
      <c r="AM102" s="2" t="s">
        <v>169</v>
      </c>
      <c r="AN102" s="2">
        <v>4</v>
      </c>
      <c r="AO102" s="2" t="s">
        <v>302</v>
      </c>
      <c r="AP102" s="2" t="s">
        <v>153</v>
      </c>
      <c r="AQ102" s="2" t="s">
        <v>1505</v>
      </c>
      <c r="AR102" s="2" t="s">
        <v>1506</v>
      </c>
      <c r="AS102" s="2" t="s">
        <v>1507</v>
      </c>
      <c r="AT102" s="2" t="s">
        <v>157</v>
      </c>
      <c r="AV102" s="2" t="s">
        <v>123</v>
      </c>
      <c r="AW102" s="2" t="s">
        <v>132</v>
      </c>
      <c r="CP102" s="2" t="s">
        <v>123</v>
      </c>
      <c r="CZ102" s="2" t="s">
        <v>123</v>
      </c>
      <c r="DJ102" s="2" t="s">
        <v>123</v>
      </c>
      <c r="EM102" s="2" t="s">
        <v>123</v>
      </c>
      <c r="FM102" s="2" t="s">
        <v>123</v>
      </c>
      <c r="GU102" s="2" t="s">
        <v>1508</v>
      </c>
      <c r="GV102" s="2" t="s">
        <v>1509</v>
      </c>
      <c r="GW102" s="2" t="s">
        <v>1510</v>
      </c>
      <c r="GX102" s="2" t="s">
        <v>186</v>
      </c>
      <c r="GY102" s="2">
        <v>1991</v>
      </c>
      <c r="GZ102" s="2" t="s">
        <v>398</v>
      </c>
    </row>
    <row r="103" spans="1:212" x14ac:dyDescent="0.45">
      <c r="A103" s="2" t="s">
        <v>1513</v>
      </c>
      <c r="B103" s="2">
        <v>101</v>
      </c>
      <c r="C103" s="2" t="s">
        <v>1511</v>
      </c>
      <c r="D103" s="2" t="s">
        <v>118</v>
      </c>
      <c r="G103" s="2"/>
      <c r="I103" s="2" t="s">
        <v>119</v>
      </c>
      <c r="J103" s="2" t="s">
        <v>1512</v>
      </c>
      <c r="K103" s="2">
        <v>2685</v>
      </c>
      <c r="L103" s="2">
        <v>0</v>
      </c>
      <c r="M103" s="2" t="s">
        <v>122</v>
      </c>
      <c r="N103" s="2" t="s">
        <v>123</v>
      </c>
      <c r="P103" s="2"/>
      <c r="AD103" s="2" t="s">
        <v>124</v>
      </c>
      <c r="AE103" s="2" t="s">
        <v>1514</v>
      </c>
      <c r="AF103" s="2">
        <v>1996</v>
      </c>
      <c r="AG103" s="2" t="s">
        <v>148</v>
      </c>
      <c r="AH103" s="2" t="s">
        <v>1515</v>
      </c>
      <c r="AI103" s="2" t="s">
        <v>162</v>
      </c>
      <c r="AJ103" s="2" t="s">
        <v>151</v>
      </c>
      <c r="AK103" s="2" t="s">
        <v>162</v>
      </c>
      <c r="AL103" s="2" t="s">
        <v>162</v>
      </c>
      <c r="AM103" s="2" t="s">
        <v>151</v>
      </c>
      <c r="AN103" s="2" t="s">
        <v>1516</v>
      </c>
      <c r="AO103" s="2" t="s">
        <v>194</v>
      </c>
      <c r="AP103" s="2" t="s">
        <v>194</v>
      </c>
      <c r="AQ103" s="2" t="s">
        <v>1517</v>
      </c>
      <c r="AR103" s="2" t="s">
        <v>1518</v>
      </c>
      <c r="AS103" s="2" t="s">
        <v>1519</v>
      </c>
      <c r="AT103" s="2" t="s">
        <v>172</v>
      </c>
      <c r="AV103" s="2" t="s">
        <v>123</v>
      </c>
      <c r="AW103" s="2" t="s">
        <v>132</v>
      </c>
      <c r="CP103" s="2" t="s">
        <v>123</v>
      </c>
      <c r="CZ103" s="2" t="s">
        <v>123</v>
      </c>
      <c r="DJ103" s="2" t="s">
        <v>123</v>
      </c>
      <c r="EM103" s="2" t="s">
        <v>177</v>
      </c>
      <c r="EN103" s="2" t="s">
        <v>180</v>
      </c>
      <c r="EO103" s="2">
        <v>1</v>
      </c>
      <c r="EP103" s="2" t="s">
        <v>1520</v>
      </c>
      <c r="EQ103" s="2" t="s">
        <v>150</v>
      </c>
      <c r="ER103" s="2" t="s">
        <v>162</v>
      </c>
      <c r="ES103" s="2" t="s">
        <v>162</v>
      </c>
      <c r="ET103" s="2" t="s">
        <v>178</v>
      </c>
      <c r="EU103" s="2" t="s">
        <v>1521</v>
      </c>
      <c r="EV103" s="2" t="s">
        <v>1522</v>
      </c>
      <c r="EW103" s="2" t="s">
        <v>173</v>
      </c>
      <c r="FM103" s="2" t="s">
        <v>123</v>
      </c>
      <c r="GU103" s="2" t="s">
        <v>1523</v>
      </c>
      <c r="GV103" s="2" t="s">
        <v>1524</v>
      </c>
      <c r="GW103" s="2" t="s">
        <v>1525</v>
      </c>
      <c r="GX103" s="2" t="s">
        <v>186</v>
      </c>
      <c r="GY103" s="2">
        <v>1974</v>
      </c>
      <c r="GZ103" s="2" t="s">
        <v>398</v>
      </c>
      <c r="HB103" s="2" t="s">
        <v>1526</v>
      </c>
    </row>
    <row r="104" spans="1:212" x14ac:dyDescent="0.45">
      <c r="A104" s="2" t="s">
        <v>1529</v>
      </c>
      <c r="B104" s="2">
        <v>102</v>
      </c>
      <c r="C104" s="2" t="s">
        <v>1336</v>
      </c>
      <c r="D104" s="2" t="s">
        <v>118</v>
      </c>
      <c r="G104" s="2"/>
      <c r="I104" s="2" t="s">
        <v>119</v>
      </c>
      <c r="J104" s="2" t="s">
        <v>1528</v>
      </c>
      <c r="K104" s="2">
        <v>426</v>
      </c>
      <c r="L104" s="2">
        <v>0</v>
      </c>
      <c r="M104" s="2" t="s">
        <v>122</v>
      </c>
      <c r="N104" s="2" t="s">
        <v>416</v>
      </c>
      <c r="O104" s="2" t="s">
        <v>1439</v>
      </c>
      <c r="P104" s="2" t="s">
        <v>126</v>
      </c>
      <c r="Q104" s="2" t="s">
        <v>1530</v>
      </c>
      <c r="R104" s="2" t="s">
        <v>151</v>
      </c>
      <c r="S104" s="2" t="s">
        <v>162</v>
      </c>
      <c r="T104" s="2" t="s">
        <v>128</v>
      </c>
      <c r="U104" s="2" t="s">
        <v>1531</v>
      </c>
      <c r="V104" s="2" t="s">
        <v>194</v>
      </c>
      <c r="W104" s="2" t="s">
        <v>194</v>
      </c>
      <c r="X104" s="2" t="s">
        <v>1532</v>
      </c>
      <c r="Y104" s="2" t="s">
        <v>1533</v>
      </c>
      <c r="Z104" s="2" t="s">
        <v>1534</v>
      </c>
      <c r="AA104" s="2" t="s">
        <v>892</v>
      </c>
      <c r="AC104" s="2">
        <v>7</v>
      </c>
      <c r="AD104" s="2" t="s">
        <v>123</v>
      </c>
      <c r="AV104" s="2" t="s">
        <v>123</v>
      </c>
      <c r="AW104" s="2" t="s">
        <v>132</v>
      </c>
      <c r="CP104" s="2" t="s">
        <v>123</v>
      </c>
      <c r="CZ104" s="2" t="s">
        <v>123</v>
      </c>
      <c r="DJ104" s="2" t="s">
        <v>123</v>
      </c>
      <c r="EM104" s="2" t="s">
        <v>123</v>
      </c>
      <c r="EN104" s="2" t="s">
        <v>178</v>
      </c>
      <c r="EO104" s="2" t="s">
        <v>132</v>
      </c>
      <c r="FM104" s="2" t="s">
        <v>123</v>
      </c>
      <c r="GU104" s="2" t="s">
        <v>1535</v>
      </c>
      <c r="GV104" s="2" t="s">
        <v>1536</v>
      </c>
      <c r="GW104" s="2" t="s">
        <v>1537</v>
      </c>
      <c r="GX104" s="2" t="s">
        <v>140</v>
      </c>
      <c r="GY104" s="2">
        <v>1991</v>
      </c>
      <c r="GZ104" s="2" t="s">
        <v>141</v>
      </c>
      <c r="HB104" s="2" t="s">
        <v>1538</v>
      </c>
      <c r="HC104" s="2" t="s">
        <v>1539</v>
      </c>
    </row>
    <row r="105" spans="1:212" x14ac:dyDescent="0.45">
      <c r="A105" s="2" t="s">
        <v>1542</v>
      </c>
      <c r="B105" s="2">
        <v>103</v>
      </c>
      <c r="C105" s="2" t="s">
        <v>1540</v>
      </c>
      <c r="D105" s="2" t="s">
        <v>118</v>
      </c>
      <c r="G105" s="2"/>
      <c r="I105" s="2" t="s">
        <v>119</v>
      </c>
      <c r="J105" s="2" t="s">
        <v>1541</v>
      </c>
      <c r="K105" s="2">
        <v>193</v>
      </c>
      <c r="L105" s="2">
        <v>0</v>
      </c>
      <c r="M105" s="2" t="s">
        <v>122</v>
      </c>
      <c r="N105" s="2" t="s">
        <v>123</v>
      </c>
      <c r="P105" s="2"/>
      <c r="AD105" s="2" t="s">
        <v>124</v>
      </c>
      <c r="AE105" s="2" t="s">
        <v>1543</v>
      </c>
      <c r="AF105" s="2">
        <v>2013</v>
      </c>
      <c r="AG105" s="2" t="s">
        <v>126</v>
      </c>
      <c r="AH105" s="2" t="s">
        <v>1544</v>
      </c>
      <c r="AI105" s="2" t="s">
        <v>236</v>
      </c>
      <c r="AJ105" s="2" t="s">
        <v>236</v>
      </c>
      <c r="AK105" s="2" t="s">
        <v>162</v>
      </c>
      <c r="AL105" s="2" t="s">
        <v>236</v>
      </c>
      <c r="AM105" s="2" t="s">
        <v>236</v>
      </c>
      <c r="AN105" s="2">
        <v>1</v>
      </c>
      <c r="AO105" s="2" t="s">
        <v>131</v>
      </c>
      <c r="AP105" s="2" t="s">
        <v>302</v>
      </c>
      <c r="AR105" s="2" t="s">
        <v>267</v>
      </c>
      <c r="AS105" s="2" t="s">
        <v>267</v>
      </c>
      <c r="AT105" s="2" t="s">
        <v>157</v>
      </c>
      <c r="AV105" s="2" t="s">
        <v>123</v>
      </c>
      <c r="AW105" s="2" t="s">
        <v>132</v>
      </c>
      <c r="CP105" s="2" t="s">
        <v>123</v>
      </c>
      <c r="CZ105" s="2" t="s">
        <v>123</v>
      </c>
      <c r="DJ105" s="2" t="s">
        <v>123</v>
      </c>
      <c r="EM105" s="2" t="s">
        <v>123</v>
      </c>
      <c r="FM105" s="2" t="s">
        <v>123</v>
      </c>
      <c r="GU105" s="2" t="s">
        <v>267</v>
      </c>
      <c r="GV105" s="2" t="s">
        <v>267</v>
      </c>
      <c r="GW105" s="2" t="s">
        <v>267</v>
      </c>
      <c r="GX105" s="2" t="s">
        <v>186</v>
      </c>
      <c r="GY105" s="2">
        <v>1989</v>
      </c>
      <c r="GZ105" s="2" t="s">
        <v>141</v>
      </c>
      <c r="HB105" s="2" t="s">
        <v>267</v>
      </c>
      <c r="HC105" s="2" t="s">
        <v>267</v>
      </c>
      <c r="HD105" s="2" t="s">
        <v>267</v>
      </c>
    </row>
    <row r="106" spans="1:212" x14ac:dyDescent="0.45">
      <c r="A106" s="2" t="s">
        <v>1547</v>
      </c>
      <c r="B106" s="2">
        <v>104</v>
      </c>
      <c r="C106" s="2" t="s">
        <v>1545</v>
      </c>
      <c r="D106" s="2" t="s">
        <v>118</v>
      </c>
      <c r="G106" s="2"/>
      <c r="I106" s="2" t="s">
        <v>119</v>
      </c>
      <c r="J106" s="2" t="s">
        <v>1546</v>
      </c>
      <c r="K106" s="2">
        <v>1556</v>
      </c>
      <c r="L106" s="2">
        <v>0</v>
      </c>
      <c r="M106" s="2" t="s">
        <v>122</v>
      </c>
      <c r="N106" s="2" t="s">
        <v>123</v>
      </c>
      <c r="P106" s="2"/>
      <c r="AD106" s="2" t="s">
        <v>124</v>
      </c>
      <c r="AE106" s="2" t="s">
        <v>191</v>
      </c>
      <c r="AF106" s="2">
        <v>2018</v>
      </c>
      <c r="AG106" s="2" t="s">
        <v>126</v>
      </c>
      <c r="AH106" s="2" t="s">
        <v>192</v>
      </c>
      <c r="AI106" s="2" t="s">
        <v>150</v>
      </c>
      <c r="AJ106" s="2" t="s">
        <v>162</v>
      </c>
      <c r="AK106" s="2" t="s">
        <v>150</v>
      </c>
      <c r="AL106" s="2" t="s">
        <v>162</v>
      </c>
      <c r="AM106" s="2" t="s">
        <v>169</v>
      </c>
      <c r="AN106" s="2" t="s">
        <v>237</v>
      </c>
      <c r="AO106" s="2" t="s">
        <v>153</v>
      </c>
      <c r="AP106" s="2" t="s">
        <v>209</v>
      </c>
      <c r="AQ106" s="2" t="s">
        <v>1548</v>
      </c>
      <c r="AR106" s="2" t="s">
        <v>1549</v>
      </c>
      <c r="AS106" s="2" t="s">
        <v>1550</v>
      </c>
      <c r="AT106" s="2" t="s">
        <v>230</v>
      </c>
      <c r="AV106" s="2" t="s">
        <v>123</v>
      </c>
      <c r="CP106" s="2" t="s">
        <v>123</v>
      </c>
      <c r="CZ106" s="2" t="s">
        <v>123</v>
      </c>
      <c r="DJ106" s="2" t="s">
        <v>123</v>
      </c>
      <c r="EM106" s="2" t="s">
        <v>123</v>
      </c>
      <c r="FM106" s="2" t="s">
        <v>123</v>
      </c>
      <c r="GU106" s="2" t="s">
        <v>1551</v>
      </c>
      <c r="GV106" s="2" t="s">
        <v>1552</v>
      </c>
      <c r="GW106" s="2" t="s">
        <v>1553</v>
      </c>
      <c r="GX106" s="2" t="s">
        <v>186</v>
      </c>
      <c r="GY106" s="2">
        <v>1994</v>
      </c>
      <c r="GZ106" s="2" t="s">
        <v>483</v>
      </c>
      <c r="HB106" s="2" t="s">
        <v>1554</v>
      </c>
    </row>
    <row r="107" spans="1:212" x14ac:dyDescent="0.45">
      <c r="A107" s="2" t="s">
        <v>1557</v>
      </c>
      <c r="B107" s="2">
        <v>105</v>
      </c>
      <c r="C107" s="2" t="s">
        <v>1555</v>
      </c>
      <c r="D107" s="2" t="s">
        <v>118</v>
      </c>
      <c r="G107" s="2"/>
      <c r="I107" s="2" t="s">
        <v>119</v>
      </c>
      <c r="J107" s="2" t="s">
        <v>1556</v>
      </c>
      <c r="K107" s="2">
        <v>1119</v>
      </c>
      <c r="L107" s="2">
        <v>0</v>
      </c>
      <c r="M107" s="2" t="s">
        <v>122</v>
      </c>
      <c r="N107" s="2" t="s">
        <v>123</v>
      </c>
      <c r="P107" s="2"/>
      <c r="AD107" s="2" t="s">
        <v>124</v>
      </c>
      <c r="AE107" s="2" t="s">
        <v>191</v>
      </c>
      <c r="AF107" s="2">
        <v>1997</v>
      </c>
      <c r="AG107" s="2" t="s">
        <v>126</v>
      </c>
      <c r="AH107" s="2" t="s">
        <v>1558</v>
      </c>
      <c r="AI107" s="2" t="s">
        <v>150</v>
      </c>
      <c r="AJ107" s="2" t="s">
        <v>150</v>
      </c>
      <c r="AK107" s="2" t="s">
        <v>150</v>
      </c>
      <c r="AL107" s="2" t="s">
        <v>150</v>
      </c>
      <c r="AM107" s="2" t="s">
        <v>150</v>
      </c>
      <c r="AN107" s="2" t="s">
        <v>1559</v>
      </c>
      <c r="AO107" s="2" t="s">
        <v>132</v>
      </c>
      <c r="AP107" s="2" t="s">
        <v>132</v>
      </c>
      <c r="AQ107" s="2" t="s">
        <v>1560</v>
      </c>
      <c r="AR107" s="2" t="s">
        <v>1561</v>
      </c>
      <c r="AS107" s="2" t="s">
        <v>1562</v>
      </c>
      <c r="AT107" s="2" t="s">
        <v>172</v>
      </c>
      <c r="AV107" s="2" t="s">
        <v>123</v>
      </c>
      <c r="AW107" s="2" t="s">
        <v>132</v>
      </c>
      <c r="CP107" s="2" t="s">
        <v>123</v>
      </c>
      <c r="CZ107" s="2" t="s">
        <v>123</v>
      </c>
      <c r="DJ107" s="2" t="s">
        <v>123</v>
      </c>
      <c r="EM107" s="2" t="s">
        <v>123</v>
      </c>
      <c r="FM107" s="2" t="s">
        <v>123</v>
      </c>
      <c r="GU107" s="2" t="s">
        <v>1563</v>
      </c>
      <c r="GV107" s="2" t="s">
        <v>1564</v>
      </c>
      <c r="GW107" s="2" t="s">
        <v>1565</v>
      </c>
      <c r="GX107" s="2" t="s">
        <v>186</v>
      </c>
      <c r="GY107" s="2">
        <v>1972</v>
      </c>
      <c r="GZ107" s="2" t="s">
        <v>483</v>
      </c>
      <c r="HB107" s="2" t="s">
        <v>1566</v>
      </c>
      <c r="HC107" s="2" t="s">
        <v>142</v>
      </c>
    </row>
    <row r="108" spans="1:212" x14ac:dyDescent="0.45">
      <c r="A108" s="2" t="s">
        <v>1576</v>
      </c>
      <c r="B108" s="2">
        <v>106</v>
      </c>
      <c r="C108" s="2" t="s">
        <v>1574</v>
      </c>
      <c r="D108" s="2" t="s">
        <v>118</v>
      </c>
      <c r="G108" s="2"/>
      <c r="I108" s="2" t="s">
        <v>119</v>
      </c>
      <c r="J108" s="2" t="s">
        <v>1575</v>
      </c>
      <c r="K108" s="2">
        <v>701</v>
      </c>
      <c r="L108" s="2">
        <v>0</v>
      </c>
      <c r="M108" s="2" t="s">
        <v>122</v>
      </c>
      <c r="N108" s="2" t="s">
        <v>123</v>
      </c>
      <c r="P108" s="2"/>
      <c r="AD108" s="2" t="s">
        <v>124</v>
      </c>
      <c r="AE108" s="2" t="s">
        <v>191</v>
      </c>
      <c r="AF108" s="2" t="s">
        <v>1577</v>
      </c>
      <c r="AG108" s="2" t="s">
        <v>126</v>
      </c>
      <c r="AH108" s="2" t="s">
        <v>1578</v>
      </c>
      <c r="AI108" s="2" t="s">
        <v>162</v>
      </c>
      <c r="AJ108" s="2" t="s">
        <v>162</v>
      </c>
      <c r="AK108" s="2" t="s">
        <v>151</v>
      </c>
      <c r="AL108" s="2" t="s">
        <v>162</v>
      </c>
      <c r="AM108" s="2" t="s">
        <v>151</v>
      </c>
      <c r="AN108" s="2" t="s">
        <v>530</v>
      </c>
      <c r="AO108" s="2" t="s">
        <v>302</v>
      </c>
      <c r="AP108" s="2" t="s">
        <v>302</v>
      </c>
      <c r="AR108" s="2" t="s">
        <v>1579</v>
      </c>
      <c r="AS108" s="2" t="s">
        <v>1580</v>
      </c>
      <c r="AT108" s="2" t="s">
        <v>157</v>
      </c>
      <c r="AU108" s="2" t="s">
        <v>1581</v>
      </c>
      <c r="AV108" s="2" t="s">
        <v>123</v>
      </c>
      <c r="CP108" s="2" t="s">
        <v>123</v>
      </c>
      <c r="CZ108" s="2" t="s">
        <v>123</v>
      </c>
      <c r="DJ108" s="2" t="s">
        <v>123</v>
      </c>
      <c r="EM108" s="2" t="s">
        <v>123</v>
      </c>
      <c r="FM108" s="2" t="s">
        <v>123</v>
      </c>
      <c r="GU108" s="2" t="s">
        <v>1582</v>
      </c>
      <c r="GV108" s="2" t="s">
        <v>1583</v>
      </c>
      <c r="GW108" s="2" t="s">
        <v>1584</v>
      </c>
      <c r="GX108" s="2" t="s">
        <v>140</v>
      </c>
      <c r="GY108" s="2">
        <v>1985</v>
      </c>
      <c r="GZ108" s="2" t="s">
        <v>220</v>
      </c>
      <c r="HB108" s="2" t="s">
        <v>1585</v>
      </c>
      <c r="HC108" s="2" t="s">
        <v>1586</v>
      </c>
    </row>
    <row r="109" spans="1:212" x14ac:dyDescent="0.45">
      <c r="A109" s="2" t="s">
        <v>1589</v>
      </c>
      <c r="B109" s="2">
        <v>107</v>
      </c>
      <c r="C109" s="2" t="s">
        <v>1587</v>
      </c>
      <c r="D109" s="2" t="s">
        <v>118</v>
      </c>
      <c r="G109" s="2"/>
      <c r="I109" s="2" t="s">
        <v>119</v>
      </c>
      <c r="J109" s="2" t="s">
        <v>1588</v>
      </c>
      <c r="K109" s="2">
        <v>1788</v>
      </c>
      <c r="L109" s="2">
        <v>0</v>
      </c>
      <c r="M109" s="2" t="s">
        <v>122</v>
      </c>
      <c r="N109" s="2" t="s">
        <v>123</v>
      </c>
      <c r="P109" s="2"/>
      <c r="AD109" s="2" t="s">
        <v>124</v>
      </c>
      <c r="AE109" s="2" t="s">
        <v>747</v>
      </c>
      <c r="AF109" s="2">
        <v>1983</v>
      </c>
      <c r="AG109" s="2" t="s">
        <v>126</v>
      </c>
      <c r="AH109" s="2" t="s">
        <v>1590</v>
      </c>
      <c r="AI109" s="2" t="s">
        <v>150</v>
      </c>
      <c r="AJ109" s="2" t="s">
        <v>150</v>
      </c>
      <c r="AK109" s="2" t="s">
        <v>236</v>
      </c>
      <c r="AL109" s="2" t="s">
        <v>129</v>
      </c>
      <c r="AM109" s="2" t="s">
        <v>162</v>
      </c>
      <c r="AN109" s="2">
        <v>36</v>
      </c>
      <c r="AO109" s="2" t="s">
        <v>132</v>
      </c>
      <c r="AP109" s="2" t="s">
        <v>132</v>
      </c>
      <c r="AQ109" s="2" t="s">
        <v>1591</v>
      </c>
      <c r="AR109" s="2" t="s">
        <v>1592</v>
      </c>
      <c r="AS109" s="2" t="s">
        <v>1593</v>
      </c>
      <c r="AT109" s="2" t="s">
        <v>172</v>
      </c>
      <c r="AV109" s="2" t="s">
        <v>159</v>
      </c>
      <c r="AW109" s="2">
        <v>3</v>
      </c>
      <c r="AX109" s="2" t="s">
        <v>747</v>
      </c>
      <c r="AY109" s="2">
        <v>2019</v>
      </c>
      <c r="AZ109" s="2" t="s">
        <v>126</v>
      </c>
      <c r="BA109" s="2" t="s">
        <v>1594</v>
      </c>
      <c r="BB109" s="2" t="s">
        <v>236</v>
      </c>
      <c r="BC109" s="2" t="s">
        <v>128</v>
      </c>
      <c r="BD109" s="2" t="s">
        <v>162</v>
      </c>
      <c r="BE109" s="2" t="s">
        <v>151</v>
      </c>
      <c r="BF109" s="2" t="s">
        <v>132</v>
      </c>
      <c r="BG109" s="2" t="s">
        <v>1595</v>
      </c>
      <c r="BH109" s="2" t="s">
        <v>1596</v>
      </c>
      <c r="BI109" s="2" t="s">
        <v>157</v>
      </c>
      <c r="BL109" s="2" t="s">
        <v>173</v>
      </c>
      <c r="CP109" s="2" t="s">
        <v>123</v>
      </c>
      <c r="CZ109" s="2" t="s">
        <v>123</v>
      </c>
      <c r="DJ109" s="2" t="s">
        <v>123</v>
      </c>
      <c r="EM109" s="2" t="s">
        <v>177</v>
      </c>
      <c r="EN109" s="2" t="s">
        <v>178</v>
      </c>
      <c r="EO109" s="2">
        <v>2</v>
      </c>
      <c r="EP109" s="2" t="s">
        <v>747</v>
      </c>
      <c r="EQ109" s="2" t="s">
        <v>236</v>
      </c>
      <c r="ER109" s="2" t="s">
        <v>236</v>
      </c>
      <c r="ES109" s="2" t="s">
        <v>128</v>
      </c>
      <c r="ET109" s="2" t="s">
        <v>178</v>
      </c>
      <c r="EU109" s="2" t="s">
        <v>1597</v>
      </c>
      <c r="EV109" s="2" t="s">
        <v>1598</v>
      </c>
      <c r="EW109" s="2" t="s">
        <v>1206</v>
      </c>
      <c r="EX109" s="2" t="s">
        <v>1599</v>
      </c>
      <c r="EY109" s="2" t="s">
        <v>129</v>
      </c>
      <c r="EZ109" s="2" t="s">
        <v>129</v>
      </c>
      <c r="FA109" s="2" t="s">
        <v>236</v>
      </c>
      <c r="FB109" s="2" t="s">
        <v>178</v>
      </c>
      <c r="FC109" s="2" t="s">
        <v>1600</v>
      </c>
      <c r="FD109" s="2" t="s">
        <v>1601</v>
      </c>
      <c r="FE109" s="2" t="s">
        <v>173</v>
      </c>
      <c r="FM109" s="2" t="s">
        <v>123</v>
      </c>
      <c r="GU109" s="2" t="s">
        <v>1602</v>
      </c>
      <c r="GV109" s="2" t="s">
        <v>1603</v>
      </c>
      <c r="GW109" s="2" t="s">
        <v>1604</v>
      </c>
      <c r="GX109" s="2" t="s">
        <v>186</v>
      </c>
      <c r="GY109" s="2">
        <v>1959</v>
      </c>
      <c r="GZ109" s="2" t="s">
        <v>483</v>
      </c>
      <c r="HB109" s="2" t="s">
        <v>1605</v>
      </c>
      <c r="HC109" s="2" t="s">
        <v>1606</v>
      </c>
      <c r="HD109" s="2" t="s">
        <v>1607</v>
      </c>
    </row>
    <row r="110" spans="1:212" x14ac:dyDescent="0.45">
      <c r="A110" s="2" t="s">
        <v>1609</v>
      </c>
      <c r="B110" s="2">
        <v>108</v>
      </c>
      <c r="C110" s="2" t="s">
        <v>1352</v>
      </c>
      <c r="D110" s="2" t="s">
        <v>118</v>
      </c>
      <c r="G110" s="2"/>
      <c r="I110" s="2" t="s">
        <v>119</v>
      </c>
      <c r="J110" s="2" t="s">
        <v>1608</v>
      </c>
      <c r="K110" s="2">
        <v>4906</v>
      </c>
      <c r="L110" s="2">
        <v>0</v>
      </c>
      <c r="M110" s="2" t="s">
        <v>122</v>
      </c>
      <c r="N110" s="2" t="s">
        <v>123</v>
      </c>
      <c r="P110" s="2"/>
      <c r="AD110" s="2" t="s">
        <v>124</v>
      </c>
      <c r="AE110" s="2" t="s">
        <v>223</v>
      </c>
      <c r="AF110" s="2">
        <v>2009</v>
      </c>
      <c r="AG110" s="2" t="s">
        <v>148</v>
      </c>
      <c r="AH110" s="2" t="s">
        <v>554</v>
      </c>
      <c r="AI110" s="2" t="s">
        <v>162</v>
      </c>
      <c r="AJ110" s="2" t="s">
        <v>162</v>
      </c>
      <c r="AK110" s="2" t="s">
        <v>162</v>
      </c>
      <c r="AL110" s="2" t="s">
        <v>162</v>
      </c>
      <c r="AM110" s="2" t="s">
        <v>162</v>
      </c>
      <c r="AN110" s="2" t="s">
        <v>1610</v>
      </c>
      <c r="AO110" s="2" t="s">
        <v>302</v>
      </c>
      <c r="AP110" s="2" t="s">
        <v>153</v>
      </c>
      <c r="AR110" s="2" t="s">
        <v>1611</v>
      </c>
      <c r="AS110" s="2" t="s">
        <v>1612</v>
      </c>
      <c r="AU110" s="2" t="s">
        <v>1613</v>
      </c>
      <c r="AV110" s="2" t="s">
        <v>123</v>
      </c>
      <c r="AW110" s="2" t="s">
        <v>132</v>
      </c>
      <c r="CP110" s="2" t="s">
        <v>123</v>
      </c>
      <c r="CZ110" s="2" t="s">
        <v>123</v>
      </c>
      <c r="DJ110" s="2" t="s">
        <v>123</v>
      </c>
      <c r="EM110" s="2" t="s">
        <v>123</v>
      </c>
      <c r="EN110" s="2" t="s">
        <v>180</v>
      </c>
      <c r="EO110" s="2" t="s">
        <v>132</v>
      </c>
      <c r="FM110" s="2" t="s">
        <v>123</v>
      </c>
      <c r="GU110" s="2" t="s">
        <v>1614</v>
      </c>
      <c r="GV110" s="2" t="s">
        <v>1247</v>
      </c>
      <c r="GW110" s="2" t="s">
        <v>1247</v>
      </c>
      <c r="GX110" s="2" t="s">
        <v>140</v>
      </c>
      <c r="GY110" s="2">
        <v>1983</v>
      </c>
      <c r="GZ110" s="2" t="s">
        <v>220</v>
      </c>
      <c r="HB110" s="2" t="s">
        <v>1615</v>
      </c>
      <c r="HC110" s="2" t="s">
        <v>1615</v>
      </c>
    </row>
    <row r="111" spans="1:212" x14ac:dyDescent="0.45">
      <c r="A111" s="2" t="s">
        <v>1620</v>
      </c>
      <c r="B111" s="2">
        <v>109</v>
      </c>
      <c r="C111" s="2" t="s">
        <v>1618</v>
      </c>
      <c r="D111" s="2" t="s">
        <v>118</v>
      </c>
      <c r="G111" s="2"/>
      <c r="I111" s="2" t="s">
        <v>119</v>
      </c>
      <c r="J111" s="2" t="s">
        <v>1619</v>
      </c>
      <c r="K111" s="2">
        <v>1891</v>
      </c>
      <c r="L111" s="2">
        <v>0</v>
      </c>
      <c r="M111" s="2" t="s">
        <v>122</v>
      </c>
      <c r="N111" s="2" t="s">
        <v>123</v>
      </c>
      <c r="P111" s="2"/>
      <c r="AD111" s="2" t="s">
        <v>124</v>
      </c>
      <c r="AE111" s="2" t="s">
        <v>1621</v>
      </c>
      <c r="AF111" s="2">
        <v>2000</v>
      </c>
      <c r="AG111" s="2" t="s">
        <v>148</v>
      </c>
      <c r="AH111" s="2" t="s">
        <v>1622</v>
      </c>
      <c r="AI111" s="2" t="s">
        <v>150</v>
      </c>
      <c r="AJ111" s="2" t="s">
        <v>150</v>
      </c>
      <c r="AK111" s="2" t="s">
        <v>150</v>
      </c>
      <c r="AL111" s="2" t="s">
        <v>236</v>
      </c>
      <c r="AM111" s="2" t="s">
        <v>162</v>
      </c>
      <c r="AN111" s="2" t="s">
        <v>1623</v>
      </c>
      <c r="AO111" s="2" t="s">
        <v>132</v>
      </c>
      <c r="AP111" s="2" t="s">
        <v>302</v>
      </c>
      <c r="AQ111" s="2" t="s">
        <v>1624</v>
      </c>
      <c r="AR111" s="2" t="s">
        <v>1625</v>
      </c>
      <c r="AS111" s="2" t="s">
        <v>1626</v>
      </c>
      <c r="AT111" s="2" t="s">
        <v>172</v>
      </c>
      <c r="AV111" s="2" t="s">
        <v>123</v>
      </c>
      <c r="AW111" s="2" t="s">
        <v>132</v>
      </c>
      <c r="CP111" s="2" t="s">
        <v>123</v>
      </c>
      <c r="CZ111" s="2" t="s">
        <v>123</v>
      </c>
      <c r="DJ111" s="2" t="s">
        <v>123</v>
      </c>
      <c r="EM111" s="2" t="s">
        <v>123</v>
      </c>
      <c r="FM111" s="2" t="s">
        <v>123</v>
      </c>
      <c r="GU111" s="2" t="s">
        <v>1627</v>
      </c>
      <c r="GV111" s="2" t="s">
        <v>1628</v>
      </c>
      <c r="GW111" s="2" t="s">
        <v>1629</v>
      </c>
      <c r="GX111" s="2" t="s">
        <v>186</v>
      </c>
      <c r="GY111" s="2">
        <v>72</v>
      </c>
      <c r="GZ111" s="2" t="s">
        <v>1630</v>
      </c>
      <c r="HC111" s="2" t="s">
        <v>1631</v>
      </c>
    </row>
    <row r="112" spans="1:212" x14ac:dyDescent="0.45">
      <c r="A112" s="2" t="s">
        <v>1635</v>
      </c>
      <c r="B112" s="2">
        <v>110</v>
      </c>
      <c r="C112" s="2" t="s">
        <v>1131</v>
      </c>
      <c r="D112" s="2" t="s">
        <v>118</v>
      </c>
      <c r="G112" s="2"/>
      <c r="I112" s="2" t="s">
        <v>119</v>
      </c>
      <c r="J112" s="2" t="s">
        <v>1634</v>
      </c>
      <c r="K112" s="2">
        <v>545</v>
      </c>
      <c r="L112" s="2">
        <v>0</v>
      </c>
      <c r="M112" s="2" t="s">
        <v>122</v>
      </c>
      <c r="N112" s="2" t="s">
        <v>123</v>
      </c>
      <c r="P112" s="2"/>
      <c r="AD112" s="2" t="s">
        <v>124</v>
      </c>
      <c r="AE112" s="2" t="s">
        <v>1636</v>
      </c>
      <c r="AF112" s="2">
        <v>2001</v>
      </c>
      <c r="AG112" s="2" t="s">
        <v>148</v>
      </c>
      <c r="AH112" s="2" t="s">
        <v>1637</v>
      </c>
      <c r="AI112" s="2" t="s">
        <v>150</v>
      </c>
      <c r="AJ112" s="2" t="s">
        <v>150</v>
      </c>
      <c r="AK112" s="2" t="s">
        <v>169</v>
      </c>
      <c r="AL112" s="2" t="s">
        <v>150</v>
      </c>
      <c r="AM112" s="2" t="s">
        <v>169</v>
      </c>
      <c r="AN112" s="2" t="s">
        <v>1638</v>
      </c>
      <c r="AO112" s="2" t="s">
        <v>152</v>
      </c>
      <c r="AP112" s="2" t="s">
        <v>153</v>
      </c>
      <c r="AQ112" s="2" t="s">
        <v>1639</v>
      </c>
      <c r="AR112" s="2" t="s">
        <v>1640</v>
      </c>
      <c r="AS112" s="2" t="s">
        <v>386</v>
      </c>
      <c r="AT112" s="2" t="s">
        <v>157</v>
      </c>
      <c r="AV112" s="2" t="s">
        <v>123</v>
      </c>
      <c r="AW112" s="2" t="s">
        <v>132</v>
      </c>
      <c r="CP112" s="2" t="s">
        <v>123</v>
      </c>
      <c r="CZ112" s="2" t="s">
        <v>123</v>
      </c>
      <c r="DJ112" s="2" t="s">
        <v>123</v>
      </c>
      <c r="EM112" s="2" t="s">
        <v>123</v>
      </c>
      <c r="FM112" s="2" t="s">
        <v>123</v>
      </c>
      <c r="GU112" s="2" t="s">
        <v>1641</v>
      </c>
      <c r="GV112" s="2" t="s">
        <v>1642</v>
      </c>
      <c r="GW112" s="2" t="s">
        <v>1643</v>
      </c>
      <c r="GX112" s="2" t="s">
        <v>140</v>
      </c>
      <c r="GY112" s="2">
        <v>1977</v>
      </c>
      <c r="GZ112" s="2" t="s">
        <v>141</v>
      </c>
      <c r="HA112" s="2" t="s">
        <v>1644</v>
      </c>
      <c r="HB112" s="2" t="s">
        <v>1645</v>
      </c>
    </row>
    <row r="113" spans="1:212" x14ac:dyDescent="0.45">
      <c r="A113" s="2" t="s">
        <v>1651</v>
      </c>
      <c r="B113" s="2">
        <v>111</v>
      </c>
      <c r="C113" s="2" t="s">
        <v>1649</v>
      </c>
      <c r="D113" s="2" t="s">
        <v>118</v>
      </c>
      <c r="E113" s="2" t="s">
        <v>359</v>
      </c>
      <c r="G113" s="2"/>
      <c r="I113" s="2" t="s">
        <v>119</v>
      </c>
      <c r="J113" s="2" t="s">
        <v>1650</v>
      </c>
      <c r="K113" s="2">
        <v>386</v>
      </c>
      <c r="L113" s="2">
        <v>0</v>
      </c>
      <c r="M113" s="2" t="s">
        <v>122</v>
      </c>
      <c r="N113" s="2" t="s">
        <v>123</v>
      </c>
      <c r="P113" s="2"/>
      <c r="AD113" s="2" t="s">
        <v>124</v>
      </c>
      <c r="AE113" s="2" t="s">
        <v>191</v>
      </c>
      <c r="AF113" s="2">
        <v>2016</v>
      </c>
      <c r="AG113" s="2" t="s">
        <v>126</v>
      </c>
      <c r="AH113" s="2" t="s">
        <v>1652</v>
      </c>
      <c r="AI113" s="2" t="s">
        <v>162</v>
      </c>
      <c r="AJ113" s="2" t="s">
        <v>151</v>
      </c>
      <c r="AK113" s="2" t="s">
        <v>162</v>
      </c>
      <c r="AL113" s="2" t="s">
        <v>150</v>
      </c>
      <c r="AM113" s="2" t="s">
        <v>236</v>
      </c>
      <c r="AN113" s="2" t="s">
        <v>530</v>
      </c>
      <c r="AO113" s="2" t="s">
        <v>153</v>
      </c>
      <c r="AP113" s="2" t="s">
        <v>153</v>
      </c>
      <c r="AQ113" s="2" t="s">
        <v>1653</v>
      </c>
      <c r="AR113" s="2" t="s">
        <v>1654</v>
      </c>
      <c r="AS113" s="2" t="s">
        <v>1655</v>
      </c>
      <c r="AT113" s="2" t="s">
        <v>172</v>
      </c>
      <c r="AV113" s="2" t="s">
        <v>123</v>
      </c>
      <c r="CP113" s="2" t="s">
        <v>123</v>
      </c>
      <c r="CZ113" s="2" t="s">
        <v>123</v>
      </c>
      <c r="DJ113" s="2" t="s">
        <v>123</v>
      </c>
      <c r="EM113" s="2" t="s">
        <v>123</v>
      </c>
      <c r="EN113" s="2" t="s">
        <v>178</v>
      </c>
      <c r="FM113" s="2" t="s">
        <v>123</v>
      </c>
      <c r="GU113" s="2" t="s">
        <v>1656</v>
      </c>
      <c r="GV113" s="2" t="s">
        <v>1657</v>
      </c>
      <c r="GW113" s="2" t="s">
        <v>1658</v>
      </c>
      <c r="GX113" s="2" t="s">
        <v>140</v>
      </c>
      <c r="GY113" s="2">
        <v>1993</v>
      </c>
      <c r="GZ113" s="2" t="s">
        <v>220</v>
      </c>
    </row>
    <row r="114" spans="1:212" x14ac:dyDescent="0.45">
      <c r="A114" s="2" t="s">
        <v>1661</v>
      </c>
      <c r="B114" s="2">
        <v>112</v>
      </c>
      <c r="C114" s="2" t="s">
        <v>1659</v>
      </c>
      <c r="D114" s="2" t="s">
        <v>118</v>
      </c>
      <c r="G114" s="2"/>
      <c r="I114" s="2" t="s">
        <v>119</v>
      </c>
      <c r="J114" s="2" t="s">
        <v>1660</v>
      </c>
      <c r="K114" s="2">
        <v>614</v>
      </c>
      <c r="L114" s="2">
        <v>0</v>
      </c>
      <c r="M114" s="2" t="s">
        <v>122</v>
      </c>
      <c r="N114" s="2" t="s">
        <v>123</v>
      </c>
      <c r="P114" s="2"/>
      <c r="AD114" s="2" t="s">
        <v>124</v>
      </c>
      <c r="AE114" s="2" t="s">
        <v>191</v>
      </c>
      <c r="AF114" s="2">
        <v>1991</v>
      </c>
      <c r="AG114" s="2" t="s">
        <v>126</v>
      </c>
      <c r="AH114" s="2" t="s">
        <v>1662</v>
      </c>
      <c r="AI114" s="2" t="s">
        <v>150</v>
      </c>
      <c r="AJ114" s="2" t="s">
        <v>150</v>
      </c>
      <c r="AK114" s="2" t="s">
        <v>150</v>
      </c>
      <c r="AL114" s="2" t="s">
        <v>132</v>
      </c>
      <c r="AM114" s="2" t="s">
        <v>132</v>
      </c>
      <c r="AN114" s="2" t="s">
        <v>718</v>
      </c>
      <c r="AO114" s="2" t="s">
        <v>132</v>
      </c>
      <c r="AP114" s="2" t="s">
        <v>132</v>
      </c>
      <c r="AQ114" s="2" t="s">
        <v>1663</v>
      </c>
      <c r="AR114" s="2" t="s">
        <v>1664</v>
      </c>
      <c r="AS114" s="2" t="s">
        <v>1665</v>
      </c>
      <c r="AT114" s="2" t="s">
        <v>172</v>
      </c>
      <c r="AV114" s="2" t="s">
        <v>159</v>
      </c>
      <c r="AW114" s="2">
        <v>1</v>
      </c>
      <c r="AX114" s="2" t="s">
        <v>191</v>
      </c>
      <c r="AY114" s="2">
        <v>2018</v>
      </c>
      <c r="AZ114" s="2" t="s">
        <v>126</v>
      </c>
      <c r="BA114" s="2" t="s">
        <v>1666</v>
      </c>
      <c r="BB114" s="2" t="s">
        <v>151</v>
      </c>
      <c r="BC114" s="2" t="s">
        <v>151</v>
      </c>
      <c r="BD114" s="2" t="s">
        <v>151</v>
      </c>
      <c r="BE114" s="2" t="s">
        <v>151</v>
      </c>
      <c r="BF114" s="2" t="s">
        <v>151</v>
      </c>
      <c r="BG114" s="2">
        <v>1</v>
      </c>
      <c r="BI114" s="2" t="s">
        <v>172</v>
      </c>
      <c r="BL114" s="2" t="s">
        <v>173</v>
      </c>
      <c r="CP114" s="2" t="s">
        <v>123</v>
      </c>
      <c r="CZ114" s="2" t="s">
        <v>123</v>
      </c>
      <c r="DJ114" s="2" t="s">
        <v>123</v>
      </c>
      <c r="EM114" s="2" t="s">
        <v>177</v>
      </c>
      <c r="EN114" s="2" t="s">
        <v>178</v>
      </c>
      <c r="EO114" s="2">
        <v>1</v>
      </c>
      <c r="EP114" s="2" t="s">
        <v>191</v>
      </c>
      <c r="EQ114" s="2" t="s">
        <v>169</v>
      </c>
      <c r="ER114" s="2" t="s">
        <v>169</v>
      </c>
      <c r="ES114" s="2" t="s">
        <v>151</v>
      </c>
      <c r="ET114" s="2" t="s">
        <v>178</v>
      </c>
      <c r="EU114" s="2" t="s">
        <v>1667</v>
      </c>
      <c r="EV114" s="2" t="s">
        <v>1668</v>
      </c>
      <c r="EW114" s="2" t="s">
        <v>173</v>
      </c>
      <c r="FM114" s="2" t="s">
        <v>123</v>
      </c>
      <c r="GU114" s="2" t="s">
        <v>1669</v>
      </c>
      <c r="GV114" s="2" t="s">
        <v>1670</v>
      </c>
      <c r="GW114" s="2" t="s">
        <v>1671</v>
      </c>
      <c r="GX114" s="2" t="s">
        <v>186</v>
      </c>
      <c r="GY114" s="2">
        <v>1966</v>
      </c>
      <c r="GZ114" s="2" t="s">
        <v>141</v>
      </c>
    </row>
    <row r="115" spans="1:212" x14ac:dyDescent="0.45">
      <c r="A115" s="2" t="s">
        <v>1676</v>
      </c>
      <c r="B115" s="2">
        <v>113</v>
      </c>
      <c r="C115" s="2" t="s">
        <v>1674</v>
      </c>
      <c r="D115" s="2" t="s">
        <v>118</v>
      </c>
      <c r="G115" s="2"/>
      <c r="I115" s="2" t="s">
        <v>119</v>
      </c>
      <c r="J115" s="2" t="s">
        <v>1675</v>
      </c>
      <c r="K115" s="2">
        <v>445</v>
      </c>
      <c r="L115" s="2">
        <v>0</v>
      </c>
      <c r="M115" s="2" t="s">
        <v>122</v>
      </c>
      <c r="N115" s="2" t="s">
        <v>123</v>
      </c>
      <c r="P115" s="2"/>
      <c r="AD115" s="2" t="s">
        <v>124</v>
      </c>
      <c r="AE115" s="2" t="s">
        <v>191</v>
      </c>
      <c r="AF115" s="2">
        <v>2014</v>
      </c>
      <c r="AG115" s="2" t="s">
        <v>126</v>
      </c>
      <c r="AH115" s="2" t="s">
        <v>192</v>
      </c>
      <c r="AI115" s="2" t="s">
        <v>169</v>
      </c>
      <c r="AJ115" s="2" t="s">
        <v>169</v>
      </c>
      <c r="AK115" s="2" t="s">
        <v>162</v>
      </c>
      <c r="AL115" s="2" t="s">
        <v>151</v>
      </c>
      <c r="AM115" s="2" t="s">
        <v>151</v>
      </c>
      <c r="AN115" s="2" t="s">
        <v>237</v>
      </c>
      <c r="AO115" s="2" t="s">
        <v>226</v>
      </c>
      <c r="AP115" s="2" t="s">
        <v>1428</v>
      </c>
      <c r="AQ115" s="2" t="s">
        <v>1677</v>
      </c>
      <c r="AR115" s="2" t="s">
        <v>1678</v>
      </c>
      <c r="AS115" s="2" t="s">
        <v>1679</v>
      </c>
      <c r="AT115" s="2" t="s">
        <v>157</v>
      </c>
      <c r="AV115" s="2" t="s">
        <v>123</v>
      </c>
      <c r="CP115" s="2" t="s">
        <v>123</v>
      </c>
      <c r="CZ115" s="2" t="s">
        <v>123</v>
      </c>
      <c r="DJ115" s="2" t="s">
        <v>123</v>
      </c>
      <c r="EM115" s="2" t="s">
        <v>123</v>
      </c>
      <c r="FM115" s="2" t="s">
        <v>123</v>
      </c>
      <c r="GU115" s="2" t="s">
        <v>532</v>
      </c>
      <c r="GV115" s="2" t="s">
        <v>1680</v>
      </c>
      <c r="GW115" s="2" t="s">
        <v>1681</v>
      </c>
      <c r="GX115" s="2" t="s">
        <v>186</v>
      </c>
      <c r="GY115" s="2">
        <v>1984</v>
      </c>
      <c r="GZ115" s="2" t="s">
        <v>398</v>
      </c>
    </row>
    <row r="116" spans="1:212" x14ac:dyDescent="0.45">
      <c r="A116" s="2" t="s">
        <v>1711</v>
      </c>
      <c r="B116" s="2">
        <v>114</v>
      </c>
      <c r="C116" s="2" t="s">
        <v>1709</v>
      </c>
      <c r="D116" s="2" t="s">
        <v>118</v>
      </c>
      <c r="G116" s="2"/>
      <c r="I116" s="2" t="s">
        <v>119</v>
      </c>
      <c r="J116" s="2" t="s">
        <v>1710</v>
      </c>
      <c r="K116" s="2">
        <v>588</v>
      </c>
      <c r="L116" s="2">
        <v>0</v>
      </c>
      <c r="M116" s="2" t="s">
        <v>122</v>
      </c>
      <c r="N116" s="2" t="s">
        <v>123</v>
      </c>
      <c r="P116" s="2"/>
      <c r="AD116" s="2" t="s">
        <v>124</v>
      </c>
      <c r="AE116" s="2" t="s">
        <v>1712</v>
      </c>
      <c r="AF116" s="2">
        <v>2012</v>
      </c>
      <c r="AG116" s="2" t="s">
        <v>148</v>
      </c>
      <c r="AH116" s="2" t="s">
        <v>1713</v>
      </c>
      <c r="AI116" s="2" t="s">
        <v>162</v>
      </c>
      <c r="AJ116" s="2" t="s">
        <v>162</v>
      </c>
      <c r="AK116" s="2" t="s">
        <v>169</v>
      </c>
      <c r="AL116" s="2" t="s">
        <v>129</v>
      </c>
      <c r="AM116" s="2" t="s">
        <v>129</v>
      </c>
      <c r="AN116" s="2" t="s">
        <v>1714</v>
      </c>
      <c r="AO116" s="2" t="s">
        <v>131</v>
      </c>
      <c r="AP116" s="2" t="s">
        <v>131</v>
      </c>
      <c r="AQ116" s="2" t="s">
        <v>1715</v>
      </c>
      <c r="AR116" s="2" t="s">
        <v>1716</v>
      </c>
      <c r="AS116" s="2" t="s">
        <v>1717</v>
      </c>
      <c r="AT116" s="2" t="s">
        <v>157</v>
      </c>
      <c r="AV116" s="2" t="s">
        <v>123</v>
      </c>
      <c r="CP116" s="2" t="s">
        <v>123</v>
      </c>
      <c r="CZ116" s="2" t="s">
        <v>123</v>
      </c>
      <c r="DJ116" s="2" t="s">
        <v>123</v>
      </c>
      <c r="EM116" s="2" t="s">
        <v>123</v>
      </c>
      <c r="FM116" s="2" t="s">
        <v>123</v>
      </c>
      <c r="GU116" s="2" t="s">
        <v>1718</v>
      </c>
      <c r="GV116" s="2" t="s">
        <v>1719</v>
      </c>
      <c r="GW116" s="2" t="s">
        <v>1720</v>
      </c>
      <c r="GX116" s="2" t="s">
        <v>140</v>
      </c>
      <c r="GY116" s="2">
        <v>1985</v>
      </c>
      <c r="GZ116" s="2" t="s">
        <v>246</v>
      </c>
      <c r="HB116" s="2" t="s">
        <v>1721</v>
      </c>
      <c r="HC116" s="2" t="s">
        <v>532</v>
      </c>
    </row>
    <row r="117" spans="1:212" x14ac:dyDescent="0.45">
      <c r="A117" s="2" t="s">
        <v>1739</v>
      </c>
      <c r="B117" s="2">
        <v>115</v>
      </c>
      <c r="C117" s="2" t="s">
        <v>1572</v>
      </c>
      <c r="D117" s="2" t="s">
        <v>118</v>
      </c>
      <c r="G117" s="2"/>
      <c r="I117" s="2" t="s">
        <v>119</v>
      </c>
      <c r="J117" s="2" t="s">
        <v>1738</v>
      </c>
      <c r="K117" s="2">
        <v>1112</v>
      </c>
      <c r="L117" s="2">
        <v>0</v>
      </c>
      <c r="M117" s="2" t="s">
        <v>122</v>
      </c>
      <c r="N117" s="2" t="s">
        <v>123</v>
      </c>
      <c r="P117" s="2"/>
      <c r="AD117" s="2" t="s">
        <v>124</v>
      </c>
      <c r="AE117" s="2" t="s">
        <v>125</v>
      </c>
      <c r="AF117" s="2">
        <v>2001</v>
      </c>
      <c r="AG117" s="2" t="s">
        <v>126</v>
      </c>
      <c r="AH117" s="2" t="s">
        <v>1339</v>
      </c>
      <c r="AI117" s="2" t="s">
        <v>150</v>
      </c>
      <c r="AJ117" s="2" t="s">
        <v>150</v>
      </c>
      <c r="AK117" s="2" t="s">
        <v>150</v>
      </c>
      <c r="AL117" s="2" t="s">
        <v>162</v>
      </c>
      <c r="AM117" s="2" t="s">
        <v>162</v>
      </c>
      <c r="AN117" s="2" t="s">
        <v>1740</v>
      </c>
      <c r="AO117" s="2" t="s">
        <v>131</v>
      </c>
      <c r="AP117" s="2" t="s">
        <v>302</v>
      </c>
      <c r="AQ117" s="2" t="s">
        <v>1741</v>
      </c>
      <c r="AR117" s="2" t="s">
        <v>1742</v>
      </c>
      <c r="AS117" s="2" t="s">
        <v>1743</v>
      </c>
      <c r="AT117" s="2" t="s">
        <v>157</v>
      </c>
      <c r="AU117" s="2" t="s">
        <v>1744</v>
      </c>
      <c r="AV117" s="2" t="s">
        <v>123</v>
      </c>
      <c r="AW117" s="2" t="s">
        <v>132</v>
      </c>
      <c r="CP117" s="2" t="s">
        <v>123</v>
      </c>
      <c r="CZ117" s="2" t="s">
        <v>123</v>
      </c>
      <c r="DJ117" s="2" t="s">
        <v>123</v>
      </c>
      <c r="EM117" s="2" t="s">
        <v>123</v>
      </c>
      <c r="FM117" s="2" t="s">
        <v>123</v>
      </c>
      <c r="GU117" s="2" t="s">
        <v>1745</v>
      </c>
      <c r="GV117" s="2" t="s">
        <v>1746</v>
      </c>
      <c r="GW117" s="2" t="s">
        <v>1747</v>
      </c>
      <c r="GX117" s="2" t="s">
        <v>186</v>
      </c>
      <c r="GY117" s="2">
        <v>1976</v>
      </c>
      <c r="GZ117" s="2" t="s">
        <v>141</v>
      </c>
      <c r="HB117" s="2" t="s">
        <v>1748</v>
      </c>
      <c r="HC117" s="2" t="s">
        <v>1749</v>
      </c>
      <c r="HD117" s="2" t="s">
        <v>1750</v>
      </c>
    </row>
    <row r="118" spans="1:212" x14ac:dyDescent="0.45">
      <c r="A118" s="2" t="s">
        <v>1753</v>
      </c>
      <c r="B118" s="2">
        <v>116</v>
      </c>
      <c r="C118" s="2" t="s">
        <v>1751</v>
      </c>
      <c r="D118" s="2" t="s">
        <v>118</v>
      </c>
      <c r="G118" s="2"/>
      <c r="I118" s="2" t="s">
        <v>119</v>
      </c>
      <c r="J118" s="2" t="s">
        <v>1752</v>
      </c>
      <c r="K118" s="2">
        <v>625</v>
      </c>
      <c r="L118" s="2">
        <v>0</v>
      </c>
      <c r="M118" s="2" t="s">
        <v>122</v>
      </c>
      <c r="N118" s="2" t="s">
        <v>123</v>
      </c>
      <c r="P118" s="2"/>
      <c r="AD118" s="2" t="s">
        <v>124</v>
      </c>
      <c r="AE118" s="2" t="s">
        <v>191</v>
      </c>
      <c r="AF118" s="2">
        <v>2009</v>
      </c>
      <c r="AG118" s="2" t="s">
        <v>126</v>
      </c>
      <c r="AH118" s="2" t="s">
        <v>192</v>
      </c>
      <c r="AI118" s="2" t="s">
        <v>162</v>
      </c>
      <c r="AJ118" s="2" t="s">
        <v>150</v>
      </c>
      <c r="AK118" s="2" t="s">
        <v>169</v>
      </c>
      <c r="AL118" s="2" t="s">
        <v>169</v>
      </c>
      <c r="AM118" s="2" t="s">
        <v>169</v>
      </c>
      <c r="AN118" s="2" t="s">
        <v>530</v>
      </c>
      <c r="AO118" s="2" t="s">
        <v>226</v>
      </c>
      <c r="AP118" s="2" t="s">
        <v>759</v>
      </c>
      <c r="AR118" s="2" t="s">
        <v>1754</v>
      </c>
      <c r="AS118" s="2" t="s">
        <v>1755</v>
      </c>
      <c r="AU118" s="2" t="s">
        <v>1756</v>
      </c>
      <c r="AV118" s="2" t="s">
        <v>123</v>
      </c>
      <c r="CP118" s="2" t="s">
        <v>123</v>
      </c>
      <c r="CZ118" s="2" t="s">
        <v>123</v>
      </c>
      <c r="DJ118" s="2" t="s">
        <v>123</v>
      </c>
      <c r="EM118" s="2" t="s">
        <v>123</v>
      </c>
      <c r="FM118" s="2" t="s">
        <v>123</v>
      </c>
      <c r="GU118" s="2" t="s">
        <v>1757</v>
      </c>
      <c r="GV118" s="2" t="s">
        <v>1758</v>
      </c>
      <c r="GW118" s="2" t="s">
        <v>1759</v>
      </c>
      <c r="GX118" s="2" t="s">
        <v>186</v>
      </c>
      <c r="GY118" s="2">
        <v>1984</v>
      </c>
      <c r="GZ118" s="2" t="s">
        <v>141</v>
      </c>
    </row>
    <row r="119" spans="1:212" x14ac:dyDescent="0.45">
      <c r="A119" s="2" t="s">
        <v>1764</v>
      </c>
      <c r="B119" s="2">
        <v>117</v>
      </c>
      <c r="C119" s="2" t="s">
        <v>1762</v>
      </c>
      <c r="D119" s="2" t="s">
        <v>118</v>
      </c>
      <c r="G119" s="2"/>
      <c r="I119" s="2" t="s">
        <v>119</v>
      </c>
      <c r="J119" s="2" t="s">
        <v>1763</v>
      </c>
      <c r="K119" s="2">
        <v>336</v>
      </c>
      <c r="L119" s="2">
        <v>0</v>
      </c>
      <c r="M119" s="2" t="s">
        <v>122</v>
      </c>
      <c r="N119" s="2" t="s">
        <v>123</v>
      </c>
      <c r="P119" s="2"/>
      <c r="AD119" s="2" t="s">
        <v>124</v>
      </c>
      <c r="AE119" s="2" t="s">
        <v>747</v>
      </c>
      <c r="AF119" s="2">
        <v>2002</v>
      </c>
      <c r="AG119" s="2" t="s">
        <v>126</v>
      </c>
      <c r="AH119" s="2" t="s">
        <v>1176</v>
      </c>
      <c r="AI119" s="2" t="s">
        <v>129</v>
      </c>
      <c r="AJ119" s="2" t="s">
        <v>129</v>
      </c>
      <c r="AK119" s="2" t="s">
        <v>129</v>
      </c>
      <c r="AL119" s="2" t="s">
        <v>129</v>
      </c>
      <c r="AM119" s="2" t="s">
        <v>129</v>
      </c>
      <c r="AN119" s="2" t="s">
        <v>1765</v>
      </c>
      <c r="AO119" s="2" t="s">
        <v>302</v>
      </c>
      <c r="AP119" s="2" t="s">
        <v>226</v>
      </c>
      <c r="AR119" s="2" t="s">
        <v>1766</v>
      </c>
      <c r="AS119" s="2" t="s">
        <v>386</v>
      </c>
      <c r="AT119" s="2" t="s">
        <v>157</v>
      </c>
      <c r="AU119" s="2" t="s">
        <v>1767</v>
      </c>
      <c r="AV119" s="2" t="s">
        <v>123</v>
      </c>
      <c r="CP119" s="2" t="s">
        <v>123</v>
      </c>
      <c r="CZ119" s="2" t="s">
        <v>123</v>
      </c>
      <c r="DJ119" s="2" t="s">
        <v>123</v>
      </c>
      <c r="EM119" s="2" t="s">
        <v>123</v>
      </c>
      <c r="FM119" s="2" t="s">
        <v>123</v>
      </c>
      <c r="GU119" s="2" t="s">
        <v>1768</v>
      </c>
      <c r="GV119" s="2" t="s">
        <v>1769</v>
      </c>
      <c r="GW119" s="2" t="s">
        <v>1769</v>
      </c>
      <c r="GX119" s="2" t="s">
        <v>186</v>
      </c>
      <c r="GY119" s="2">
        <v>1977</v>
      </c>
      <c r="GZ119" s="2" t="s">
        <v>141</v>
      </c>
      <c r="HB119" s="2" t="s">
        <v>386</v>
      </c>
      <c r="HC119" s="2" t="s">
        <v>386</v>
      </c>
    </row>
    <row r="120" spans="1:212" x14ac:dyDescent="0.45">
      <c r="A120" s="2" t="s">
        <v>1771</v>
      </c>
      <c r="B120" s="2">
        <v>118</v>
      </c>
      <c r="C120" s="2" t="s">
        <v>1131</v>
      </c>
      <c r="D120" s="2" t="s">
        <v>118</v>
      </c>
      <c r="G120" s="2"/>
      <c r="I120" s="2" t="s">
        <v>119</v>
      </c>
      <c r="J120" s="2" t="s">
        <v>1770</v>
      </c>
      <c r="K120" s="2">
        <v>1129</v>
      </c>
      <c r="L120" s="2">
        <v>0</v>
      </c>
      <c r="M120" s="2" t="s">
        <v>122</v>
      </c>
      <c r="N120" s="2" t="s">
        <v>123</v>
      </c>
      <c r="P120" s="2" t="s">
        <v>148</v>
      </c>
      <c r="AD120" s="2" t="s">
        <v>124</v>
      </c>
      <c r="AE120" s="2" t="s">
        <v>191</v>
      </c>
      <c r="AF120" s="2">
        <v>2014</v>
      </c>
      <c r="AG120" s="2" t="s">
        <v>126</v>
      </c>
      <c r="AH120" s="2" t="s">
        <v>1186</v>
      </c>
      <c r="AI120" s="2" t="s">
        <v>162</v>
      </c>
      <c r="AJ120" s="2" t="s">
        <v>150</v>
      </c>
      <c r="AK120" s="2" t="s">
        <v>162</v>
      </c>
      <c r="AL120" s="2" t="s">
        <v>162</v>
      </c>
      <c r="AM120" s="2" t="s">
        <v>150</v>
      </c>
      <c r="AN120" s="2">
        <v>1</v>
      </c>
      <c r="AO120" s="2" t="s">
        <v>131</v>
      </c>
      <c r="AP120" s="2" t="s">
        <v>153</v>
      </c>
      <c r="AR120" s="2" t="s">
        <v>766</v>
      </c>
      <c r="AS120" s="2" t="s">
        <v>1772</v>
      </c>
      <c r="AT120" s="2" t="s">
        <v>172</v>
      </c>
      <c r="AV120" s="2" t="s">
        <v>123</v>
      </c>
      <c r="CP120" s="2" t="s">
        <v>123</v>
      </c>
      <c r="CZ120" s="2" t="s">
        <v>123</v>
      </c>
      <c r="DJ120" s="2" t="s">
        <v>123</v>
      </c>
      <c r="EM120" s="2" t="s">
        <v>123</v>
      </c>
      <c r="FM120" s="2" t="s">
        <v>123</v>
      </c>
      <c r="GU120" s="2" t="s">
        <v>1773</v>
      </c>
      <c r="GV120" s="2" t="s">
        <v>1774</v>
      </c>
      <c r="GW120" s="2" t="s">
        <v>1775</v>
      </c>
      <c r="GX120" s="2" t="s">
        <v>140</v>
      </c>
      <c r="GY120" s="2">
        <v>1990</v>
      </c>
      <c r="GZ120" s="2" t="s">
        <v>141</v>
      </c>
      <c r="HB120" s="2" t="s">
        <v>1776</v>
      </c>
      <c r="HC120" s="2" t="s">
        <v>1777</v>
      </c>
    </row>
    <row r="121" spans="1:212" x14ac:dyDescent="0.45">
      <c r="A121" s="2" t="s">
        <v>1783</v>
      </c>
      <c r="B121" s="2">
        <v>119</v>
      </c>
      <c r="C121" s="2" t="s">
        <v>1780</v>
      </c>
      <c r="D121" s="2" t="s">
        <v>118</v>
      </c>
      <c r="E121" s="2" t="s">
        <v>1781</v>
      </c>
      <c r="G121" s="2"/>
      <c r="I121" s="2" t="s">
        <v>119</v>
      </c>
      <c r="J121" s="2" t="s">
        <v>1782</v>
      </c>
      <c r="K121" s="2">
        <v>968</v>
      </c>
      <c r="L121" s="2">
        <v>0</v>
      </c>
      <c r="M121" s="2" t="s">
        <v>122</v>
      </c>
      <c r="N121" s="2" t="s">
        <v>123</v>
      </c>
      <c r="P121" s="2"/>
      <c r="AD121" s="2" t="s">
        <v>124</v>
      </c>
      <c r="AE121" s="2" t="s">
        <v>223</v>
      </c>
      <c r="AF121" s="2">
        <v>2011</v>
      </c>
      <c r="AG121" s="2" t="s">
        <v>148</v>
      </c>
      <c r="AH121" s="2" t="s">
        <v>1784</v>
      </c>
      <c r="AI121" s="2" t="s">
        <v>150</v>
      </c>
      <c r="AJ121" s="2" t="s">
        <v>162</v>
      </c>
      <c r="AK121" s="2" t="s">
        <v>169</v>
      </c>
      <c r="AL121" s="2" t="s">
        <v>150</v>
      </c>
      <c r="AM121" s="2" t="s">
        <v>150</v>
      </c>
      <c r="AN121" s="2">
        <v>2</v>
      </c>
      <c r="AO121" s="2" t="s">
        <v>302</v>
      </c>
      <c r="AP121" s="2" t="s">
        <v>153</v>
      </c>
      <c r="AQ121" s="2" t="s">
        <v>1785</v>
      </c>
      <c r="AR121" s="2" t="s">
        <v>1786</v>
      </c>
      <c r="AS121" s="2" t="s">
        <v>1787</v>
      </c>
      <c r="AT121" s="2" t="s">
        <v>157</v>
      </c>
      <c r="AV121" s="2" t="s">
        <v>123</v>
      </c>
      <c r="AW121" s="2" t="s">
        <v>132</v>
      </c>
      <c r="CP121" s="2" t="s">
        <v>123</v>
      </c>
      <c r="CZ121" s="2" t="s">
        <v>123</v>
      </c>
      <c r="DJ121" s="2" t="s">
        <v>123</v>
      </c>
      <c r="EM121" s="2" t="s">
        <v>123</v>
      </c>
      <c r="FM121" s="2" t="s">
        <v>123</v>
      </c>
      <c r="GU121" s="2" t="s">
        <v>1788</v>
      </c>
      <c r="GV121" s="2" t="s">
        <v>1789</v>
      </c>
      <c r="GW121" s="2" t="s">
        <v>1790</v>
      </c>
      <c r="GX121" s="2" t="s">
        <v>140</v>
      </c>
      <c r="GY121" s="2">
        <v>1986</v>
      </c>
      <c r="GZ121" s="2" t="s">
        <v>398</v>
      </c>
      <c r="HB121" s="2" t="s">
        <v>1791</v>
      </c>
    </row>
    <row r="122" spans="1:212" x14ac:dyDescent="0.45">
      <c r="A122" s="2" t="s">
        <v>1794</v>
      </c>
      <c r="B122" s="2">
        <v>120</v>
      </c>
      <c r="C122" s="2" t="s">
        <v>1792</v>
      </c>
      <c r="D122" s="2" t="s">
        <v>118</v>
      </c>
      <c r="E122" s="2" t="s">
        <v>359</v>
      </c>
      <c r="G122" s="2"/>
      <c r="I122" s="2" t="s">
        <v>119</v>
      </c>
      <c r="J122" s="2" t="s">
        <v>1793</v>
      </c>
      <c r="K122" s="2">
        <v>465</v>
      </c>
      <c r="L122" s="2">
        <v>0</v>
      </c>
      <c r="M122" s="2" t="s">
        <v>122</v>
      </c>
      <c r="N122" s="2" t="s">
        <v>123</v>
      </c>
      <c r="P122" s="2"/>
      <c r="AD122" s="2" t="s">
        <v>124</v>
      </c>
      <c r="AE122" s="2" t="s">
        <v>191</v>
      </c>
      <c r="AF122" s="2">
        <v>2016</v>
      </c>
      <c r="AG122" s="2" t="s">
        <v>126</v>
      </c>
      <c r="AH122" s="2" t="s">
        <v>1795</v>
      </c>
      <c r="AI122" s="2" t="s">
        <v>236</v>
      </c>
      <c r="AJ122" s="2" t="s">
        <v>236</v>
      </c>
      <c r="AK122" s="2" t="s">
        <v>129</v>
      </c>
      <c r="AL122" s="2" t="s">
        <v>129</v>
      </c>
      <c r="AM122" s="2" t="s">
        <v>129</v>
      </c>
      <c r="AN122" s="2">
        <v>34</v>
      </c>
      <c r="AO122" s="2" t="s">
        <v>152</v>
      </c>
      <c r="AP122" s="2" t="s">
        <v>152</v>
      </c>
      <c r="AQ122" s="2" t="s">
        <v>1796</v>
      </c>
      <c r="AR122" s="2" t="s">
        <v>1797</v>
      </c>
      <c r="AS122" s="2" t="s">
        <v>1798</v>
      </c>
      <c r="AT122" s="2" t="s">
        <v>157</v>
      </c>
      <c r="AV122" s="2" t="s">
        <v>123</v>
      </c>
      <c r="AW122" s="2" t="s">
        <v>132</v>
      </c>
      <c r="CP122" s="2" t="s">
        <v>123</v>
      </c>
      <c r="CZ122" s="2" t="s">
        <v>123</v>
      </c>
      <c r="DJ122" s="2" t="s">
        <v>123</v>
      </c>
      <c r="EM122" s="2" t="s">
        <v>123</v>
      </c>
      <c r="FM122" s="2" t="s">
        <v>123</v>
      </c>
      <c r="GU122" s="2" t="s">
        <v>1799</v>
      </c>
      <c r="GV122" s="2" t="s">
        <v>1800</v>
      </c>
      <c r="GW122" s="2" t="s">
        <v>1801</v>
      </c>
      <c r="GX122" s="2" t="s">
        <v>140</v>
      </c>
      <c r="GY122" s="2">
        <v>2006</v>
      </c>
      <c r="GZ122" s="2" t="s">
        <v>483</v>
      </c>
    </row>
    <row r="123" spans="1:212" x14ac:dyDescent="0.45">
      <c r="A123" s="2" t="s">
        <v>1809</v>
      </c>
      <c r="B123" s="2">
        <v>121</v>
      </c>
      <c r="C123" s="2" t="s">
        <v>1336</v>
      </c>
      <c r="D123" s="2" t="s">
        <v>118</v>
      </c>
      <c r="G123" s="2"/>
      <c r="I123" s="2" t="s">
        <v>119</v>
      </c>
      <c r="J123" s="2" t="s">
        <v>1808</v>
      </c>
      <c r="K123" s="2">
        <v>2379</v>
      </c>
      <c r="L123" s="2">
        <v>0</v>
      </c>
      <c r="M123" s="2" t="s">
        <v>122</v>
      </c>
      <c r="N123" s="2" t="s">
        <v>123</v>
      </c>
      <c r="P123" s="2"/>
      <c r="AD123" s="2" t="s">
        <v>124</v>
      </c>
      <c r="AE123" s="2" t="s">
        <v>223</v>
      </c>
      <c r="AF123" s="2">
        <v>2012</v>
      </c>
      <c r="AG123" s="2" t="s">
        <v>148</v>
      </c>
      <c r="AH123" s="2" t="s">
        <v>1810</v>
      </c>
      <c r="AI123" s="2" t="s">
        <v>150</v>
      </c>
      <c r="AJ123" s="2" t="s">
        <v>162</v>
      </c>
      <c r="AK123" s="2" t="s">
        <v>150</v>
      </c>
      <c r="AL123" s="2" t="s">
        <v>162</v>
      </c>
      <c r="AM123" s="2" t="s">
        <v>150</v>
      </c>
      <c r="AN123" s="2" t="s">
        <v>237</v>
      </c>
      <c r="AO123" s="2" t="s">
        <v>132</v>
      </c>
      <c r="AP123" s="2" t="s">
        <v>132</v>
      </c>
      <c r="AQ123" s="2" t="s">
        <v>1811</v>
      </c>
      <c r="AR123" s="2" t="s">
        <v>1812</v>
      </c>
      <c r="AS123" s="2" t="s">
        <v>1813</v>
      </c>
      <c r="AT123" s="2" t="s">
        <v>230</v>
      </c>
      <c r="AU123" s="2" t="s">
        <v>1814</v>
      </c>
      <c r="AV123" s="2" t="s">
        <v>123</v>
      </c>
      <c r="CP123" s="2" t="s">
        <v>123</v>
      </c>
      <c r="CZ123" s="2" t="s">
        <v>123</v>
      </c>
      <c r="DJ123" s="2" t="s">
        <v>123</v>
      </c>
      <c r="EM123" s="2" t="s">
        <v>123</v>
      </c>
      <c r="FM123" s="2" t="s">
        <v>123</v>
      </c>
      <c r="GU123" s="2" t="s">
        <v>1815</v>
      </c>
      <c r="GV123" s="2" t="s">
        <v>1816</v>
      </c>
      <c r="GW123" s="2" t="s">
        <v>1817</v>
      </c>
      <c r="GX123" s="2" t="s">
        <v>140</v>
      </c>
      <c r="GY123" s="2">
        <v>1986</v>
      </c>
      <c r="GZ123" s="2" t="s">
        <v>246</v>
      </c>
      <c r="HB123" s="2" t="s">
        <v>1818</v>
      </c>
      <c r="HC123" s="2" t="s">
        <v>1819</v>
      </c>
    </row>
    <row r="124" spans="1:212" x14ac:dyDescent="0.45">
      <c r="A124" s="2" t="s">
        <v>1829</v>
      </c>
      <c r="B124" s="2">
        <v>122</v>
      </c>
      <c r="C124" s="2" t="s">
        <v>1827</v>
      </c>
      <c r="D124" s="2" t="s">
        <v>118</v>
      </c>
      <c r="G124" s="2"/>
      <c r="I124" s="2" t="s">
        <v>119</v>
      </c>
      <c r="J124" s="2" t="s">
        <v>1828</v>
      </c>
      <c r="K124" s="2">
        <v>673</v>
      </c>
      <c r="L124" s="2">
        <v>0</v>
      </c>
      <c r="M124" s="2" t="s">
        <v>122</v>
      </c>
      <c r="N124" s="2" t="s">
        <v>123</v>
      </c>
      <c r="P124" s="2"/>
      <c r="AD124" s="2" t="s">
        <v>124</v>
      </c>
      <c r="AE124" s="2" t="s">
        <v>1830</v>
      </c>
      <c r="AF124" s="2">
        <v>2005</v>
      </c>
      <c r="AG124" s="2" t="s">
        <v>148</v>
      </c>
      <c r="AH124" s="2" t="s">
        <v>1831</v>
      </c>
      <c r="AI124" s="2" t="s">
        <v>162</v>
      </c>
      <c r="AJ124" s="2" t="s">
        <v>169</v>
      </c>
      <c r="AK124" s="2" t="s">
        <v>169</v>
      </c>
      <c r="AL124" s="2" t="s">
        <v>128</v>
      </c>
      <c r="AM124" s="2" t="s">
        <v>162</v>
      </c>
      <c r="AN124" s="2" t="s">
        <v>237</v>
      </c>
      <c r="AO124" s="2" t="s">
        <v>302</v>
      </c>
      <c r="AP124" s="2" t="s">
        <v>153</v>
      </c>
      <c r="AQ124" s="2" t="s">
        <v>1832</v>
      </c>
      <c r="AR124" s="2" t="s">
        <v>1833</v>
      </c>
      <c r="AS124" s="2" t="s">
        <v>1834</v>
      </c>
      <c r="AU124" s="2" t="s">
        <v>158</v>
      </c>
      <c r="AV124" s="2" t="s">
        <v>123</v>
      </c>
      <c r="CP124" s="2" t="s">
        <v>123</v>
      </c>
      <c r="CZ124" s="2" t="s">
        <v>214</v>
      </c>
      <c r="DA124" s="2" t="s">
        <v>191</v>
      </c>
      <c r="DB124" s="2" t="s">
        <v>1835</v>
      </c>
      <c r="DC124" s="2" t="s">
        <v>150</v>
      </c>
      <c r="DD124" s="2" t="s">
        <v>150</v>
      </c>
      <c r="DE124" s="2" t="s">
        <v>151</v>
      </c>
      <c r="DF124" s="2" t="s">
        <v>150</v>
      </c>
      <c r="DG124" s="2" t="s">
        <v>169</v>
      </c>
      <c r="DH124" s="2" t="s">
        <v>169</v>
      </c>
      <c r="DI124" s="2" t="s">
        <v>1836</v>
      </c>
      <c r="DJ124" s="2" t="s">
        <v>123</v>
      </c>
      <c r="EM124" s="2" t="s">
        <v>123</v>
      </c>
      <c r="FM124" s="2" t="s">
        <v>123</v>
      </c>
      <c r="GU124" s="2" t="s">
        <v>1837</v>
      </c>
      <c r="GV124" s="2" t="s">
        <v>1838</v>
      </c>
      <c r="GW124" s="2" t="s">
        <v>1839</v>
      </c>
      <c r="GX124" s="2" t="s">
        <v>140</v>
      </c>
      <c r="GY124" s="2">
        <v>1981</v>
      </c>
      <c r="GZ124" s="2" t="s">
        <v>141</v>
      </c>
      <c r="HB124" s="2" t="s">
        <v>1840</v>
      </c>
    </row>
    <row r="125" spans="1:212" x14ac:dyDescent="0.45">
      <c r="A125" s="2" t="s">
        <v>1847</v>
      </c>
      <c r="B125" s="2">
        <v>123</v>
      </c>
      <c r="C125" s="2" t="s">
        <v>1845</v>
      </c>
      <c r="D125" s="2" t="s">
        <v>118</v>
      </c>
      <c r="G125" s="2"/>
      <c r="I125" s="2" t="s">
        <v>119</v>
      </c>
      <c r="J125" s="2" t="s">
        <v>1846</v>
      </c>
      <c r="K125" s="2">
        <v>790</v>
      </c>
      <c r="L125" s="2">
        <v>0</v>
      </c>
      <c r="M125" s="2" t="s">
        <v>122</v>
      </c>
      <c r="N125" s="2" t="s">
        <v>123</v>
      </c>
      <c r="P125" s="2"/>
      <c r="AD125" s="2" t="s">
        <v>124</v>
      </c>
      <c r="AE125" s="2" t="s">
        <v>223</v>
      </c>
      <c r="AF125" s="2">
        <v>2018</v>
      </c>
      <c r="AG125" s="2" t="s">
        <v>148</v>
      </c>
      <c r="AH125" s="2" t="s">
        <v>461</v>
      </c>
      <c r="AI125" s="2" t="s">
        <v>162</v>
      </c>
      <c r="AJ125" s="2" t="s">
        <v>162</v>
      </c>
      <c r="AK125" s="2" t="s">
        <v>150</v>
      </c>
      <c r="AL125" s="2" t="s">
        <v>169</v>
      </c>
      <c r="AM125" s="2" t="s">
        <v>132</v>
      </c>
      <c r="AN125" s="2" t="s">
        <v>1848</v>
      </c>
      <c r="AO125" s="2" t="s">
        <v>302</v>
      </c>
      <c r="AP125" s="2" t="s">
        <v>132</v>
      </c>
      <c r="AQ125" s="2" t="s">
        <v>1849</v>
      </c>
      <c r="AR125" s="2" t="s">
        <v>1850</v>
      </c>
      <c r="AS125" s="2" t="s">
        <v>1851</v>
      </c>
      <c r="AT125" s="2" t="s">
        <v>157</v>
      </c>
      <c r="AV125" s="2" t="s">
        <v>123</v>
      </c>
      <c r="CP125" s="2" t="s">
        <v>123</v>
      </c>
      <c r="CZ125" s="2" t="s">
        <v>123</v>
      </c>
      <c r="DJ125" s="2" t="s">
        <v>123</v>
      </c>
      <c r="EM125" s="2" t="s">
        <v>123</v>
      </c>
      <c r="FM125" s="2" t="s">
        <v>123</v>
      </c>
      <c r="GU125" s="2" t="s">
        <v>1852</v>
      </c>
      <c r="GV125" s="2" t="s">
        <v>1853</v>
      </c>
      <c r="GW125" s="2" t="s">
        <v>1854</v>
      </c>
      <c r="GX125" s="2" t="s">
        <v>140</v>
      </c>
      <c r="GY125" s="2">
        <v>1994</v>
      </c>
      <c r="GZ125" s="2" t="s">
        <v>141</v>
      </c>
      <c r="HA125" s="2" t="s">
        <v>1855</v>
      </c>
      <c r="HB125" s="2" t="s">
        <v>1856</v>
      </c>
    </row>
    <row r="126" spans="1:212" x14ac:dyDescent="0.45">
      <c r="A126" s="2" t="s">
        <v>1866</v>
      </c>
      <c r="B126" s="2">
        <v>124</v>
      </c>
      <c r="C126" s="2" t="s">
        <v>1864</v>
      </c>
      <c r="D126" s="2" t="s">
        <v>118</v>
      </c>
      <c r="E126" s="2" t="s">
        <v>359</v>
      </c>
      <c r="G126" s="2"/>
      <c r="I126" s="2" t="s">
        <v>119</v>
      </c>
      <c r="J126" s="2" t="s">
        <v>1865</v>
      </c>
      <c r="K126" s="2">
        <v>607</v>
      </c>
      <c r="L126" s="2">
        <v>0</v>
      </c>
      <c r="M126" s="2" t="s">
        <v>122</v>
      </c>
      <c r="N126" s="2" t="s">
        <v>123</v>
      </c>
      <c r="P126" s="2"/>
      <c r="AD126" s="2" t="s">
        <v>124</v>
      </c>
      <c r="AE126" s="2" t="s">
        <v>191</v>
      </c>
      <c r="AF126" s="2">
        <v>2015</v>
      </c>
      <c r="AG126" s="2" t="s">
        <v>148</v>
      </c>
      <c r="AH126" s="2" t="s">
        <v>1867</v>
      </c>
      <c r="AI126" s="2" t="s">
        <v>162</v>
      </c>
      <c r="AJ126" s="2" t="s">
        <v>150</v>
      </c>
      <c r="AK126" s="2" t="s">
        <v>169</v>
      </c>
      <c r="AL126" s="2" t="s">
        <v>151</v>
      </c>
      <c r="AM126" s="2" t="s">
        <v>162</v>
      </c>
      <c r="AN126" s="2" t="s">
        <v>1868</v>
      </c>
      <c r="AO126" s="2" t="s">
        <v>153</v>
      </c>
      <c r="AP126" s="2" t="s">
        <v>226</v>
      </c>
      <c r="AQ126" s="2" t="s">
        <v>1869</v>
      </c>
      <c r="AR126" s="2" t="s">
        <v>1870</v>
      </c>
      <c r="AS126" s="2" t="s">
        <v>1871</v>
      </c>
      <c r="AT126" s="2" t="s">
        <v>172</v>
      </c>
      <c r="AV126" s="2" t="s">
        <v>123</v>
      </c>
      <c r="AW126" s="2" t="s">
        <v>132</v>
      </c>
      <c r="CP126" s="2" t="s">
        <v>123</v>
      </c>
      <c r="CZ126" s="2" t="s">
        <v>123</v>
      </c>
      <c r="DJ126" s="2" t="s">
        <v>123</v>
      </c>
      <c r="EM126" s="2" t="s">
        <v>123</v>
      </c>
      <c r="FM126" s="2" t="s">
        <v>123</v>
      </c>
      <c r="GU126" s="2" t="s">
        <v>276</v>
      </c>
      <c r="GV126" s="2" t="s">
        <v>1872</v>
      </c>
      <c r="GW126" s="2" t="s">
        <v>1873</v>
      </c>
      <c r="GX126" s="2" t="s">
        <v>186</v>
      </c>
      <c r="GY126" s="2">
        <v>1991</v>
      </c>
      <c r="GZ126" s="2" t="s">
        <v>398</v>
      </c>
    </row>
    <row r="127" spans="1:212" x14ac:dyDescent="0.45">
      <c r="A127" s="2" t="s">
        <v>1882</v>
      </c>
      <c r="B127" s="2">
        <v>125</v>
      </c>
      <c r="C127" s="2" t="s">
        <v>1880</v>
      </c>
      <c r="D127" s="2" t="s">
        <v>118</v>
      </c>
      <c r="E127" s="2" t="s">
        <v>359</v>
      </c>
      <c r="G127" s="2"/>
      <c r="I127" s="2" t="s">
        <v>119</v>
      </c>
      <c r="J127" s="2" t="s">
        <v>1881</v>
      </c>
      <c r="K127" s="2">
        <v>627</v>
      </c>
      <c r="L127" s="2">
        <v>0</v>
      </c>
      <c r="M127" s="2" t="s">
        <v>122</v>
      </c>
      <c r="N127" s="2" t="s">
        <v>123</v>
      </c>
      <c r="P127" s="2"/>
      <c r="AD127" s="2" t="s">
        <v>124</v>
      </c>
      <c r="AE127" s="2" t="s">
        <v>125</v>
      </c>
      <c r="AF127" s="2">
        <v>2011</v>
      </c>
      <c r="AG127" s="2" t="s">
        <v>126</v>
      </c>
      <c r="AH127" s="2" t="s">
        <v>1883</v>
      </c>
      <c r="AI127" s="2" t="s">
        <v>169</v>
      </c>
      <c r="AJ127" s="2" t="s">
        <v>169</v>
      </c>
      <c r="AK127" s="2" t="s">
        <v>169</v>
      </c>
      <c r="AL127" s="2" t="s">
        <v>151</v>
      </c>
      <c r="AM127" s="2" t="s">
        <v>150</v>
      </c>
      <c r="AN127" s="2" t="s">
        <v>1884</v>
      </c>
      <c r="AO127" s="2" t="s">
        <v>131</v>
      </c>
      <c r="AP127" s="2" t="s">
        <v>153</v>
      </c>
      <c r="AQ127" s="2" t="s">
        <v>1885</v>
      </c>
      <c r="AR127" s="2" t="s">
        <v>1886</v>
      </c>
      <c r="AS127" s="2" t="s">
        <v>1887</v>
      </c>
      <c r="AT127" s="2" t="s">
        <v>157</v>
      </c>
      <c r="AU127" s="2" t="s">
        <v>1888</v>
      </c>
      <c r="AV127" s="2" t="s">
        <v>123</v>
      </c>
      <c r="AW127" s="2" t="s">
        <v>132</v>
      </c>
      <c r="CP127" s="2" t="s">
        <v>123</v>
      </c>
      <c r="CZ127" s="2" t="s">
        <v>123</v>
      </c>
      <c r="DJ127" s="2" t="s">
        <v>123</v>
      </c>
      <c r="EM127" s="2" t="s">
        <v>177</v>
      </c>
      <c r="EN127" s="2" t="s">
        <v>180</v>
      </c>
      <c r="EO127" s="2" t="s">
        <v>132</v>
      </c>
      <c r="EP127" s="2" t="s">
        <v>1889</v>
      </c>
      <c r="EQ127" s="2" t="s">
        <v>132</v>
      </c>
      <c r="ER127" s="2" t="s">
        <v>132</v>
      </c>
      <c r="ES127" s="2" t="s">
        <v>132</v>
      </c>
      <c r="ET127" s="2" t="s">
        <v>180</v>
      </c>
      <c r="EU127" s="2" t="s">
        <v>1889</v>
      </c>
      <c r="EV127" s="2" t="s">
        <v>1889</v>
      </c>
      <c r="EW127" s="2" t="s">
        <v>173</v>
      </c>
      <c r="FM127" s="2" t="s">
        <v>123</v>
      </c>
      <c r="GU127" s="2" t="s">
        <v>1889</v>
      </c>
      <c r="GV127" s="2" t="s">
        <v>1889</v>
      </c>
      <c r="GW127" s="2" t="s">
        <v>1889</v>
      </c>
      <c r="GX127" s="2" t="s">
        <v>140</v>
      </c>
      <c r="GY127" s="2">
        <v>1987</v>
      </c>
      <c r="GZ127" s="2" t="s">
        <v>220</v>
      </c>
      <c r="HB127" s="2" t="s">
        <v>1889</v>
      </c>
      <c r="HC127" s="2" t="s">
        <v>1889</v>
      </c>
    </row>
    <row r="128" spans="1:212" x14ac:dyDescent="0.45">
      <c r="A128" s="2" t="s">
        <v>1892</v>
      </c>
      <c r="B128" s="2">
        <v>126</v>
      </c>
      <c r="C128" s="2" t="s">
        <v>1890</v>
      </c>
      <c r="D128" s="2" t="s">
        <v>118</v>
      </c>
      <c r="G128" s="2"/>
      <c r="I128" s="2" t="s">
        <v>119</v>
      </c>
      <c r="J128" s="2" t="s">
        <v>1891</v>
      </c>
      <c r="K128" s="2">
        <v>680</v>
      </c>
      <c r="L128" s="2">
        <v>0</v>
      </c>
      <c r="M128" s="2" t="s">
        <v>122</v>
      </c>
      <c r="N128" s="2" t="s">
        <v>123</v>
      </c>
      <c r="P128" s="2"/>
      <c r="AD128" s="2" t="s">
        <v>124</v>
      </c>
      <c r="AE128" s="2" t="s">
        <v>191</v>
      </c>
      <c r="AF128" s="2">
        <v>2016</v>
      </c>
      <c r="AG128" s="2" t="s">
        <v>126</v>
      </c>
      <c r="AH128" s="2" t="s">
        <v>1893</v>
      </c>
      <c r="AI128" s="2" t="s">
        <v>150</v>
      </c>
      <c r="AJ128" s="2" t="s">
        <v>150</v>
      </c>
      <c r="AK128" s="2" t="s">
        <v>150</v>
      </c>
      <c r="AL128" s="2" t="s">
        <v>128</v>
      </c>
      <c r="AM128" s="2" t="s">
        <v>150</v>
      </c>
      <c r="AN128" s="2" t="s">
        <v>530</v>
      </c>
      <c r="AO128" s="2" t="s">
        <v>302</v>
      </c>
      <c r="AP128" s="2" t="s">
        <v>226</v>
      </c>
      <c r="AR128" s="2" t="s">
        <v>1894</v>
      </c>
      <c r="AS128" s="2" t="s">
        <v>1895</v>
      </c>
      <c r="AT128" s="2" t="s">
        <v>157</v>
      </c>
      <c r="AV128" s="2" t="s">
        <v>123</v>
      </c>
      <c r="AW128" s="2" t="s">
        <v>132</v>
      </c>
      <c r="CP128" s="2" t="s">
        <v>123</v>
      </c>
      <c r="CZ128" s="2" t="s">
        <v>123</v>
      </c>
      <c r="DJ128" s="2" t="s">
        <v>123</v>
      </c>
      <c r="EM128" s="2" t="s">
        <v>123</v>
      </c>
      <c r="FM128" s="2" t="s">
        <v>123</v>
      </c>
      <c r="GU128" s="2" t="s">
        <v>1896</v>
      </c>
      <c r="GV128" s="2" t="s">
        <v>1897</v>
      </c>
      <c r="GW128" s="2" t="s">
        <v>1898</v>
      </c>
      <c r="GX128" s="2" t="s">
        <v>140</v>
      </c>
      <c r="GY128" s="2">
        <v>1991</v>
      </c>
      <c r="GZ128" s="2" t="s">
        <v>398</v>
      </c>
    </row>
    <row r="129" spans="1:212" x14ac:dyDescent="0.45">
      <c r="A129" s="2" t="s">
        <v>1901</v>
      </c>
      <c r="B129" s="2">
        <v>127</v>
      </c>
      <c r="C129" s="2" t="s">
        <v>1899</v>
      </c>
      <c r="D129" s="2" t="s">
        <v>118</v>
      </c>
      <c r="E129" s="2" t="s">
        <v>359</v>
      </c>
      <c r="G129" s="2"/>
      <c r="I129" s="2" t="s">
        <v>119</v>
      </c>
      <c r="J129" s="2" t="s">
        <v>1900</v>
      </c>
      <c r="K129" s="2">
        <v>650</v>
      </c>
      <c r="L129" s="2">
        <v>0</v>
      </c>
      <c r="M129" s="2" t="s">
        <v>122</v>
      </c>
      <c r="N129" s="2" t="s">
        <v>123</v>
      </c>
      <c r="P129" s="2"/>
      <c r="AD129" s="2" t="s">
        <v>124</v>
      </c>
      <c r="AE129" s="2" t="s">
        <v>742</v>
      </c>
      <c r="AF129" s="2">
        <v>2009</v>
      </c>
      <c r="AG129" s="2" t="s">
        <v>148</v>
      </c>
      <c r="AH129" s="2" t="s">
        <v>1666</v>
      </c>
      <c r="AI129" s="2" t="s">
        <v>162</v>
      </c>
      <c r="AJ129" s="2" t="s">
        <v>151</v>
      </c>
      <c r="AK129" s="2" t="s">
        <v>236</v>
      </c>
      <c r="AL129" s="2" t="s">
        <v>236</v>
      </c>
      <c r="AM129" s="2" t="s">
        <v>128</v>
      </c>
      <c r="AN129" s="2">
        <v>9</v>
      </c>
      <c r="AO129" s="2" t="s">
        <v>131</v>
      </c>
      <c r="AP129" s="2" t="s">
        <v>153</v>
      </c>
      <c r="AQ129" s="2" t="s">
        <v>1902</v>
      </c>
      <c r="AR129" s="2" t="s">
        <v>1903</v>
      </c>
      <c r="AS129" s="2" t="s">
        <v>1904</v>
      </c>
      <c r="AU129" s="2" t="s">
        <v>1905</v>
      </c>
      <c r="AV129" s="2" t="s">
        <v>123</v>
      </c>
      <c r="AW129" s="2" t="s">
        <v>132</v>
      </c>
      <c r="CP129" s="2" t="s">
        <v>123</v>
      </c>
      <c r="CZ129" s="2" t="s">
        <v>123</v>
      </c>
      <c r="DJ129" s="2" t="s">
        <v>123</v>
      </c>
      <c r="EM129" s="2" t="s">
        <v>123</v>
      </c>
      <c r="FM129" s="2" t="s">
        <v>123</v>
      </c>
      <c r="GU129" s="2" t="s">
        <v>1906</v>
      </c>
      <c r="GV129" s="2" t="s">
        <v>1907</v>
      </c>
      <c r="GW129" s="2" t="s">
        <v>1908</v>
      </c>
      <c r="GX129" s="2" t="s">
        <v>140</v>
      </c>
      <c r="GY129" s="2">
        <v>1985</v>
      </c>
      <c r="GZ129" s="2" t="s">
        <v>141</v>
      </c>
      <c r="HB129" s="2" t="s">
        <v>142</v>
      </c>
      <c r="HC129" s="2" t="s">
        <v>1909</v>
      </c>
    </row>
    <row r="130" spans="1:212" x14ac:dyDescent="0.45">
      <c r="A130" s="2" t="s">
        <v>1913</v>
      </c>
      <c r="B130" s="2">
        <v>128</v>
      </c>
      <c r="C130" s="2" t="s">
        <v>1910</v>
      </c>
      <c r="D130" s="2" t="s">
        <v>118</v>
      </c>
      <c r="E130" s="2" t="s">
        <v>1911</v>
      </c>
      <c r="G130" s="2"/>
      <c r="I130" s="2" t="s">
        <v>119</v>
      </c>
      <c r="J130" s="2" t="s">
        <v>1912</v>
      </c>
      <c r="K130" s="2">
        <v>1026</v>
      </c>
      <c r="L130" s="2">
        <v>0</v>
      </c>
      <c r="M130" s="2" t="s">
        <v>122</v>
      </c>
      <c r="N130" s="2" t="s">
        <v>123</v>
      </c>
      <c r="P130" s="2"/>
      <c r="AD130" s="2" t="s">
        <v>124</v>
      </c>
      <c r="AE130" s="2" t="s">
        <v>191</v>
      </c>
      <c r="AF130" s="2">
        <v>2011</v>
      </c>
      <c r="AG130" s="2" t="s">
        <v>126</v>
      </c>
      <c r="AH130" s="2" t="s">
        <v>1914</v>
      </c>
      <c r="AI130" s="2" t="s">
        <v>150</v>
      </c>
      <c r="AJ130" s="2" t="s">
        <v>162</v>
      </c>
      <c r="AK130" s="2" t="s">
        <v>150</v>
      </c>
      <c r="AL130" s="2" t="s">
        <v>151</v>
      </c>
      <c r="AM130" s="2" t="s">
        <v>169</v>
      </c>
      <c r="AN130" s="2" t="s">
        <v>1362</v>
      </c>
      <c r="AO130" s="2" t="s">
        <v>131</v>
      </c>
      <c r="AP130" s="2" t="s">
        <v>759</v>
      </c>
      <c r="AQ130" s="2" t="s">
        <v>1915</v>
      </c>
      <c r="AR130" s="2" t="s">
        <v>1916</v>
      </c>
      <c r="AS130" s="2" t="s">
        <v>1917</v>
      </c>
      <c r="AU130" s="2" t="s">
        <v>1918</v>
      </c>
      <c r="AV130" s="2" t="s">
        <v>123</v>
      </c>
      <c r="CP130" s="2" t="s">
        <v>123</v>
      </c>
      <c r="CZ130" s="2" t="s">
        <v>123</v>
      </c>
      <c r="DJ130" s="2" t="s">
        <v>123</v>
      </c>
      <c r="EM130" s="2" t="s">
        <v>123</v>
      </c>
      <c r="FM130" s="2" t="s">
        <v>123</v>
      </c>
      <c r="GU130" s="2" t="s">
        <v>1919</v>
      </c>
      <c r="GV130" s="2" t="s">
        <v>1920</v>
      </c>
      <c r="GW130" s="2" t="s">
        <v>1921</v>
      </c>
      <c r="GX130" s="2" t="s">
        <v>140</v>
      </c>
      <c r="GY130" s="2">
        <v>1987</v>
      </c>
      <c r="GZ130" s="2" t="s">
        <v>220</v>
      </c>
      <c r="HB130" s="2" t="s">
        <v>1922</v>
      </c>
      <c r="HC130" s="2" t="s">
        <v>1923</v>
      </c>
      <c r="HD130" s="2" t="s">
        <v>1924</v>
      </c>
    </row>
    <row r="131" spans="1:212" x14ac:dyDescent="0.45">
      <c r="A131" s="2" t="s">
        <v>1929</v>
      </c>
      <c r="B131" s="2">
        <v>129</v>
      </c>
      <c r="C131" s="2" t="s">
        <v>1142</v>
      </c>
      <c r="D131" s="2" t="s">
        <v>118</v>
      </c>
      <c r="E131" s="2" t="s">
        <v>1927</v>
      </c>
      <c r="G131" s="2"/>
      <c r="I131" s="2" t="s">
        <v>119</v>
      </c>
      <c r="J131" s="2" t="s">
        <v>1928</v>
      </c>
      <c r="K131" s="2">
        <v>1449</v>
      </c>
      <c r="L131" s="2">
        <v>0</v>
      </c>
      <c r="M131" s="2" t="s">
        <v>122</v>
      </c>
      <c r="N131" s="2" t="s">
        <v>123</v>
      </c>
      <c r="P131" s="2"/>
      <c r="AD131" s="2" t="s">
        <v>124</v>
      </c>
      <c r="AE131" s="2" t="s">
        <v>1930</v>
      </c>
      <c r="AF131" s="2">
        <v>2007</v>
      </c>
      <c r="AG131" s="2" t="s">
        <v>126</v>
      </c>
      <c r="AH131" s="2" t="s">
        <v>1931</v>
      </c>
      <c r="AI131" s="2" t="s">
        <v>162</v>
      </c>
      <c r="AJ131" s="2" t="s">
        <v>162</v>
      </c>
      <c r="AK131" s="2" t="s">
        <v>169</v>
      </c>
      <c r="AL131" s="2" t="s">
        <v>169</v>
      </c>
      <c r="AM131" s="2" t="s">
        <v>169</v>
      </c>
      <c r="AN131" s="2" t="s">
        <v>1932</v>
      </c>
      <c r="AO131" s="2" t="s">
        <v>302</v>
      </c>
      <c r="AP131" s="2" t="s">
        <v>153</v>
      </c>
      <c r="AQ131" s="2" t="s">
        <v>1933</v>
      </c>
      <c r="AR131" s="2" t="s">
        <v>1934</v>
      </c>
      <c r="AS131" s="2" t="s">
        <v>1935</v>
      </c>
      <c r="AU131" s="2" t="s">
        <v>1936</v>
      </c>
      <c r="AV131" s="2" t="s">
        <v>123</v>
      </c>
      <c r="CP131" s="2" t="s">
        <v>123</v>
      </c>
      <c r="CZ131" s="2" t="s">
        <v>123</v>
      </c>
      <c r="DJ131" s="2" t="s">
        <v>123</v>
      </c>
      <c r="EM131" s="2" t="s">
        <v>123</v>
      </c>
      <c r="FM131" s="2" t="s">
        <v>123</v>
      </c>
      <c r="GU131" s="2" t="s">
        <v>1937</v>
      </c>
      <c r="GV131" s="2" t="s">
        <v>1938</v>
      </c>
      <c r="GW131" s="2" t="s">
        <v>1939</v>
      </c>
      <c r="GX131" s="2" t="s">
        <v>186</v>
      </c>
      <c r="GY131" s="2">
        <v>2007</v>
      </c>
      <c r="GZ131" s="2" t="s">
        <v>398</v>
      </c>
      <c r="HB131" s="2" t="s">
        <v>1940</v>
      </c>
    </row>
    <row r="132" spans="1:212" x14ac:dyDescent="0.45">
      <c r="A132" s="2" t="s">
        <v>1953</v>
      </c>
      <c r="B132" s="2">
        <v>130</v>
      </c>
      <c r="C132" s="2" t="s">
        <v>1951</v>
      </c>
      <c r="D132" s="2" t="s">
        <v>118</v>
      </c>
      <c r="G132" s="2"/>
      <c r="I132" s="2" t="s">
        <v>119</v>
      </c>
      <c r="J132" s="2" t="s">
        <v>1952</v>
      </c>
      <c r="K132" s="2">
        <v>942</v>
      </c>
      <c r="L132" s="2">
        <v>0</v>
      </c>
      <c r="M132" s="2" t="s">
        <v>122</v>
      </c>
      <c r="N132" s="2" t="s">
        <v>123</v>
      </c>
      <c r="P132" s="2"/>
      <c r="AD132" s="2" t="s">
        <v>124</v>
      </c>
      <c r="AE132" s="2" t="s">
        <v>1954</v>
      </c>
      <c r="AF132" s="2">
        <v>2012</v>
      </c>
      <c r="AG132" s="2" t="s">
        <v>148</v>
      </c>
      <c r="AH132" s="2" t="s">
        <v>161</v>
      </c>
      <c r="AI132" s="2" t="s">
        <v>128</v>
      </c>
      <c r="AJ132" s="2" t="s">
        <v>162</v>
      </c>
      <c r="AK132" s="2" t="s">
        <v>128</v>
      </c>
      <c r="AL132" s="2" t="s">
        <v>128</v>
      </c>
      <c r="AM132" s="2" t="s">
        <v>236</v>
      </c>
      <c r="AN132" s="2" t="s">
        <v>530</v>
      </c>
      <c r="AO132" s="2" t="s">
        <v>302</v>
      </c>
      <c r="AP132" s="2" t="s">
        <v>131</v>
      </c>
      <c r="AQ132" s="2" t="s">
        <v>1955</v>
      </c>
      <c r="AR132" s="2" t="s">
        <v>1956</v>
      </c>
      <c r="AS132" s="2" t="s">
        <v>1957</v>
      </c>
      <c r="AT132" s="2" t="s">
        <v>157</v>
      </c>
      <c r="AV132" s="2" t="s">
        <v>123</v>
      </c>
      <c r="AW132" s="2" t="s">
        <v>132</v>
      </c>
      <c r="CP132" s="2" t="s">
        <v>123</v>
      </c>
      <c r="CZ132" s="2" t="s">
        <v>123</v>
      </c>
      <c r="DJ132" s="2" t="s">
        <v>123</v>
      </c>
      <c r="EM132" s="2" t="s">
        <v>123</v>
      </c>
      <c r="FM132" s="2" t="s">
        <v>123</v>
      </c>
      <c r="GU132" s="2" t="s">
        <v>1958</v>
      </c>
      <c r="GV132" s="2" t="s">
        <v>1959</v>
      </c>
      <c r="GW132" s="2" t="s">
        <v>1960</v>
      </c>
      <c r="GX132" s="2" t="s">
        <v>140</v>
      </c>
      <c r="GY132" s="2">
        <v>1986</v>
      </c>
      <c r="GZ132" s="2" t="s">
        <v>1630</v>
      </c>
      <c r="HB132" s="2" t="s">
        <v>1961</v>
      </c>
      <c r="HC132" s="2" t="s">
        <v>142</v>
      </c>
    </row>
    <row r="133" spans="1:212" x14ac:dyDescent="0.45">
      <c r="A133" s="2" t="s">
        <v>1968</v>
      </c>
      <c r="B133" s="2">
        <v>131</v>
      </c>
      <c r="C133" s="2" t="s">
        <v>1965</v>
      </c>
      <c r="D133" s="2" t="s">
        <v>118</v>
      </c>
      <c r="E133" s="2" t="s">
        <v>1966</v>
      </c>
      <c r="G133" s="2"/>
      <c r="I133" s="2" t="s">
        <v>119</v>
      </c>
      <c r="J133" s="2" t="s">
        <v>1967</v>
      </c>
      <c r="K133" s="2">
        <v>504</v>
      </c>
      <c r="L133" s="2">
        <v>0</v>
      </c>
      <c r="M133" s="2" t="s">
        <v>122</v>
      </c>
      <c r="N133" s="2" t="s">
        <v>123</v>
      </c>
      <c r="P133" s="2"/>
      <c r="AD133" s="2" t="s">
        <v>124</v>
      </c>
      <c r="AE133" s="2" t="s">
        <v>191</v>
      </c>
      <c r="AF133" s="2">
        <v>2003</v>
      </c>
      <c r="AG133" s="2" t="s">
        <v>126</v>
      </c>
      <c r="AH133" s="2" t="s">
        <v>127</v>
      </c>
      <c r="AI133" s="2" t="s">
        <v>150</v>
      </c>
      <c r="AJ133" s="2" t="s">
        <v>150</v>
      </c>
      <c r="AK133" s="2" t="s">
        <v>162</v>
      </c>
      <c r="AL133" s="2" t="s">
        <v>151</v>
      </c>
      <c r="AM133" s="2" t="s">
        <v>151</v>
      </c>
      <c r="AN133" s="2" t="s">
        <v>237</v>
      </c>
      <c r="AO133" s="2" t="s">
        <v>152</v>
      </c>
      <c r="AP133" s="2" t="s">
        <v>131</v>
      </c>
      <c r="AQ133" s="2" t="s">
        <v>1969</v>
      </c>
      <c r="AR133" s="2" t="s">
        <v>1970</v>
      </c>
      <c r="AS133" s="2" t="s">
        <v>1971</v>
      </c>
      <c r="AT133" s="2" t="s">
        <v>157</v>
      </c>
      <c r="AU133" s="2" t="s">
        <v>1972</v>
      </c>
      <c r="AV133" s="2" t="s">
        <v>123</v>
      </c>
      <c r="CP133" s="2" t="s">
        <v>123</v>
      </c>
      <c r="CZ133" s="2" t="s">
        <v>123</v>
      </c>
      <c r="DJ133" s="2" t="s">
        <v>123</v>
      </c>
      <c r="EM133" s="2" t="s">
        <v>123</v>
      </c>
      <c r="FM133" s="2" t="s">
        <v>123</v>
      </c>
      <c r="GU133" s="2" t="s">
        <v>1973</v>
      </c>
      <c r="GV133" s="2" t="s">
        <v>1363</v>
      </c>
      <c r="GW133" s="2" t="s">
        <v>1974</v>
      </c>
      <c r="GX133" s="2" t="s">
        <v>140</v>
      </c>
      <c r="GY133" s="2">
        <v>1979</v>
      </c>
      <c r="GZ133" s="2" t="s">
        <v>141</v>
      </c>
    </row>
    <row r="134" spans="1:212" x14ac:dyDescent="0.45">
      <c r="A134" s="2" t="s">
        <v>1977</v>
      </c>
      <c r="B134" s="2">
        <v>132</v>
      </c>
      <c r="C134" s="2" t="s">
        <v>1975</v>
      </c>
      <c r="D134" s="2" t="s">
        <v>118</v>
      </c>
      <c r="E134" s="2" t="s">
        <v>1736</v>
      </c>
      <c r="G134" s="2"/>
      <c r="I134" s="2" t="s">
        <v>119</v>
      </c>
      <c r="J134" s="2" t="s">
        <v>1976</v>
      </c>
      <c r="K134" s="2">
        <v>70</v>
      </c>
      <c r="L134" s="2">
        <v>0</v>
      </c>
      <c r="M134" s="2" t="s">
        <v>344</v>
      </c>
      <c r="N134" s="2" t="s">
        <v>416</v>
      </c>
      <c r="P134" s="2"/>
    </row>
    <row r="135" spans="1:212" x14ac:dyDescent="0.45">
      <c r="A135" s="2" t="s">
        <v>1980</v>
      </c>
      <c r="B135" s="2">
        <v>133</v>
      </c>
      <c r="C135" s="2" t="s">
        <v>1142</v>
      </c>
      <c r="D135" s="2" t="s">
        <v>118</v>
      </c>
      <c r="G135" s="2"/>
      <c r="I135" s="2" t="s">
        <v>119</v>
      </c>
      <c r="J135" s="2" t="s">
        <v>1979</v>
      </c>
      <c r="K135" s="2">
        <v>1026</v>
      </c>
      <c r="L135" s="2">
        <v>0</v>
      </c>
      <c r="M135" s="2" t="s">
        <v>122</v>
      </c>
      <c r="N135" s="2" t="s">
        <v>416</v>
      </c>
      <c r="O135" s="2" t="s">
        <v>1981</v>
      </c>
      <c r="P135" s="2" t="s">
        <v>148</v>
      </c>
      <c r="Q135" s="2" t="s">
        <v>1982</v>
      </c>
      <c r="R135" s="2" t="s">
        <v>162</v>
      </c>
      <c r="S135" s="2" t="s">
        <v>162</v>
      </c>
      <c r="T135" s="2" t="s">
        <v>150</v>
      </c>
      <c r="U135" s="2" t="s">
        <v>1983</v>
      </c>
      <c r="V135" s="2" t="s">
        <v>1984</v>
      </c>
      <c r="W135" s="2" t="s">
        <v>194</v>
      </c>
      <c r="X135" s="2" t="s">
        <v>1985</v>
      </c>
      <c r="Y135" s="2" t="s">
        <v>1986</v>
      </c>
      <c r="Z135" s="2" t="s">
        <v>1987</v>
      </c>
      <c r="AA135" s="2" t="s">
        <v>157</v>
      </c>
      <c r="AC135" s="2">
        <v>4</v>
      </c>
      <c r="AD135" s="2" t="s">
        <v>123</v>
      </c>
      <c r="AV135" s="2" t="s">
        <v>123</v>
      </c>
      <c r="CP135" s="2" t="s">
        <v>123</v>
      </c>
      <c r="CZ135" s="2" t="s">
        <v>123</v>
      </c>
      <c r="DJ135" s="2" t="s">
        <v>123</v>
      </c>
      <c r="EM135" s="2" t="s">
        <v>123</v>
      </c>
      <c r="FM135" s="2" t="s">
        <v>123</v>
      </c>
      <c r="GU135" s="2" t="s">
        <v>1988</v>
      </c>
      <c r="GV135" s="2" t="s">
        <v>1989</v>
      </c>
      <c r="GW135" s="2" t="s">
        <v>1990</v>
      </c>
      <c r="GX135" s="2" t="s">
        <v>186</v>
      </c>
      <c r="GY135" s="2">
        <v>1992</v>
      </c>
      <c r="GZ135" s="2" t="s">
        <v>246</v>
      </c>
      <c r="HB135" s="2" t="s">
        <v>1991</v>
      </c>
    </row>
    <row r="136" spans="1:212" x14ac:dyDescent="0.45">
      <c r="A136" s="2" t="s">
        <v>2016</v>
      </c>
      <c r="B136" s="2">
        <v>134</v>
      </c>
      <c r="C136" s="2" t="s">
        <v>2014</v>
      </c>
      <c r="D136" s="2" t="s">
        <v>118</v>
      </c>
      <c r="G136" s="2"/>
      <c r="I136" s="2" t="s">
        <v>119</v>
      </c>
      <c r="J136" s="2" t="s">
        <v>2015</v>
      </c>
      <c r="K136" s="2">
        <v>1430</v>
      </c>
      <c r="L136" s="2">
        <v>0</v>
      </c>
      <c r="M136" s="2" t="s">
        <v>122</v>
      </c>
      <c r="N136" s="2" t="s">
        <v>123</v>
      </c>
      <c r="P136" s="2"/>
      <c r="AD136" s="2" t="s">
        <v>124</v>
      </c>
      <c r="AE136" s="2" t="s">
        <v>191</v>
      </c>
      <c r="AF136" s="2">
        <v>1989</v>
      </c>
      <c r="AG136" s="2" t="s">
        <v>126</v>
      </c>
      <c r="AH136" s="2" t="s">
        <v>2017</v>
      </c>
      <c r="AI136" s="2" t="s">
        <v>150</v>
      </c>
      <c r="AJ136" s="2" t="s">
        <v>150</v>
      </c>
      <c r="AK136" s="2" t="s">
        <v>162</v>
      </c>
      <c r="AL136" s="2" t="s">
        <v>162</v>
      </c>
      <c r="AM136" s="2" t="s">
        <v>162</v>
      </c>
      <c r="AN136" s="2">
        <v>0</v>
      </c>
      <c r="AO136" s="2" t="s">
        <v>226</v>
      </c>
      <c r="AP136" s="2" t="s">
        <v>226</v>
      </c>
      <c r="AQ136" s="2" t="s">
        <v>2018</v>
      </c>
      <c r="AR136" s="2" t="s">
        <v>1229</v>
      </c>
      <c r="AS136" s="2" t="s">
        <v>1229</v>
      </c>
      <c r="AT136" s="2" t="s">
        <v>157</v>
      </c>
      <c r="AU136" s="2" t="s">
        <v>1271</v>
      </c>
      <c r="AV136" s="2" t="s">
        <v>159</v>
      </c>
      <c r="AW136" s="2">
        <v>1</v>
      </c>
      <c r="AX136" s="2" t="s">
        <v>191</v>
      </c>
      <c r="AY136" s="2">
        <v>2016</v>
      </c>
      <c r="AZ136" s="2" t="s">
        <v>126</v>
      </c>
      <c r="BA136" s="2" t="s">
        <v>2019</v>
      </c>
      <c r="BB136" s="2" t="s">
        <v>150</v>
      </c>
      <c r="BC136" s="2" t="s">
        <v>150</v>
      </c>
      <c r="BD136" s="2" t="s">
        <v>151</v>
      </c>
      <c r="BE136" s="2" t="s">
        <v>128</v>
      </c>
      <c r="BF136" s="2" t="s">
        <v>162</v>
      </c>
      <c r="BG136" s="2" t="s">
        <v>2020</v>
      </c>
      <c r="BH136" s="2" t="s">
        <v>2021</v>
      </c>
      <c r="BI136" s="2" t="s">
        <v>157</v>
      </c>
      <c r="BL136" s="2" t="s">
        <v>173</v>
      </c>
      <c r="CP136" s="2" t="s">
        <v>123</v>
      </c>
      <c r="CZ136" s="2" t="s">
        <v>123</v>
      </c>
      <c r="DJ136" s="2" t="s">
        <v>123</v>
      </c>
      <c r="EM136" s="2" t="s">
        <v>123</v>
      </c>
      <c r="FM136" s="2" t="s">
        <v>2022</v>
      </c>
      <c r="FN136" s="2" t="s">
        <v>2023</v>
      </c>
      <c r="FO136" s="2" t="s">
        <v>2024</v>
      </c>
      <c r="FP136" s="2">
        <v>1</v>
      </c>
      <c r="FQ136" s="2" t="s">
        <v>191</v>
      </c>
      <c r="FR136" s="2" t="s">
        <v>150</v>
      </c>
      <c r="FS136" s="2" t="s">
        <v>150</v>
      </c>
      <c r="FT136" s="2" t="s">
        <v>150</v>
      </c>
      <c r="FU136" s="2" t="s">
        <v>150</v>
      </c>
      <c r="FV136" s="2" t="s">
        <v>150</v>
      </c>
      <c r="FW136" s="2" t="s">
        <v>150</v>
      </c>
      <c r="FX136" s="2" t="s">
        <v>150</v>
      </c>
      <c r="FZ136" s="2" t="s">
        <v>2025</v>
      </c>
      <c r="GA136" s="2" t="s">
        <v>173</v>
      </c>
      <c r="GU136" s="2" t="s">
        <v>1229</v>
      </c>
      <c r="GV136" s="2" t="s">
        <v>1229</v>
      </c>
      <c r="GW136" s="2" t="s">
        <v>1229</v>
      </c>
      <c r="GX136" s="2" t="s">
        <v>186</v>
      </c>
      <c r="GY136" s="2">
        <v>1965</v>
      </c>
      <c r="GZ136" s="2" t="s">
        <v>220</v>
      </c>
      <c r="HB136" s="2" t="s">
        <v>2026</v>
      </c>
      <c r="HD136" s="2" t="s">
        <v>2027</v>
      </c>
    </row>
    <row r="137" spans="1:212" x14ac:dyDescent="0.45">
      <c r="A137" s="2" t="s">
        <v>2029</v>
      </c>
      <c r="B137" s="2">
        <v>135</v>
      </c>
      <c r="C137" s="2" t="s">
        <v>2014</v>
      </c>
      <c r="D137" s="2" t="s">
        <v>118</v>
      </c>
      <c r="G137" s="2"/>
      <c r="I137" s="2" t="s">
        <v>119</v>
      </c>
      <c r="J137" s="2" t="s">
        <v>2028</v>
      </c>
      <c r="K137" s="2">
        <v>721</v>
      </c>
      <c r="L137" s="2">
        <v>0</v>
      </c>
      <c r="M137" s="2" t="s">
        <v>122</v>
      </c>
      <c r="N137" s="2" t="s">
        <v>123</v>
      </c>
      <c r="P137" s="2"/>
      <c r="AD137" s="2" t="s">
        <v>124</v>
      </c>
      <c r="AE137" s="2" t="s">
        <v>234</v>
      </c>
      <c r="AF137" s="2">
        <v>1985</v>
      </c>
      <c r="AG137" s="2" t="s">
        <v>148</v>
      </c>
      <c r="AH137" s="2" t="s">
        <v>2030</v>
      </c>
      <c r="AI137" s="2" t="s">
        <v>169</v>
      </c>
      <c r="AJ137" s="2" t="s">
        <v>169</v>
      </c>
      <c r="AK137" s="2" t="s">
        <v>150</v>
      </c>
      <c r="AL137" s="2" t="s">
        <v>128</v>
      </c>
      <c r="AM137" s="2" t="s">
        <v>128</v>
      </c>
      <c r="AN137" s="2">
        <v>4</v>
      </c>
      <c r="AO137" s="2" t="s">
        <v>131</v>
      </c>
      <c r="AP137" s="2" t="s">
        <v>131</v>
      </c>
      <c r="AQ137" s="2" t="s">
        <v>2031</v>
      </c>
      <c r="AR137" s="2" t="s">
        <v>1229</v>
      </c>
      <c r="AS137" s="2" t="s">
        <v>1229</v>
      </c>
      <c r="AT137" s="2" t="s">
        <v>157</v>
      </c>
      <c r="AU137" s="2" t="s">
        <v>2032</v>
      </c>
      <c r="AV137" s="2" t="s">
        <v>123</v>
      </c>
      <c r="CP137" s="2" t="s">
        <v>123</v>
      </c>
      <c r="CZ137" s="2" t="s">
        <v>123</v>
      </c>
      <c r="DJ137" s="2" t="s">
        <v>174</v>
      </c>
      <c r="DK137" s="2" t="s">
        <v>394</v>
      </c>
      <c r="DO137" s="2" t="s">
        <v>234</v>
      </c>
      <c r="DP137" s="2" t="s">
        <v>162</v>
      </c>
      <c r="DQ137" s="2" t="s">
        <v>162</v>
      </c>
      <c r="DR137" s="2" t="s">
        <v>162</v>
      </c>
      <c r="DS137" s="2" t="s">
        <v>132</v>
      </c>
      <c r="DT137" s="2" t="s">
        <v>132</v>
      </c>
      <c r="DU137" s="2" t="s">
        <v>132</v>
      </c>
      <c r="DV137" s="2" t="s">
        <v>162</v>
      </c>
      <c r="DW137" s="2">
        <v>20</v>
      </c>
      <c r="DX137" s="2">
        <v>60</v>
      </c>
      <c r="DY137" s="2">
        <v>0</v>
      </c>
      <c r="DZ137" s="2">
        <v>0</v>
      </c>
      <c r="EA137" s="2">
        <v>0</v>
      </c>
      <c r="EB137" s="2">
        <v>20</v>
      </c>
      <c r="EC137" s="2">
        <v>0</v>
      </c>
      <c r="EE137" s="2">
        <v>20</v>
      </c>
      <c r="EF137" s="2">
        <v>60</v>
      </c>
      <c r="EG137" s="2">
        <v>0</v>
      </c>
      <c r="EH137" s="2">
        <v>0</v>
      </c>
      <c r="EI137" s="2">
        <v>0</v>
      </c>
      <c r="EJ137" s="2">
        <v>20</v>
      </c>
      <c r="EK137" s="2">
        <v>0</v>
      </c>
      <c r="EM137" s="2" t="s">
        <v>123</v>
      </c>
      <c r="FM137" s="2" t="s">
        <v>123</v>
      </c>
      <c r="GU137" s="2" t="s">
        <v>2033</v>
      </c>
      <c r="GV137" s="2" t="s">
        <v>1229</v>
      </c>
      <c r="GW137" s="2" t="s">
        <v>1229</v>
      </c>
      <c r="GX137" s="2" t="s">
        <v>186</v>
      </c>
      <c r="GY137" s="2">
        <v>1961</v>
      </c>
      <c r="GZ137" s="2" t="s">
        <v>141</v>
      </c>
    </row>
    <row r="138" spans="1:212" x14ac:dyDescent="0.45">
      <c r="A138" s="2" t="s">
        <v>2035</v>
      </c>
      <c r="B138" s="2">
        <v>136</v>
      </c>
      <c r="C138" s="2" t="s">
        <v>2014</v>
      </c>
      <c r="D138" s="2" t="s">
        <v>118</v>
      </c>
      <c r="G138" s="2"/>
      <c r="I138" s="2" t="s">
        <v>119</v>
      </c>
      <c r="J138" s="2" t="s">
        <v>2034</v>
      </c>
      <c r="K138" s="2">
        <v>1151</v>
      </c>
      <c r="L138" s="2">
        <v>0</v>
      </c>
      <c r="M138" s="2" t="s">
        <v>122</v>
      </c>
      <c r="N138" s="2" t="s">
        <v>123</v>
      </c>
      <c r="P138" s="2"/>
      <c r="AD138" s="2" t="s">
        <v>124</v>
      </c>
      <c r="AE138" s="2" t="s">
        <v>223</v>
      </c>
      <c r="AF138" s="2">
        <v>1987</v>
      </c>
      <c r="AG138" s="2" t="s">
        <v>148</v>
      </c>
      <c r="AH138" s="2" t="s">
        <v>554</v>
      </c>
      <c r="AI138" s="2" t="s">
        <v>132</v>
      </c>
      <c r="AJ138" s="2" t="s">
        <v>132</v>
      </c>
      <c r="AK138" s="2" t="s">
        <v>132</v>
      </c>
      <c r="AL138" s="2" t="s">
        <v>132</v>
      </c>
      <c r="AM138" s="2" t="s">
        <v>132</v>
      </c>
      <c r="AN138" s="2" t="s">
        <v>2036</v>
      </c>
      <c r="AO138" s="2" t="s">
        <v>132</v>
      </c>
      <c r="AP138" s="2" t="s">
        <v>132</v>
      </c>
      <c r="AR138" s="2" t="s">
        <v>1229</v>
      </c>
      <c r="AS138" s="2" t="s">
        <v>1229</v>
      </c>
      <c r="AT138" s="2" t="s">
        <v>157</v>
      </c>
      <c r="AU138" s="2" t="s">
        <v>2037</v>
      </c>
      <c r="AV138" s="2" t="s">
        <v>159</v>
      </c>
      <c r="AW138" s="2">
        <v>3</v>
      </c>
      <c r="AX138" s="2" t="s">
        <v>191</v>
      </c>
      <c r="AY138" s="2">
        <v>2020</v>
      </c>
      <c r="AZ138" s="2" t="s">
        <v>126</v>
      </c>
      <c r="BA138" s="2" t="s">
        <v>2038</v>
      </c>
      <c r="BB138" s="2" t="s">
        <v>150</v>
      </c>
      <c r="BC138" s="2" t="s">
        <v>162</v>
      </c>
      <c r="BD138" s="2" t="s">
        <v>169</v>
      </c>
      <c r="BE138" s="2" t="s">
        <v>150</v>
      </c>
      <c r="BF138" s="2" t="s">
        <v>132</v>
      </c>
      <c r="BG138" s="2" t="s">
        <v>2039</v>
      </c>
      <c r="BH138" s="2" t="s">
        <v>2040</v>
      </c>
      <c r="BI138" s="2" t="s">
        <v>157</v>
      </c>
      <c r="BL138" s="2" t="s">
        <v>166</v>
      </c>
      <c r="BM138" s="2" t="s">
        <v>191</v>
      </c>
      <c r="BN138" s="2">
        <v>2013</v>
      </c>
      <c r="BO138" s="2" t="s">
        <v>126</v>
      </c>
      <c r="BP138" s="2" t="s">
        <v>1867</v>
      </c>
      <c r="BQ138" s="2" t="s">
        <v>162</v>
      </c>
      <c r="BR138" s="2" t="s">
        <v>150</v>
      </c>
      <c r="BS138" s="2" t="s">
        <v>162</v>
      </c>
      <c r="BT138" s="2" t="s">
        <v>162</v>
      </c>
      <c r="BU138" s="2" t="s">
        <v>162</v>
      </c>
      <c r="BV138" s="2" t="s">
        <v>237</v>
      </c>
      <c r="BX138" s="2" t="s">
        <v>157</v>
      </c>
      <c r="BZ138" s="2" t="s">
        <v>2041</v>
      </c>
      <c r="CA138" s="2" t="s">
        <v>238</v>
      </c>
      <c r="CB138" s="2" t="s">
        <v>191</v>
      </c>
      <c r="CC138" s="2">
        <v>2016</v>
      </c>
      <c r="CD138" s="2" t="s">
        <v>126</v>
      </c>
      <c r="CE138" s="2" t="s">
        <v>2042</v>
      </c>
      <c r="CF138" s="2" t="s">
        <v>151</v>
      </c>
      <c r="CG138" s="2" t="s">
        <v>162</v>
      </c>
      <c r="CH138" s="2" t="s">
        <v>150</v>
      </c>
      <c r="CI138" s="2" t="s">
        <v>169</v>
      </c>
      <c r="CJ138" s="2" t="s">
        <v>150</v>
      </c>
      <c r="CK138" s="2" t="s">
        <v>237</v>
      </c>
      <c r="CL138" s="2" t="s">
        <v>2043</v>
      </c>
      <c r="CM138" s="2" t="s">
        <v>157</v>
      </c>
      <c r="CP138" s="2" t="s">
        <v>123</v>
      </c>
      <c r="CZ138" s="2" t="s">
        <v>123</v>
      </c>
      <c r="DJ138" s="2" t="s">
        <v>123</v>
      </c>
      <c r="EM138" s="2" t="s">
        <v>123</v>
      </c>
      <c r="FM138" s="2" t="s">
        <v>123</v>
      </c>
      <c r="GU138" s="2" t="s">
        <v>1229</v>
      </c>
      <c r="GV138" s="2" t="s">
        <v>1229</v>
      </c>
      <c r="GW138" s="2" t="s">
        <v>1229</v>
      </c>
      <c r="GX138" s="2" t="s">
        <v>186</v>
      </c>
      <c r="GY138" s="2">
        <v>1962</v>
      </c>
      <c r="GZ138" s="2" t="s">
        <v>141</v>
      </c>
      <c r="HC138" s="2" t="s">
        <v>2044</v>
      </c>
      <c r="HD138" s="2" t="s">
        <v>2045</v>
      </c>
    </row>
    <row r="139" spans="1:212" x14ac:dyDescent="0.45">
      <c r="A139" s="2" t="s">
        <v>2047</v>
      </c>
      <c r="B139" s="2">
        <v>137</v>
      </c>
      <c r="C139" s="2" t="s">
        <v>2014</v>
      </c>
      <c r="D139" s="2" t="s">
        <v>118</v>
      </c>
      <c r="G139" s="2"/>
      <c r="I139" s="2" t="s">
        <v>119</v>
      </c>
      <c r="J139" s="2" t="s">
        <v>2046</v>
      </c>
      <c r="K139" s="2">
        <v>707</v>
      </c>
      <c r="L139" s="2">
        <v>0</v>
      </c>
      <c r="M139" s="2" t="s">
        <v>122</v>
      </c>
      <c r="N139" s="2" t="s">
        <v>123</v>
      </c>
      <c r="P139" s="2"/>
      <c r="AD139" s="2" t="s">
        <v>124</v>
      </c>
      <c r="AE139" s="2" t="s">
        <v>191</v>
      </c>
      <c r="AF139" s="2">
        <v>1985</v>
      </c>
      <c r="AG139" s="2" t="s">
        <v>126</v>
      </c>
      <c r="AH139" s="2" t="s">
        <v>2017</v>
      </c>
      <c r="AI139" s="2" t="s">
        <v>150</v>
      </c>
      <c r="AJ139" s="2" t="s">
        <v>150</v>
      </c>
      <c r="AK139" s="2" t="s">
        <v>151</v>
      </c>
      <c r="AL139" s="2" t="s">
        <v>236</v>
      </c>
      <c r="AM139" s="2" t="s">
        <v>150</v>
      </c>
      <c r="AN139" s="2" t="s">
        <v>237</v>
      </c>
      <c r="AO139" s="2" t="s">
        <v>152</v>
      </c>
      <c r="AP139" s="2" t="s">
        <v>759</v>
      </c>
      <c r="AQ139" s="2" t="s">
        <v>2048</v>
      </c>
      <c r="AR139" s="2" t="s">
        <v>1229</v>
      </c>
      <c r="AS139" s="2" t="s">
        <v>1229</v>
      </c>
      <c r="AT139" s="2" t="s">
        <v>157</v>
      </c>
      <c r="AU139" s="2" t="s">
        <v>2032</v>
      </c>
      <c r="AV139" s="2" t="s">
        <v>159</v>
      </c>
      <c r="AW139" s="2">
        <v>1</v>
      </c>
      <c r="AX139" s="2" t="s">
        <v>191</v>
      </c>
      <c r="AY139" s="2">
        <v>2018</v>
      </c>
      <c r="AZ139" s="2" t="s">
        <v>126</v>
      </c>
      <c r="BA139" s="2" t="s">
        <v>2049</v>
      </c>
      <c r="BB139" s="2" t="s">
        <v>151</v>
      </c>
      <c r="BC139" s="2" t="s">
        <v>151</v>
      </c>
      <c r="BD139" s="2" t="s">
        <v>128</v>
      </c>
      <c r="BE139" s="2" t="s">
        <v>162</v>
      </c>
      <c r="BF139" s="2" t="s">
        <v>132</v>
      </c>
      <c r="BG139" s="2">
        <v>12</v>
      </c>
      <c r="BH139" s="2" t="s">
        <v>2050</v>
      </c>
      <c r="BI139" s="2" t="s">
        <v>157</v>
      </c>
      <c r="BL139" s="2" t="s">
        <v>173</v>
      </c>
      <c r="CP139" s="2" t="s">
        <v>123</v>
      </c>
      <c r="CZ139" s="2" t="s">
        <v>123</v>
      </c>
      <c r="DJ139" s="2" t="s">
        <v>123</v>
      </c>
      <c r="EM139" s="2" t="s">
        <v>177</v>
      </c>
      <c r="EN139" s="2" t="s">
        <v>178</v>
      </c>
      <c r="EO139" s="2">
        <v>2</v>
      </c>
      <c r="EP139" s="2" t="s">
        <v>191</v>
      </c>
      <c r="EQ139" s="2" t="s">
        <v>151</v>
      </c>
      <c r="ER139" s="2" t="s">
        <v>162</v>
      </c>
      <c r="ES139" s="2" t="s">
        <v>151</v>
      </c>
      <c r="ET139" s="2" t="s">
        <v>178</v>
      </c>
      <c r="EU139" s="2" t="s">
        <v>2051</v>
      </c>
      <c r="EV139" s="2" t="s">
        <v>2052</v>
      </c>
      <c r="EW139" s="2" t="s">
        <v>1206</v>
      </c>
      <c r="EX139" s="2" t="s">
        <v>223</v>
      </c>
      <c r="EY139" s="2" t="s">
        <v>162</v>
      </c>
      <c r="EZ139" s="2" t="s">
        <v>162</v>
      </c>
      <c r="FA139" s="2" t="s">
        <v>151</v>
      </c>
      <c r="FB139" s="2" t="s">
        <v>178</v>
      </c>
      <c r="FC139" s="2" t="s">
        <v>2053</v>
      </c>
      <c r="FD139" s="2" t="s">
        <v>2054</v>
      </c>
      <c r="FE139" s="2" t="s">
        <v>173</v>
      </c>
      <c r="FM139" s="2" t="s">
        <v>123</v>
      </c>
      <c r="GU139" s="2" t="s">
        <v>1229</v>
      </c>
      <c r="GV139" s="2" t="s">
        <v>1229</v>
      </c>
      <c r="GW139" s="2" t="s">
        <v>1229</v>
      </c>
      <c r="GX139" s="2" t="s">
        <v>186</v>
      </c>
      <c r="GY139" s="2">
        <v>1959</v>
      </c>
      <c r="GZ139" s="2" t="s">
        <v>141</v>
      </c>
      <c r="HB139" s="2" t="s">
        <v>2055</v>
      </c>
      <c r="HD139" s="2" t="s">
        <v>2056</v>
      </c>
    </row>
    <row r="140" spans="1:212" x14ac:dyDescent="0.45">
      <c r="A140" s="2" t="s">
        <v>2058</v>
      </c>
      <c r="B140" s="2">
        <v>138</v>
      </c>
      <c r="C140" s="2" t="s">
        <v>2014</v>
      </c>
      <c r="D140" s="2" t="s">
        <v>118</v>
      </c>
      <c r="G140" s="2"/>
      <c r="I140" s="2" t="s">
        <v>119</v>
      </c>
      <c r="J140" s="2" t="s">
        <v>2057</v>
      </c>
      <c r="K140" s="2">
        <v>616</v>
      </c>
      <c r="L140" s="2">
        <v>0</v>
      </c>
      <c r="M140" s="2" t="s">
        <v>122</v>
      </c>
      <c r="N140" s="2" t="s">
        <v>123</v>
      </c>
      <c r="P140" s="2"/>
      <c r="AD140" s="2" t="s">
        <v>124</v>
      </c>
      <c r="AE140" s="2" t="s">
        <v>223</v>
      </c>
      <c r="AF140" s="2">
        <v>1992</v>
      </c>
      <c r="AG140" s="2" t="s">
        <v>148</v>
      </c>
      <c r="AH140" s="2" t="s">
        <v>2059</v>
      </c>
      <c r="AI140" s="2" t="s">
        <v>150</v>
      </c>
      <c r="AJ140" s="2" t="s">
        <v>169</v>
      </c>
      <c r="AK140" s="2" t="s">
        <v>150</v>
      </c>
      <c r="AL140" s="2" t="s">
        <v>151</v>
      </c>
      <c r="AM140" s="2" t="s">
        <v>162</v>
      </c>
      <c r="AN140" s="2">
        <v>0</v>
      </c>
      <c r="AO140" s="2" t="s">
        <v>131</v>
      </c>
      <c r="AP140" s="2" t="s">
        <v>302</v>
      </c>
      <c r="AQ140" s="2" t="s">
        <v>2060</v>
      </c>
      <c r="AR140" s="2" t="s">
        <v>1229</v>
      </c>
      <c r="AS140" s="2" t="s">
        <v>1229</v>
      </c>
      <c r="AT140" s="2" t="s">
        <v>157</v>
      </c>
      <c r="AU140" s="2" t="s">
        <v>2032</v>
      </c>
      <c r="AV140" s="2" t="s">
        <v>159</v>
      </c>
      <c r="AW140" s="2">
        <v>1</v>
      </c>
      <c r="AX140" s="2" t="s">
        <v>445</v>
      </c>
      <c r="AY140" s="2">
        <v>2019</v>
      </c>
      <c r="AZ140" s="2" t="s">
        <v>148</v>
      </c>
      <c r="BA140" s="2" t="s">
        <v>461</v>
      </c>
      <c r="BB140" s="2" t="s">
        <v>169</v>
      </c>
      <c r="BC140" s="2" t="s">
        <v>169</v>
      </c>
      <c r="BD140" s="2" t="s">
        <v>169</v>
      </c>
      <c r="BE140" s="2" t="s">
        <v>169</v>
      </c>
      <c r="BF140" s="2" t="s">
        <v>132</v>
      </c>
      <c r="BG140" s="2" t="s">
        <v>2020</v>
      </c>
      <c r="BH140" s="2" t="s">
        <v>2061</v>
      </c>
      <c r="BI140" s="2" t="s">
        <v>157</v>
      </c>
      <c r="BK140" s="2" t="s">
        <v>2062</v>
      </c>
      <c r="BL140" s="2" t="s">
        <v>173</v>
      </c>
      <c r="CP140" s="2" t="s">
        <v>123</v>
      </c>
      <c r="CZ140" s="2" t="s">
        <v>123</v>
      </c>
      <c r="DJ140" s="2" t="s">
        <v>123</v>
      </c>
      <c r="EM140" s="2" t="s">
        <v>123</v>
      </c>
      <c r="FM140" s="2" t="s">
        <v>2022</v>
      </c>
      <c r="FN140" s="2" t="s">
        <v>2023</v>
      </c>
      <c r="FO140" s="2" t="s">
        <v>2063</v>
      </c>
      <c r="FP140" s="2">
        <v>1</v>
      </c>
      <c r="FQ140" s="2" t="s">
        <v>191</v>
      </c>
      <c r="FR140" s="2" t="s">
        <v>150</v>
      </c>
      <c r="FS140" s="2" t="s">
        <v>150</v>
      </c>
      <c r="FT140" s="2" t="s">
        <v>169</v>
      </c>
      <c r="FU140" s="2" t="s">
        <v>169</v>
      </c>
      <c r="FV140" s="2" t="s">
        <v>132</v>
      </c>
      <c r="FW140" s="2" t="s">
        <v>132</v>
      </c>
      <c r="FX140" s="2" t="s">
        <v>169</v>
      </c>
      <c r="GA140" s="2" t="s">
        <v>173</v>
      </c>
      <c r="GU140" s="2" t="s">
        <v>1229</v>
      </c>
      <c r="GV140" s="2" t="s">
        <v>1229</v>
      </c>
      <c r="GW140" s="2" t="s">
        <v>1229</v>
      </c>
      <c r="GX140" s="2" t="s">
        <v>186</v>
      </c>
      <c r="GY140" s="2">
        <v>1968</v>
      </c>
      <c r="GZ140" s="2" t="s">
        <v>220</v>
      </c>
      <c r="HB140" s="2" t="s">
        <v>2055</v>
      </c>
      <c r="HD140" s="2" t="s">
        <v>2064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0EE0-9811-44A8-8E75-1814665F5535}">
  <dimension ref="B2:G62"/>
  <sheetViews>
    <sheetView topLeftCell="A37" workbookViewId="0">
      <selection activeCell="B45" sqref="B45:C52"/>
    </sheetView>
  </sheetViews>
  <sheetFormatPr defaultRowHeight="14.25" x14ac:dyDescent="0.45"/>
  <cols>
    <col min="1" max="1" width="18.33203125" customWidth="1"/>
    <col min="2" max="2" width="29.46484375" customWidth="1"/>
    <col min="3" max="3" width="23.6640625" customWidth="1"/>
  </cols>
  <sheetData>
    <row r="2" spans="2:3" x14ac:dyDescent="0.45">
      <c r="B2" s="20" t="s">
        <v>2319</v>
      </c>
      <c r="C2" s="20" t="s">
        <v>2312</v>
      </c>
    </row>
    <row r="3" spans="2:3" x14ac:dyDescent="0.45">
      <c r="B3">
        <v>1930</v>
      </c>
      <c r="C3" s="20" t="s">
        <v>2318</v>
      </c>
    </row>
    <row r="4" spans="2:3" x14ac:dyDescent="0.45">
      <c r="B4">
        <v>1955</v>
      </c>
      <c r="C4" s="20" t="s">
        <v>2317</v>
      </c>
    </row>
    <row r="5" spans="2:3" x14ac:dyDescent="0.45">
      <c r="B5">
        <v>1965</v>
      </c>
      <c r="C5" s="20" t="s">
        <v>2316</v>
      </c>
    </row>
    <row r="6" spans="2:3" x14ac:dyDescent="0.45">
      <c r="B6">
        <v>1975</v>
      </c>
      <c r="C6" s="20" t="s">
        <v>2315</v>
      </c>
    </row>
    <row r="7" spans="2:3" x14ac:dyDescent="0.45">
      <c r="B7">
        <v>1985</v>
      </c>
      <c r="C7" s="20" t="s">
        <v>2314</v>
      </c>
    </row>
    <row r="8" spans="2:3" x14ac:dyDescent="0.45">
      <c r="B8">
        <v>1995</v>
      </c>
      <c r="C8" s="20" t="s">
        <v>2313</v>
      </c>
    </row>
    <row r="9" spans="2:3" x14ac:dyDescent="0.45">
      <c r="C9" s="20"/>
    </row>
    <row r="10" spans="2:3" x14ac:dyDescent="0.45">
      <c r="C10" s="20"/>
    </row>
    <row r="11" spans="2:3" x14ac:dyDescent="0.45">
      <c r="B11" s="20" t="s">
        <v>2323</v>
      </c>
      <c r="C11" s="20" t="s">
        <v>2328</v>
      </c>
    </row>
    <row r="12" spans="2:3" x14ac:dyDescent="0.45">
      <c r="B12" s="28" t="s">
        <v>987</v>
      </c>
      <c r="C12" s="20" t="s">
        <v>2327</v>
      </c>
    </row>
    <row r="13" spans="2:3" x14ac:dyDescent="0.45">
      <c r="B13" s="28" t="s">
        <v>1503</v>
      </c>
      <c r="C13" s="20" t="s">
        <v>2325</v>
      </c>
    </row>
    <row r="14" spans="2:3" x14ac:dyDescent="0.45">
      <c r="B14" s="28" t="s">
        <v>234</v>
      </c>
      <c r="C14" s="20" t="s">
        <v>2325</v>
      </c>
    </row>
    <row r="15" spans="2:3" ht="28.5" x14ac:dyDescent="0.45">
      <c r="B15" s="28" t="s">
        <v>2270</v>
      </c>
      <c r="C15" s="20" t="s">
        <v>2325</v>
      </c>
    </row>
    <row r="16" spans="2:3" x14ac:dyDescent="0.45">
      <c r="B16" s="28" t="s">
        <v>2269</v>
      </c>
      <c r="C16" s="20" t="s">
        <v>2325</v>
      </c>
    </row>
    <row r="17" spans="2:3" ht="28.5" x14ac:dyDescent="0.45">
      <c r="B17" s="28" t="s">
        <v>2268</v>
      </c>
      <c r="C17" s="20" t="s">
        <v>2325</v>
      </c>
    </row>
    <row r="18" spans="2:3" x14ac:dyDescent="0.45">
      <c r="B18" s="28" t="s">
        <v>995</v>
      </c>
      <c r="C18" s="20" t="s">
        <v>2325</v>
      </c>
    </row>
    <row r="19" spans="2:3" x14ac:dyDescent="0.45">
      <c r="B19" s="28" t="s">
        <v>1461</v>
      </c>
      <c r="C19" s="20" t="s">
        <v>2325</v>
      </c>
    </row>
    <row r="20" spans="2:3" x14ac:dyDescent="0.45">
      <c r="B20" s="28" t="s">
        <v>428</v>
      </c>
      <c r="C20" s="20" t="s">
        <v>2325</v>
      </c>
    </row>
    <row r="21" spans="2:3" x14ac:dyDescent="0.45">
      <c r="B21" s="28" t="s">
        <v>191</v>
      </c>
      <c r="C21" s="20" t="s">
        <v>2325</v>
      </c>
    </row>
    <row r="22" spans="2:3" x14ac:dyDescent="0.45">
      <c r="B22" s="28" t="s">
        <v>2322</v>
      </c>
      <c r="C22" s="20" t="s">
        <v>2325</v>
      </c>
    </row>
    <row r="23" spans="2:3" x14ac:dyDescent="0.45">
      <c r="B23" s="28" t="s">
        <v>1415</v>
      </c>
      <c r="C23" s="20" t="s">
        <v>2325</v>
      </c>
    </row>
    <row r="24" spans="2:3" x14ac:dyDescent="0.45">
      <c r="B24" s="28" t="s">
        <v>1090</v>
      </c>
      <c r="C24" s="20" t="s">
        <v>2325</v>
      </c>
    </row>
    <row r="25" spans="2:3" x14ac:dyDescent="0.45">
      <c r="B25" s="28" t="s">
        <v>862</v>
      </c>
      <c r="C25" s="20" t="s">
        <v>2325</v>
      </c>
    </row>
    <row r="26" spans="2:3" x14ac:dyDescent="0.45">
      <c r="B26" s="28" t="s">
        <v>1290</v>
      </c>
      <c r="C26" s="20" t="s">
        <v>2327</v>
      </c>
    </row>
    <row r="27" spans="2:3" x14ac:dyDescent="0.45">
      <c r="B27" s="28" t="s">
        <v>1514</v>
      </c>
      <c r="C27" s="20" t="s">
        <v>2326</v>
      </c>
    </row>
    <row r="28" spans="2:3" ht="28.5" x14ac:dyDescent="0.45">
      <c r="B28" s="28" t="s">
        <v>2271</v>
      </c>
      <c r="C28" s="20" t="s">
        <v>2325</v>
      </c>
    </row>
    <row r="29" spans="2:3" ht="28.5" x14ac:dyDescent="0.45">
      <c r="B29" s="28" t="s">
        <v>553</v>
      </c>
      <c r="C29" s="20" t="s">
        <v>2325</v>
      </c>
    </row>
    <row r="30" spans="2:3" ht="28.5" x14ac:dyDescent="0.45">
      <c r="B30" s="28" t="s">
        <v>1472</v>
      </c>
      <c r="C30" s="20" t="s">
        <v>2325</v>
      </c>
    </row>
    <row r="31" spans="2:3" x14ac:dyDescent="0.45">
      <c r="B31" s="28" t="s">
        <v>223</v>
      </c>
      <c r="C31" s="20" t="s">
        <v>2325</v>
      </c>
    </row>
    <row r="32" spans="2:3" x14ac:dyDescent="0.45">
      <c r="B32" s="28" t="s">
        <v>445</v>
      </c>
      <c r="C32" s="20" t="s">
        <v>2325</v>
      </c>
    </row>
    <row r="33" spans="2:3" ht="28.5" x14ac:dyDescent="0.45">
      <c r="B33" s="28" t="s">
        <v>2272</v>
      </c>
      <c r="C33" s="20" t="s">
        <v>2325</v>
      </c>
    </row>
    <row r="34" spans="2:3" x14ac:dyDescent="0.45">
      <c r="B34" s="28" t="s">
        <v>813</v>
      </c>
      <c r="C34" s="20" t="s">
        <v>2325</v>
      </c>
    </row>
    <row r="35" spans="2:3" x14ac:dyDescent="0.45">
      <c r="B35" s="28" t="s">
        <v>1712</v>
      </c>
      <c r="C35" s="20" t="s">
        <v>2325</v>
      </c>
    </row>
    <row r="36" spans="2:3" ht="28.5" x14ac:dyDescent="0.45">
      <c r="B36" s="28" t="s">
        <v>1636</v>
      </c>
      <c r="C36" s="20" t="s">
        <v>2325</v>
      </c>
    </row>
    <row r="37" spans="2:3" x14ac:dyDescent="0.45">
      <c r="B37" s="28" t="s">
        <v>975</v>
      </c>
      <c r="C37" s="20" t="s">
        <v>2325</v>
      </c>
    </row>
    <row r="38" spans="2:3" x14ac:dyDescent="0.45">
      <c r="B38" s="28" t="s">
        <v>701</v>
      </c>
      <c r="C38" s="20" t="s">
        <v>2325</v>
      </c>
    </row>
    <row r="39" spans="2:3" x14ac:dyDescent="0.45">
      <c r="B39" s="28" t="s">
        <v>800</v>
      </c>
      <c r="C39" s="20" t="s">
        <v>2325</v>
      </c>
    </row>
    <row r="40" spans="2:3" x14ac:dyDescent="0.45">
      <c r="B40" s="28" t="s">
        <v>160</v>
      </c>
      <c r="C40" s="20" t="s">
        <v>2325</v>
      </c>
    </row>
    <row r="41" spans="2:3" x14ac:dyDescent="0.45">
      <c r="B41" s="28" t="s">
        <v>1439</v>
      </c>
      <c r="C41" s="20" t="s">
        <v>2327</v>
      </c>
    </row>
    <row r="43" spans="2:3" x14ac:dyDescent="0.45">
      <c r="B43" s="29" t="s">
        <v>2332</v>
      </c>
    </row>
    <row r="44" spans="2:3" x14ac:dyDescent="0.45">
      <c r="B44" s="20" t="s">
        <v>2334</v>
      </c>
      <c r="C44" s="20" t="s">
        <v>2335</v>
      </c>
    </row>
    <row r="45" spans="2:3" x14ac:dyDescent="0.45">
      <c r="B45" t="s">
        <v>169</v>
      </c>
      <c r="C45">
        <v>7</v>
      </c>
    </row>
    <row r="46" spans="2:3" x14ac:dyDescent="0.45">
      <c r="B46" t="s">
        <v>150</v>
      </c>
      <c r="C46">
        <v>6</v>
      </c>
    </row>
    <row r="47" spans="2:3" x14ac:dyDescent="0.45">
      <c r="B47" t="s">
        <v>162</v>
      </c>
      <c r="C47">
        <v>5</v>
      </c>
    </row>
    <row r="48" spans="2:3" x14ac:dyDescent="0.45">
      <c r="B48" t="s">
        <v>151</v>
      </c>
      <c r="C48">
        <v>4</v>
      </c>
    </row>
    <row r="49" spans="2:7" x14ac:dyDescent="0.45">
      <c r="B49" t="s">
        <v>128</v>
      </c>
      <c r="C49">
        <v>3</v>
      </c>
    </row>
    <row r="50" spans="2:7" x14ac:dyDescent="0.45">
      <c r="B50" t="s">
        <v>236</v>
      </c>
      <c r="C50">
        <v>2</v>
      </c>
    </row>
    <row r="51" spans="2:7" x14ac:dyDescent="0.45">
      <c r="B51" t="s">
        <v>129</v>
      </c>
      <c r="C51">
        <v>1</v>
      </c>
    </row>
    <row r="52" spans="2:7" x14ac:dyDescent="0.45">
      <c r="B52" t="s">
        <v>132</v>
      </c>
      <c r="C52" s="20" t="s">
        <v>2333</v>
      </c>
    </row>
    <row r="57" spans="2:7" x14ac:dyDescent="0.45">
      <c r="G57" s="44" t="s">
        <v>398</v>
      </c>
    </row>
    <row r="58" spans="2:7" x14ac:dyDescent="0.45">
      <c r="G58" s="45" t="s">
        <v>141</v>
      </c>
    </row>
    <row r="59" spans="2:7" x14ac:dyDescent="0.45">
      <c r="G59" s="45" t="s">
        <v>483</v>
      </c>
    </row>
    <row r="60" spans="2:7" x14ac:dyDescent="0.45">
      <c r="G60" s="45" t="s">
        <v>246</v>
      </c>
    </row>
    <row r="61" spans="2:7" x14ac:dyDescent="0.45">
      <c r="G61" s="45" t="s">
        <v>220</v>
      </c>
    </row>
    <row r="62" spans="2:7" x14ac:dyDescent="0.45">
      <c r="G62" s="45" t="s">
        <v>1630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Zestawienia</vt:lpstr>
      <vt:lpstr>Ankiety_analiza(czyszczone)</vt:lpstr>
      <vt:lpstr>PivotCzyste</vt:lpstr>
      <vt:lpstr>PivotNieCzyszczone</vt:lpstr>
      <vt:lpstr>AnkietyNieOczyszczone</vt:lpstr>
      <vt:lpstr>Ankiety_wszystkie</vt:lpstr>
      <vt:lpstr>Ankiety_zakończone</vt:lpstr>
      <vt:lpstr>TabeleGrup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cp:lastPrinted>2023-01-11T07:17:00Z</cp:lastPrinted>
  <dcterms:created xsi:type="dcterms:W3CDTF">2022-08-15T09:02:52Z</dcterms:created>
  <dcterms:modified xsi:type="dcterms:W3CDTF">2023-02-18T08:17:35Z</dcterms:modified>
  <cp:category>wyniki indywidualne</cp:category>
</cp:coreProperties>
</file>