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0E582E50-C1B1-466C-9CFA-A5E5DA34C365}" xr6:coauthVersionLast="47" xr6:coauthVersionMax="47" xr10:uidLastSave="{00000000-0000-0000-0000-000000000000}"/>
  <bookViews>
    <workbookView xWindow="-2160" yWindow="-21730" windowWidth="37730" windowHeight="21860" xr2:uid="{5CDD05D1-B91C-47AD-9058-2B6F85536433}"/>
  </bookViews>
  <sheets>
    <sheet name="Ankiety_analiza(czyszczone)" sheetId="5" r:id="rId1"/>
    <sheet name="TabeleGrup" sheetId="8" r:id="rId2"/>
    <sheet name="PivotCzyste" sheetId="6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Zestawienia_ilościowe" sheetId="7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B34" i="5" l="1"/>
  <c r="AA34" i="5"/>
  <c r="GV34" i="5"/>
  <c r="B35" i="5"/>
  <c r="AA35" i="5"/>
  <c r="GV35" i="5"/>
  <c r="B36" i="5"/>
  <c r="AA36" i="5"/>
  <c r="GV36" i="5"/>
  <c r="B37" i="5"/>
  <c r="AA37" i="5"/>
  <c r="C37" i="5" s="1"/>
  <c r="GV37" i="5"/>
  <c r="B38" i="5"/>
  <c r="AA38" i="5"/>
  <c r="GV38" i="5"/>
  <c r="B39" i="5"/>
  <c r="AA39" i="5"/>
  <c r="GV39" i="5"/>
  <c r="B40" i="5"/>
  <c r="AA40" i="5"/>
  <c r="GV40" i="5"/>
  <c r="B41" i="5"/>
  <c r="AA41" i="5"/>
  <c r="GV41" i="5"/>
  <c r="B42" i="5"/>
  <c r="AA42" i="5"/>
  <c r="GV42" i="5"/>
  <c r="B43" i="5"/>
  <c r="AA43" i="5"/>
  <c r="GV43" i="5"/>
  <c r="B44" i="5"/>
  <c r="AA44" i="5"/>
  <c r="GV44" i="5"/>
  <c r="B8" i="5"/>
  <c r="AA8" i="5"/>
  <c r="C8" i="5" s="1"/>
  <c r="GV8" i="5"/>
  <c r="B46" i="5"/>
  <c r="AA46" i="5"/>
  <c r="GV46" i="5"/>
  <c r="B47" i="5"/>
  <c r="AA47" i="5"/>
  <c r="GV47" i="5"/>
  <c r="B48" i="5"/>
  <c r="AA48" i="5"/>
  <c r="GV48" i="5"/>
  <c r="B49" i="5"/>
  <c r="AA49" i="5"/>
  <c r="GV49" i="5"/>
  <c r="B50" i="5"/>
  <c r="AA50" i="5"/>
  <c r="GV50" i="5"/>
  <c r="B51" i="5"/>
  <c r="AA51" i="5"/>
  <c r="GV51" i="5"/>
  <c r="B52" i="5"/>
  <c r="AA52" i="5"/>
  <c r="GV52" i="5"/>
  <c r="B53" i="5"/>
  <c r="AA53" i="5"/>
  <c r="GV53" i="5"/>
  <c r="B54" i="5"/>
  <c r="AA54" i="5"/>
  <c r="GV54" i="5"/>
  <c r="B55" i="5"/>
  <c r="AA55" i="5"/>
  <c r="GV55" i="5"/>
  <c r="B56" i="5"/>
  <c r="AA56" i="5"/>
  <c r="GV56" i="5"/>
  <c r="B57" i="5"/>
  <c r="AA57" i="5"/>
  <c r="GV57" i="5"/>
  <c r="B58" i="5"/>
  <c r="AA58" i="5"/>
  <c r="GV58" i="5"/>
  <c r="B59" i="5"/>
  <c r="AA59" i="5"/>
  <c r="GV59" i="5"/>
  <c r="B60" i="5"/>
  <c r="AA60" i="5"/>
  <c r="GV60" i="5"/>
  <c r="B61" i="5"/>
  <c r="AA61" i="5"/>
  <c r="GV61" i="5"/>
  <c r="B11" i="5"/>
  <c r="AA11" i="5"/>
  <c r="GV11" i="5"/>
  <c r="B63" i="5"/>
  <c r="AA63" i="5"/>
  <c r="GV63" i="5"/>
  <c r="B64" i="5"/>
  <c r="AA64" i="5"/>
  <c r="GV64" i="5"/>
  <c r="B65" i="5"/>
  <c r="AA65" i="5"/>
  <c r="GV65" i="5"/>
  <c r="B66" i="5"/>
  <c r="AA66" i="5"/>
  <c r="C66" i="5" s="1"/>
  <c r="GV66" i="5"/>
  <c r="B67" i="5"/>
  <c r="AA67" i="5"/>
  <c r="C67" i="5" s="1"/>
  <c r="GV67" i="5"/>
  <c r="B68" i="5"/>
  <c r="AA68" i="5"/>
  <c r="GV68" i="5"/>
  <c r="B69" i="5"/>
  <c r="AA69" i="5"/>
  <c r="GV69" i="5"/>
  <c r="B70" i="5"/>
  <c r="AA70" i="5"/>
  <c r="GV70" i="5"/>
  <c r="B71" i="5"/>
  <c r="AA71" i="5"/>
  <c r="GV71" i="5"/>
  <c r="B72" i="5"/>
  <c r="AA72" i="5"/>
  <c r="GV72" i="5"/>
  <c r="B73" i="5"/>
  <c r="AA73" i="5"/>
  <c r="GV73" i="5"/>
  <c r="B74" i="5"/>
  <c r="AA74" i="5"/>
  <c r="C74" i="5" s="1"/>
  <c r="GV74" i="5"/>
  <c r="B75" i="5"/>
  <c r="AA75" i="5"/>
  <c r="C75" i="5" s="1"/>
  <c r="GV75" i="5"/>
  <c r="B76" i="5"/>
  <c r="AA76" i="5"/>
  <c r="GV76" i="5"/>
  <c r="B77" i="5"/>
  <c r="AA77" i="5"/>
  <c r="GV77" i="5"/>
  <c r="B78" i="5"/>
  <c r="AA78" i="5"/>
  <c r="GV78" i="5"/>
  <c r="B79" i="5"/>
  <c r="AA79" i="5"/>
  <c r="GV79" i="5"/>
  <c r="B80" i="5"/>
  <c r="AA80" i="5"/>
  <c r="GV80" i="5"/>
  <c r="B81" i="5"/>
  <c r="AA81" i="5"/>
  <c r="GV81" i="5"/>
  <c r="B82" i="5"/>
  <c r="AA82" i="5"/>
  <c r="C82" i="5" s="1"/>
  <c r="GV82" i="5"/>
  <c r="B83" i="5"/>
  <c r="AA83" i="5"/>
  <c r="C83" i="5" s="1"/>
  <c r="GV83" i="5"/>
  <c r="B84" i="5"/>
  <c r="AA84" i="5"/>
  <c r="GV84" i="5"/>
  <c r="B85" i="5"/>
  <c r="AA85" i="5"/>
  <c r="GV85" i="5"/>
  <c r="B86" i="5"/>
  <c r="AA86" i="5"/>
  <c r="GV86" i="5"/>
  <c r="B87" i="5"/>
  <c r="AA87" i="5"/>
  <c r="GV87" i="5"/>
  <c r="B88" i="5"/>
  <c r="AA88" i="5"/>
  <c r="GV88" i="5"/>
  <c r="B89" i="5"/>
  <c r="AA89" i="5"/>
  <c r="GV89" i="5"/>
  <c r="B90" i="5"/>
  <c r="AA90" i="5"/>
  <c r="C90" i="5" s="1"/>
  <c r="GV90" i="5"/>
  <c r="B91" i="5"/>
  <c r="AA91" i="5"/>
  <c r="C91" i="5" s="1"/>
  <c r="GV91" i="5"/>
  <c r="B92" i="5"/>
  <c r="AA92" i="5"/>
  <c r="GV92" i="5"/>
  <c r="B93" i="5"/>
  <c r="AA93" i="5"/>
  <c r="C93" i="5" s="1"/>
  <c r="GV93" i="5"/>
  <c r="B94" i="5"/>
  <c r="AA94" i="5"/>
  <c r="GV94" i="5"/>
  <c r="B95" i="5"/>
  <c r="AA95" i="5"/>
  <c r="GV95" i="5"/>
  <c r="B96" i="5"/>
  <c r="AA96" i="5"/>
  <c r="GV96" i="5"/>
  <c r="B97" i="5"/>
  <c r="AA97" i="5"/>
  <c r="GV97" i="5"/>
  <c r="B98" i="5"/>
  <c r="AA98" i="5"/>
  <c r="GV98" i="5"/>
  <c r="B99" i="5"/>
  <c r="AA99" i="5"/>
  <c r="GV99" i="5"/>
  <c r="B100" i="5"/>
  <c r="AA100" i="5"/>
  <c r="GV100" i="5"/>
  <c r="B101" i="5"/>
  <c r="AA101" i="5"/>
  <c r="GV101" i="5"/>
  <c r="B102" i="5"/>
  <c r="AA102" i="5"/>
  <c r="GV102" i="5"/>
  <c r="B103" i="5"/>
  <c r="AA103" i="5"/>
  <c r="GV103" i="5"/>
  <c r="B104" i="5"/>
  <c r="AA104" i="5"/>
  <c r="GV104" i="5"/>
  <c r="B105" i="5"/>
  <c r="AA105" i="5"/>
  <c r="GV105" i="5"/>
  <c r="B106" i="5"/>
  <c r="AA106" i="5"/>
  <c r="GV106" i="5"/>
  <c r="B107" i="5"/>
  <c r="AA107" i="5"/>
  <c r="GV107" i="5"/>
  <c r="B108" i="5"/>
  <c r="AA108" i="5"/>
  <c r="GV108" i="5"/>
  <c r="B109" i="5"/>
  <c r="AA109" i="5"/>
  <c r="GV109" i="5"/>
  <c r="B110" i="5"/>
  <c r="AA110" i="5"/>
  <c r="GV110" i="5"/>
  <c r="B111" i="5"/>
  <c r="AA111" i="5"/>
  <c r="GV111" i="5"/>
  <c r="B112" i="5"/>
  <c r="AA112" i="5"/>
  <c r="GV112" i="5"/>
  <c r="B113" i="5"/>
  <c r="AA113" i="5"/>
  <c r="GV113" i="5"/>
  <c r="B114" i="5"/>
  <c r="AA114" i="5"/>
  <c r="GV114" i="5"/>
  <c r="B115" i="5"/>
  <c r="AA115" i="5"/>
  <c r="GV115" i="5"/>
  <c r="B116" i="5"/>
  <c r="AA116" i="5"/>
  <c r="GV116" i="5"/>
  <c r="B117" i="5"/>
  <c r="AA117" i="5"/>
  <c r="GV117" i="5"/>
  <c r="B118" i="5"/>
  <c r="AA118" i="5"/>
  <c r="GV118" i="5"/>
  <c r="B119" i="5"/>
  <c r="AA119" i="5"/>
  <c r="GV119" i="5"/>
  <c r="B120" i="5"/>
  <c r="AA120" i="5"/>
  <c r="GV120" i="5"/>
  <c r="B121" i="5"/>
  <c r="AA121" i="5"/>
  <c r="GV121" i="5"/>
  <c r="B122" i="5"/>
  <c r="AA122" i="5"/>
  <c r="GV122" i="5"/>
  <c r="B123" i="5"/>
  <c r="AA123" i="5"/>
  <c r="GV123" i="5"/>
  <c r="B124" i="5"/>
  <c r="AA124" i="5"/>
  <c r="GV124" i="5"/>
  <c r="B125" i="5"/>
  <c r="AA125" i="5"/>
  <c r="GV125" i="5"/>
  <c r="B126" i="5"/>
  <c r="AA126" i="5"/>
  <c r="GV126" i="5"/>
  <c r="B127" i="5"/>
  <c r="AA127" i="5"/>
  <c r="GV127" i="5"/>
  <c r="B128" i="5"/>
  <c r="AA128" i="5"/>
  <c r="GV128" i="5"/>
  <c r="B129" i="5"/>
  <c r="AA129" i="5"/>
  <c r="GV129" i="5"/>
  <c r="B130" i="5"/>
  <c r="AA130" i="5"/>
  <c r="GV130" i="5"/>
  <c r="B131" i="5"/>
  <c r="AA131" i="5"/>
  <c r="GV131" i="5"/>
  <c r="B132" i="5"/>
  <c r="AA132" i="5"/>
  <c r="GV132" i="5"/>
  <c r="B133" i="5"/>
  <c r="AA133" i="5"/>
  <c r="GV133" i="5"/>
  <c r="B134" i="5"/>
  <c r="AA134" i="5"/>
  <c r="GV134" i="5"/>
  <c r="B135" i="5"/>
  <c r="AA135" i="5"/>
  <c r="GV135" i="5"/>
  <c r="C58" i="5" l="1"/>
  <c r="C50" i="5"/>
  <c r="C42" i="5"/>
  <c r="C34" i="5"/>
  <c r="C126" i="5"/>
  <c r="C118" i="5"/>
  <c r="C110" i="5"/>
  <c r="C102" i="5"/>
  <c r="C94" i="5"/>
  <c r="C54" i="5"/>
  <c r="C46" i="5"/>
  <c r="C38" i="5"/>
  <c r="C130" i="5"/>
  <c r="C122" i="5"/>
  <c r="C114" i="5"/>
  <c r="C106" i="5"/>
  <c r="C98" i="5"/>
  <c r="C131" i="5"/>
  <c r="C123" i="5"/>
  <c r="C115" i="5"/>
  <c r="C107" i="5"/>
  <c r="C99" i="5"/>
  <c r="C59" i="5"/>
  <c r="C51" i="5"/>
  <c r="C43" i="5"/>
  <c r="C35" i="5"/>
  <c r="C48" i="5"/>
  <c r="C63" i="5"/>
  <c r="C55" i="5"/>
  <c r="C47" i="5"/>
  <c r="C39" i="5"/>
  <c r="C132" i="5"/>
  <c r="C124" i="5"/>
  <c r="C116" i="5"/>
  <c r="C108" i="5"/>
  <c r="C100" i="5"/>
  <c r="C92" i="5"/>
  <c r="C84" i="5"/>
  <c r="C76" i="5"/>
  <c r="C68" i="5"/>
  <c r="C60" i="5"/>
  <c r="C52" i="5"/>
  <c r="C44" i="5"/>
  <c r="C36" i="5"/>
  <c r="C129" i="5"/>
  <c r="C121" i="5"/>
  <c r="C113" i="5"/>
  <c r="C105" i="5"/>
  <c r="C97" i="5"/>
  <c r="C89" i="5"/>
  <c r="C81" i="5"/>
  <c r="C73" i="5"/>
  <c r="C65" i="5"/>
  <c r="C57" i="5"/>
  <c r="C49" i="5"/>
  <c r="C41" i="5"/>
  <c r="C134" i="5"/>
  <c r="C86" i="5"/>
  <c r="C78" i="5"/>
  <c r="C70" i="5"/>
  <c r="C11" i="5"/>
  <c r="C128" i="5"/>
  <c r="C120" i="5"/>
  <c r="C112" i="5"/>
  <c r="C104" i="5"/>
  <c r="C96" i="5"/>
  <c r="C88" i="5"/>
  <c r="C80" i="5"/>
  <c r="C72" i="5"/>
  <c r="C64" i="5"/>
  <c r="C56" i="5"/>
  <c r="C40" i="5"/>
  <c r="C133" i="5"/>
  <c r="C125" i="5"/>
  <c r="C117" i="5"/>
  <c r="C109" i="5"/>
  <c r="C101" i="5"/>
  <c r="C85" i="5"/>
  <c r="C77" i="5"/>
  <c r="C69" i="5"/>
  <c r="C61" i="5"/>
  <c r="C53" i="5"/>
  <c r="C135" i="5"/>
  <c r="C127" i="5"/>
  <c r="C119" i="5"/>
  <c r="C111" i="5"/>
  <c r="C103" i="5"/>
  <c r="C95" i="5"/>
  <c r="C87" i="5"/>
  <c r="C79" i="5"/>
  <c r="C71" i="5"/>
  <c r="G137" i="5" l="1"/>
  <c r="B31" i="5"/>
  <c r="G649" i="7"/>
  <c r="G650" i="7"/>
  <c r="G651" i="7"/>
  <c r="G652" i="7"/>
  <c r="G653" i="7"/>
  <c r="G654" i="7"/>
  <c r="G655" i="7"/>
  <c r="G648" i="7"/>
  <c r="F646" i="7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G141" i="5"/>
  <c r="EF141" i="5"/>
  <c r="EE141" i="5"/>
  <c r="ED141" i="5"/>
  <c r="EC141" i="5"/>
  <c r="EB141" i="5"/>
  <c r="EA141" i="5"/>
  <c r="DY141" i="5"/>
  <c r="DX141" i="5"/>
  <c r="DW141" i="5"/>
  <c r="DV141" i="5"/>
  <c r="DU141" i="5"/>
  <c r="DT141" i="5"/>
  <c r="DS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AT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A3" i="5"/>
  <c r="AA30" i="5"/>
  <c r="AA24" i="5"/>
  <c r="AA7" i="5"/>
  <c r="AA23" i="5"/>
  <c r="AA45" i="5"/>
  <c r="AA13" i="5"/>
  <c r="AA27" i="5"/>
  <c r="AA32" i="5"/>
  <c r="AA5" i="5"/>
  <c r="AA29" i="5"/>
  <c r="AA9" i="5"/>
  <c r="AA15" i="5"/>
  <c r="AA22" i="5"/>
  <c r="AA6" i="5"/>
  <c r="AA18" i="5"/>
  <c r="AA17" i="5"/>
  <c r="AA20" i="5"/>
  <c r="AA19" i="5"/>
  <c r="AA14" i="5"/>
  <c r="AA28" i="5"/>
  <c r="AA16" i="5"/>
  <c r="AA4" i="5"/>
  <c r="AA31" i="5"/>
  <c r="AA33" i="5"/>
  <c r="AA21" i="5"/>
  <c r="AA25" i="5"/>
  <c r="AA26" i="5"/>
  <c r="AA10" i="5"/>
  <c r="AA62" i="5"/>
  <c r="AA12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GV13" i="5"/>
  <c r="GV27" i="5"/>
  <c r="GV16" i="5"/>
  <c r="GV24" i="5"/>
  <c r="GV32" i="5"/>
  <c r="GV7" i="5"/>
  <c r="GV3" i="5"/>
  <c r="GV4" i="5"/>
  <c r="GV30" i="5"/>
  <c r="GV31" i="5"/>
  <c r="GV5" i="5"/>
  <c r="GV29" i="5"/>
  <c r="GV33" i="5"/>
  <c r="GV23" i="5"/>
  <c r="GV21" i="5"/>
  <c r="GV25" i="5"/>
  <c r="GV22" i="5"/>
  <c r="GV26" i="5"/>
  <c r="GV9" i="5"/>
  <c r="GV10" i="5"/>
  <c r="GV15" i="5"/>
  <c r="GV28" i="5"/>
  <c r="GV6" i="5"/>
  <c r="GV45" i="5"/>
  <c r="GV14" i="5"/>
  <c r="GV18" i="5"/>
  <c r="GV17" i="5"/>
  <c r="GV20" i="5"/>
  <c r="GV62" i="5"/>
  <c r="GV19" i="5"/>
  <c r="GV12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P140" i="5"/>
  <c r="EO140" i="5"/>
  <c r="EN140" i="5"/>
  <c r="EM140" i="5"/>
  <c r="EL140" i="5"/>
  <c r="EK140" i="5"/>
  <c r="EJ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M140" i="5"/>
  <c r="DL140" i="5"/>
  <c r="DK140" i="5"/>
  <c r="DJ140" i="5"/>
  <c r="DI140" i="5"/>
  <c r="DH140" i="5"/>
  <c r="DG140" i="5"/>
  <c r="DE140" i="5"/>
  <c r="DD140" i="5"/>
  <c r="DC140" i="5"/>
  <c r="DB140" i="5"/>
  <c r="DA140" i="5"/>
  <c r="CZ140" i="5"/>
  <c r="CY140" i="5"/>
  <c r="CX140" i="5"/>
  <c r="CW140" i="5"/>
  <c r="CU140" i="5"/>
  <c r="CT140" i="5"/>
  <c r="CS140" i="5"/>
  <c r="CR140" i="5"/>
  <c r="CQ140" i="5"/>
  <c r="CP140" i="5"/>
  <c r="CO140" i="5"/>
  <c r="CN140" i="5"/>
  <c r="CM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Y140" i="5"/>
  <c r="AX140" i="5"/>
  <c r="AW140" i="5"/>
  <c r="AV140" i="5"/>
  <c r="AU140" i="5"/>
  <c r="AS140" i="5"/>
  <c r="AQ140" i="5"/>
  <c r="AP140" i="5"/>
  <c r="AO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Z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GW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FO139" i="5"/>
  <c r="FN139" i="5"/>
  <c r="FM139" i="5"/>
  <c r="FL139" i="5"/>
  <c r="FK139" i="5"/>
  <c r="FJ139" i="5"/>
  <c r="FI139" i="5"/>
  <c r="EI139" i="5"/>
  <c r="DF139" i="5"/>
  <c r="CV139" i="5"/>
  <c r="CL139" i="5"/>
  <c r="AR139" i="5"/>
  <c r="Y139" i="5"/>
  <c r="I139" i="5"/>
  <c r="GW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FO138" i="5"/>
  <c r="FN138" i="5"/>
  <c r="FM138" i="5"/>
  <c r="FL138" i="5"/>
  <c r="FK138" i="5"/>
  <c r="FJ138" i="5"/>
  <c r="FI138" i="5"/>
  <c r="EI138" i="5"/>
  <c r="DF138" i="5"/>
  <c r="CV138" i="5"/>
  <c r="CL138" i="5"/>
  <c r="AR138" i="5"/>
  <c r="Y138" i="5"/>
  <c r="I138" i="5"/>
  <c r="GW137" i="5"/>
  <c r="GU137" i="5"/>
  <c r="GT137" i="5"/>
  <c r="GS137" i="5"/>
  <c r="GR137" i="5"/>
  <c r="GQ137" i="5"/>
  <c r="GP137" i="5"/>
  <c r="GO137" i="5"/>
  <c r="GN137" i="5"/>
  <c r="GM137" i="5"/>
  <c r="GL137" i="5"/>
  <c r="GK137" i="5"/>
  <c r="GJ137" i="5"/>
  <c r="GI137" i="5"/>
  <c r="GH137" i="5"/>
  <c r="GG137" i="5"/>
  <c r="GF137" i="5"/>
  <c r="GE137" i="5"/>
  <c r="GD137" i="5"/>
  <c r="GC137" i="5"/>
  <c r="GB137" i="5"/>
  <c r="GA137" i="5"/>
  <c r="FZ137" i="5"/>
  <c r="FY137" i="5"/>
  <c r="FX137" i="5"/>
  <c r="FW137" i="5"/>
  <c r="FV137" i="5"/>
  <c r="FU137" i="5"/>
  <c r="FT137" i="5"/>
  <c r="FS137" i="5"/>
  <c r="FR137" i="5"/>
  <c r="FQ137" i="5"/>
  <c r="FP137" i="5"/>
  <c r="FO137" i="5"/>
  <c r="FN137" i="5"/>
  <c r="FM137" i="5"/>
  <c r="FL137" i="5"/>
  <c r="FK137" i="5"/>
  <c r="FJ137" i="5"/>
  <c r="FI137" i="5"/>
  <c r="EI137" i="5"/>
  <c r="DF137" i="5"/>
  <c r="CV137" i="5"/>
  <c r="CL137" i="5"/>
  <c r="AR137" i="5"/>
  <c r="Y137" i="5"/>
  <c r="I137" i="5"/>
  <c r="HA136" i="5"/>
  <c r="GZ136" i="5"/>
  <c r="GY136" i="5"/>
  <c r="GX136" i="5"/>
  <c r="GW136" i="5"/>
  <c r="GU136" i="5"/>
  <c r="GT136" i="5"/>
  <c r="FI136" i="5"/>
  <c r="EI136" i="5"/>
  <c r="DF136" i="5"/>
  <c r="CV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B62" i="5"/>
  <c r="B26" i="5"/>
  <c r="B25" i="5"/>
  <c r="B21" i="5"/>
  <c r="B22" i="5"/>
  <c r="B28" i="5"/>
  <c r="B14" i="5"/>
  <c r="B3" i="5"/>
  <c r="B16" i="5"/>
  <c r="B6" i="5"/>
  <c r="B33" i="5"/>
  <c r="B10" i="5"/>
  <c r="B5" i="5"/>
  <c r="B12" i="5"/>
  <c r="B19" i="5"/>
  <c r="B27" i="5"/>
  <c r="B20" i="5"/>
  <c r="B18" i="5"/>
  <c r="B17" i="5"/>
  <c r="B15" i="5"/>
  <c r="B4" i="5"/>
  <c r="B32" i="5"/>
  <c r="B9" i="5"/>
  <c r="B29" i="5"/>
  <c r="B13" i="5"/>
  <c r="B45" i="5"/>
  <c r="B23" i="5"/>
  <c r="B7" i="5"/>
  <c r="B30" i="5"/>
  <c r="B24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EI140" i="5" l="1"/>
  <c r="FP140" i="5"/>
  <c r="FX140" i="5"/>
  <c r="GF140" i="5"/>
  <c r="FM140" i="5"/>
  <c r="FU140" i="5"/>
  <c r="GK140" i="5"/>
  <c r="FL140" i="5"/>
  <c r="GB140" i="5"/>
  <c r="GJ140" i="5"/>
  <c r="GN140" i="5"/>
  <c r="CV140" i="5"/>
  <c r="FN140" i="5"/>
  <c r="FV140" i="5"/>
  <c r="GL140" i="5"/>
  <c r="FW140" i="5"/>
  <c r="GE140" i="5"/>
  <c r="GM140" i="5"/>
  <c r="FI140" i="5"/>
  <c r="FQ140" i="5"/>
  <c r="FY140" i="5"/>
  <c r="GG140" i="5"/>
  <c r="GO140" i="5"/>
  <c r="GH140" i="5"/>
  <c r="FK140" i="5"/>
  <c r="FS140" i="5"/>
  <c r="GA140" i="5"/>
  <c r="FZ140" i="5"/>
  <c r="FJ140" i="5"/>
  <c r="FR140" i="5"/>
  <c r="A81" i="7"/>
  <c r="AR140" i="5"/>
  <c r="GP140" i="5"/>
  <c r="GC140" i="5"/>
  <c r="CL140" i="5"/>
  <c r="GD140" i="5"/>
  <c r="DF140" i="5"/>
  <c r="DZ141" i="5"/>
  <c r="DS142" i="5" s="1"/>
  <c r="EH141" i="5"/>
  <c r="D49" i="8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32" i="5"/>
  <c r="GT140" i="5"/>
  <c r="C45" i="5"/>
  <c r="C29" i="5"/>
  <c r="C9" i="5"/>
  <c r="C21" i="5"/>
  <c r="J215" i="7"/>
  <c r="G226" i="7"/>
  <c r="J226" i="7" s="1"/>
  <c r="J217" i="7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33" i="5"/>
  <c r="C23" i="5"/>
  <c r="C18" i="5"/>
  <c r="C19" i="5"/>
  <c r="C30" i="5"/>
  <c r="C16" i="5"/>
  <c r="C26" i="5"/>
  <c r="C12" i="5"/>
  <c r="C28" i="5"/>
  <c r="C5" i="5"/>
  <c r="GN164" i="3"/>
  <c r="GF164" i="3"/>
  <c r="FX164" i="3"/>
  <c r="FP164" i="3"/>
  <c r="HB164" i="3"/>
  <c r="A52" i="7"/>
  <c r="C46" i="7" s="1"/>
  <c r="C27" i="5"/>
  <c r="GI140" i="5"/>
  <c r="C17" i="5"/>
  <c r="A35" i="7"/>
  <c r="A120" i="7"/>
  <c r="A40" i="7"/>
  <c r="FO140" i="5"/>
  <c r="A39" i="7"/>
  <c r="C31" i="5"/>
  <c r="A38" i="7"/>
  <c r="A37" i="7"/>
  <c r="A31" i="7"/>
  <c r="C29" i="7" s="1"/>
  <c r="A36" i="7"/>
  <c r="A41" i="7"/>
  <c r="C3" i="5"/>
  <c r="C24" i="5"/>
  <c r="GG164" i="3"/>
  <c r="DK268" i="1"/>
  <c r="C22" i="5"/>
  <c r="C13" i="5"/>
  <c r="C7" i="5"/>
  <c r="A121" i="7"/>
  <c r="A122" i="7"/>
  <c r="C15" i="5"/>
  <c r="C25" i="5"/>
  <c r="A117" i="7"/>
  <c r="C6" i="5"/>
  <c r="C10" i="5"/>
  <c r="C62" i="5"/>
  <c r="C14" i="5"/>
  <c r="C20" i="5"/>
  <c r="C4" i="5"/>
  <c r="A77" i="7"/>
  <c r="A82" i="7"/>
  <c r="A80" i="7"/>
  <c r="A79" i="7"/>
  <c r="A78" i="7"/>
  <c r="GR140" i="5"/>
  <c r="GU140" i="5"/>
  <c r="GW140" i="5"/>
  <c r="FT140" i="5"/>
  <c r="C18" i="7"/>
  <c r="I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S140" i="5"/>
  <c r="Y140" i="5"/>
  <c r="GQ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EG142" i="5" l="1"/>
  <c r="DX142" i="5"/>
  <c r="DY142" i="5"/>
  <c r="EF142" i="5"/>
  <c r="DW142" i="5"/>
  <c r="EE142" i="5"/>
  <c r="DV142" i="5"/>
  <c r="ED142" i="5"/>
  <c r="DT142" i="5"/>
  <c r="DZ142" i="5" s="1"/>
  <c r="EA142" i="5"/>
  <c r="EC142" i="5"/>
  <c r="DU142" i="5"/>
  <c r="EB142" i="5"/>
  <c r="K333" i="7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H142" i="5" l="1"/>
  <c r="D144" i="7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181" i="7" l="1"/>
  <c r="F182" i="7" s="1"/>
  <c r="J219" i="7"/>
  <c r="J50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G184" i="7" l="1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J323" i="7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<sst xmlns="http://schemas.openxmlformats.org/spreadsheetml/2006/main" count="26680" uniqueCount="2485">
  <si>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</si>
  <si>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</si>
  <si>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</si>
  <si>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</si>
  <si>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</si>
  <si>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</si>
  <si>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</si>
  <si>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</si>
  <si>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</si>
  <si>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</si>
  <si>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</si>
  <si>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</si>
  <si>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</si>
  <si>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</si>
  <si>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</si>
  <si>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</si>
  <si>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</si>
  <si>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</si>
  <si>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</si>
  <si>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</si>
  <si>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</si>
  <si>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</si>
  <si>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</si>
  <si>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</si>
  <si>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</si>
  <si>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</si>
  <si>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</si>
  <si>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</si>
  <si>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</si>
  <si>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</si>
  <si>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</si>
  <si>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</si>
  <si>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</si>
  <si>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</si>
  <si>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</si>
  <si>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</si>
  <si>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</si>
  <si>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</si>
  <si>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</si>
  <si>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</si>
  <si>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</si>
  <si>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</si>
  <si>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</si>
  <si>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</si>
  <si>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</si>
  <si>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</si>
  <si>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</si>
  <si>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</si>
  <si>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</si>
  <si>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</si>
  <si>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</si>
  <si>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</si>
  <si>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</si>
  <si>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</si>
  <si>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</si>
  <si>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</si>
  <si>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</si>
  <si>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</si>
  <si>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</si>
  <si>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</si>
  <si>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</si>
  <si>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</si>
  <si>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</si>
  <si>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</si>
  <si>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</si>
  <si>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</si>
  <si>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</si>
  <si>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</si>
  <si>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</si>
  <si>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</si>
  <si>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</si>
  <si>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</si>
  <si>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</si>
  <si>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</si>
  <si>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</si>
  <si>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</si>
  <si>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</si>
  <si>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</si>
  <si>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</si>
  <si>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</si>
  <si>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</si>
  <si>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</si>
  <si>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</si>
  <si>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</si>
  <si>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</si>
  <si>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</si>
  <si>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</si>
  <si>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</si>
  <si>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</si>
  <si>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</si>
  <si>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</si>
  <si>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</si>
  <si>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</si>
  <si>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</si>
  <si>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</si>
  <si>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</si>
  <si>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</si>
  <si>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</si>
  <si>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</si>
  <si>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</si>
  <si>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</si>
  <si>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</si>
  <si>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</si>
  <si>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</si>
  <si>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</si>
  <si>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</si>
  <si>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</si>
  <si>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</si>
  <si>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</si>
  <si>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</si>
  <si>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</si>
  <si>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</si>
  <si>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</si>
  <si>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</si>
  <si>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</si>
  <si>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</si>
  <si>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</si>
  <si>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</si>
  <si>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</si>
  <si>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</si>
  <si>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</si>
  <si>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</si>
  <si>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</si>
  <si>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</si>
  <si>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</si>
  <si>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</si>
  <si>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</si>
  <si>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</si>
  <si>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</si>
  <si>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</si>
  <si>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</si>
  <si>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</si>
  <si>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</si>
  <si>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</si>
  <si>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</si>
  <si>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</si>
  <si>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</si>
  <si>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</si>
  <si>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</si>
  <si>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</si>
  <si>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</si>
  <si>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</si>
  <si>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</si>
  <si>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</si>
  <si>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</si>
  <si>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</si>
  <si>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</si>
  <si>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</si>
  <si>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</si>
  <si>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</si>
  <si>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</si>
  <si>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</si>
  <si>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</si>
  <si>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</si>
  <si>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</si>
  <si>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</si>
  <si>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</si>
  <si>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</si>
  <si>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</si>
  <si>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</si>
  <si>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</si>
  <si>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</si>
  <si>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</si>
  <si>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</si>
  <si>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</si>
  <si>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</si>
  <si>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</si>
  <si>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</si>
  <si>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</si>
  <si>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</si>
  <si>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</si>
  <si>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</si>
  <si>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</si>
  <si>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</si>
  <si>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</si>
  <si>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</si>
  <si>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</si>
  <si>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</si>
  <si>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</si>
  <si>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</si>
  <si>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</si>
  <si>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</si>
  <si>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</si>
  <si>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</si>
  <si>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</si>
  <si>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</si>
  <si>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</si>
  <si>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</si>
  <si>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</si>
  <si>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</si>
  <si>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</si>
  <si>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</si>
  <si>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</si>
  <si>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</si>
  <si>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</si>
  <si>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</si>
  <si>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</si>
  <si>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</si>
  <si>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</si>
  <si>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</si>
  <si>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</si>
  <si>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</si>
  <si>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</si>
  <si>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</si>
  <si>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</si>
  <si>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</si>
  <si>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</si>
  <si>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</si>
  <si>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</si>
  <si>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</si>
  <si>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</si>
  <si>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</si>
  <si>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</si>
  <si>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</si>
  <si>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</si>
  <si>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</si>
  <si>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</si>
  <si>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</si>
  <si>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</si>
  <si>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</si>
  <si>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</si>
  <si>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</si>
  <si>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</si>
  <si>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</si>
  <si>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</si>
  <si>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</si>
  <si>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</si>
  <si>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</si>
  <si>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</si>
  <si>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</si>
  <si>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</si>
  <si>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</si>
  <si>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</si>
  <si>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</si>
  <si>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</si>
  <si>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</si>
  <si>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</si>
  <si>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</si>
  <si>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</si>
  <si>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</si>
  <si>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</si>
  <si>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</si>
  <si>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</si>
  <si>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</si>
  <si>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</si>
  <si>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</si>
  <si>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</si>
  <si>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</si>
  <si>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</si>
  <si>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</si>
  <si>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</si>
  <si>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</si>
  <si>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</si>
  <si>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</si>
  <si>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</si>
  <si>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</si>
  <si>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</si>
  <si>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</si>
  <si>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</si>
  <si>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</si>
  <si>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</si>
  <si>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</si>
  <si>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</si>
  <si>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</si>
  <si>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</si>
  <si>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</si>
  <si>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</si>
  <si>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</si>
  <si>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</si>
  <si>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</si>
  <si>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</si>
  <si>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</si>
  <si>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</si>
  <si>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</si>
  <si>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</si>
  <si>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</si>
  <si>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</si>
  <si>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</si>
  <si>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</si>
  <si>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</si>
  <si>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</si>
  <si>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</si>
  <si>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</si>
  <si>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</si>
  <si>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</si>
  <si>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</si>
  <si>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</si>
  <si>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</si>
  <si>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</si>
  <si>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</si>
  <si>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</si>
  <si>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</si>
  <si>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</si>
  <si>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</si>
  <si>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</si>
  <si>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</si>
  <si>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</si>
  <si>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</si>
  <si>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</si>
  <si>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</si>
  <si>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</si>
  <si>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</si>
  <si>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</si>
  <si>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</si>
  <si>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</si>
  <si>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</si>
  <si>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</si>
  <si>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</si>
  <si>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</si>
  <si>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</si>
  <si>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</si>
  <si>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</si>
  <si>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</si>
  <si>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</si>
  <si>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</si>
  <si>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</si>
  <si>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</si>
  <si>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</si>
  <si>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</si>
  <si>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</si>
  <si>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</si>
  <si>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</si>
  <si>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</si>
  <si>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</si>
  <si>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</si>
  <si>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</si>
  <si>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</si>
  <si>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</si>
  <si>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</si>
  <si>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</si>
  <si>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</si>
  <si>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</si>
  <si>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</si>
  <si>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</si>
  <si>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</si>
  <si>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</si>
  <si>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</si>
  <si>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</si>
  <si>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</si>
  <si>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</si>
  <si>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</si>
  <si>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</si>
  <si>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</si>
  <si>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</si>
  <si>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</si>
  <si>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</si>
  <si>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</si>
  <si>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</si>
  <si>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</si>
  <si>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</si>
  <si>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</si>
  <si>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</si>
  <si>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</si>
  <si>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</si>
  <si>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</si>
  <si>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</si>
  <si>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</si>
  <si>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</si>
  <si>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</si>
  <si>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</si>
  <si>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</si>
  <si>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</si>
  <si>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</si>
  <si>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</si>
  <si>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</si>
  <si>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</si>
  <si>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</si>
  <si>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</si>
  <si>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</si>
  <si>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</si>
  <si>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</si>
  <si>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</si>
  <si>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</si>
  <si>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</si>
  <si>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</si>
  <si>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</si>
  <si>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</si>
  <si>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</si>
  <si>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</si>
  <si>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</si>
  <si>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</si>
  <si>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</si>
  <si>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</si>
  <si>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</si>
  <si>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</si>
  <si>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</si>
  <si>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</si>
  <si>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</si>
  <si>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</si>
  <si>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</si>
  <si>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</si>
  <si>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</si>
  <si>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</si>
  <si>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</si>
  <si>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</si>
  <si>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</si>
  <si>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</si>
  <si>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</si>
  <si>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</si>
  <si>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</si>
  <si>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</si>
  <si>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</si>
  <si>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</si>
  <si>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</si>
  <si>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</si>
  <si>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</si>
  <si>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</si>
  <si>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</si>
  <si>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</si>
  <si>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</si>
  <si>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</si>
  <si>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</si>
  <si>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</si>
  <si>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</si>
  <si>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</si>
  <si>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</si>
  <si>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</si>
  <si>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</si>
  <si>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</si>
  <si>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</si>
  <si>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</si>
  <si>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</si>
  <si>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</si>
  <si>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</si>
  <si>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</si>
  <si>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</si>
  <si>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</si>
  <si>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</si>
  <si>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</si>
  <si>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</si>
  <si>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</si>
  <si>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</si>
  <si>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</si>
  <si>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</si>
  <si>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</si>
  <si>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</si>
  <si>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</si>
  <si>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</si>
  <si>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</si>
  <si>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</si>
  <si>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</si>
  <si>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</si>
  <si>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</si>
  <si>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</si>
  <si>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</si>
  <si>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</si>
  <si>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</si>
  <si>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</si>
  <si>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</si>
  <si>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</si>
  <si>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</si>
  <si>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</si>
  <si>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</si>
  <si>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</si>
  <si>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</si>
  <si>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</si>
  <si>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</si>
  <si>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</si>
  <si>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</si>
  <si>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</si>
  <si>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</si>
  <si>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</si>
  <si>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</si>
  <si>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</si>
  <si>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</si>
  <si>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</si>
  <si>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</si>
  <si>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</si>
  <si>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</si>
  <si>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</si>
  <si>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</si>
  <si>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</si>
  <si>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</si>
  <si>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</si>
  <si>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</si>
  <si>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</si>
  <si>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</si>
  <si>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</si>
  <si>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</si>
  <si>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</si>
  <si>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</si>
  <si>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</si>
  <si>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</si>
  <si>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</si>
  <si>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</si>
  <si>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</si>
  <si>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</si>
  <si>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</si>
  <si>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</si>
  <si>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</si>
  <si>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</si>
  <si>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</si>
  <si>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</si>
  <si>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</si>
  <si>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</si>
  <si>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</si>
  <si>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</si>
  <si>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</si>
  <si>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</si>
  <si>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</si>
  <si>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</si>
  <si>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</si>
  <si>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</si>
  <si>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</si>
  <si>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</si>
  <si>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</si>
  <si>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</si>
  <si>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</si>
  <si>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</si>
  <si>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</si>
  <si>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</si>
  <si>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</si>
  <si>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</si>
  <si>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</si>
  <si>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</si>
  <si>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</si>
  <si>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</si>
  <si>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</si>
  <si>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</si>
  <si>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</si>
  <si>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</si>
  <si>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</si>
  <si>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</si>
  <si>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</si>
  <si>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</si>
  <si>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</si>
  <si>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</si>
  <si>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</si>
  <si>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</si>
  <si>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</si>
  <si>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</si>
  <si>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</si>
  <si>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</si>
  <si>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</si>
  <si>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</si>
  <si>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</si>
  <si>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</si>
  <si>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</si>
  <si>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</si>
  <si>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</si>
  <si>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</si>
  <si>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</si>
  <si>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</si>
  <si>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</si>
  <si>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</si>
  <si>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</si>
  <si>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</si>
  <si>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</si>
  <si>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</si>
  <si>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</si>
  <si>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</si>
  <si>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</si>
  <si>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</si>
  <si>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</si>
  <si>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</si>
  <si>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</si>
  <si>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</si>
  <si>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</si>
  <si>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</si>
  <si>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</si>
  <si>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</si>
  <si>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</si>
  <si>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</si>
  <si>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</si>
  <si>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</si>
  <si>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</si>
  <si>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</si>
  <si>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</si>
  <si>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</si>
  <si>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</si>
  <si>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</si>
  <si>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</si>
  <si>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</si>
  <si>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</si>
  <si>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</si>
  <si>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</si>
  <si>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</si>
  <si>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</si>
  <si>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</si>
  <si>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</si>
  <si>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</si>
  <si>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</si>
  <si>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</si>
  <si>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</si>
  <si>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</si>
  <si>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</si>
  <si>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</si>
  <si>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</si>
  <si>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</si>
  <si>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</si>
  <si>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</si>
  <si>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</si>
  <si>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</si>
  <si>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</si>
  <si>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</si>
  <si>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</si>
  <si>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</si>
  <si>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</si>
  <si>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</si>
  <si>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</si>
  <si>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</si>
  <si>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</si>
  <si>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</si>
  <si>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</si>
  <si>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</si>
  <si>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</si>
  <si>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</si>
  <si>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</si>
  <si>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</si>
  <si>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</si>
  <si>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</si>
  <si>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</si>
  <si>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</si>
  <si>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</si>
  <si>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</si>
  <si>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</si>
  <si>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</si>
  <si>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</si>
  <si>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</si>
  <si>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</si>
  <si>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</si>
  <si>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</si>
  <si>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</si>
  <si>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</si>
  <si>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</si>
  <si>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</si>
  <si>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</si>
  <si>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</si>
  <si>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</si>
  <si>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</si>
  <si>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</si>
  <si>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</si>
  <si>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</si>
  <si>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</si>
  <si>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</si>
  <si>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</si>
  <si>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</si>
  <si>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</si>
  <si>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</si>
  <si>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</si>
  <si>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</si>
  <si>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</si>
  <si>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</si>
  <si>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</si>
  <si>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</si>
  <si>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</si>
  <si>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</si>
  <si>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</si>
  <si>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</si>
  <si>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</si>
  <si>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</si>
  <si>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</si>
  <si>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</si>
  <si>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</si>
  <si>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</si>
  <si>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</si>
  <si>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</si>
  <si>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</si>
  <si>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</si>
  <si>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</si>
  <si>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</si>
  <si>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</si>
  <si>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</si>
  <si>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</si>
  <si>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</si>
  <si>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</si>
  <si>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</si>
  <si>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</si>
  <si>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</si>
  <si>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</si>
  <si>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</si>
  <si>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</si>
  <si>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</si>
  <si>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</si>
  <si>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</si>
  <si>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</si>
  <si>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</si>
  <si>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</si>
  <si>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</si>
  <si>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</si>
  <si>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</si>
  <si>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</si>
  <si>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</si>
  <si>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</si>
  <si>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</si>
  <si>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</si>
  <si>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</si>
  <si>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</si>
  <si>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</si>
  <si>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</si>
  <si>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</si>
  <si>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</si>
  <si>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</si>
  <si>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</si>
  <si>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</si>
  <si>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</si>
  <si>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</si>
  <si>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</si>
  <si>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</si>
  <si>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</si>
  <si>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</si>
  <si>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</si>
  <si>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</si>
  <si>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</si>
  <si>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</si>
  <si>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</si>
  <si>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</si>
  <si>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</si>
  <si>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</si>
  <si>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</si>
  <si>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</si>
  <si>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</si>
  <si>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</si>
  <si>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</si>
  <si>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</si>
  <si>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</si>
  <si>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</si>
  <si>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</si>
  <si>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</si>
  <si>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</si>
  <si>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</si>
  <si>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</si>
  <si>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</si>
  <si>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</si>
  <si>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</si>
  <si>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</si>
  <si>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</si>
  <si>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</si>
  <si>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</si>
  <si>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</si>
  <si>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</si>
  <si>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</si>
  <si>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</si>
  <si>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</si>
  <si>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</si>
  <si>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</si>
  <si>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</si>
  <si>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</si>
  <si>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</si>
  <si>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</si>
  <si>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</si>
  <si>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</si>
  <si>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</si>
  <si>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</si>
  <si>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</si>
  <si>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</si>
  <si>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</si>
  <si>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</si>
  <si>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</si>
  <si>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</si>
  <si>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</si>
  <si>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</si>
  <si>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</si>
  <si>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</si>
  <si>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</si>
  <si>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</si>
  <si>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</si>
  <si>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</si>
  <si>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</si>
  <si>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</si>
  <si>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</si>
  <si>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</si>
  <si>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</si>
  <si>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</si>
  <si>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</si>
  <si>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</si>
  <si>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</si>
  <si>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</si>
  <si>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</si>
  <si>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</si>
  <si>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</si>
  <si>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</si>
  <si>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</si>
  <si>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</si>
  <si>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</si>
  <si>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</si>
  <si>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</si>
  <si>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</si>
  <si>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</si>
  <si>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</si>
  <si>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</si>
  <si>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</si>
  <si>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</si>
  <si>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</si>
  <si>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</si>
  <si>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</si>
  <si>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</si>
  <si>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</si>
  <si>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</si>
  <si>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</si>
  <si>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</si>
  <si>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</si>
  <si>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</si>
  <si>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</si>
  <si>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</si>
  <si>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</si>
  <si>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</si>
  <si>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</si>
  <si>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</si>
  <si>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</si>
  <si>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</si>
  <si>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</si>
  <si>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</si>
  <si>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</si>
  <si>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</si>
  <si>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</si>
  <si>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</si>
  <si>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</si>
  <si>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</si>
  <si>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</si>
  <si>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</si>
  <si>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</si>
  <si>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</si>
  <si>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</si>
  <si>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</si>
  <si>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</si>
  <si>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</si>
  <si>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</si>
  <si>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</si>
  <si>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</si>
  <si>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</si>
  <si>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</si>
  <si>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</si>
  <si>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</si>
  <si>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</si>
  <si>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</si>
  <si>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</si>
  <si>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</si>
  <si>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</si>
  <si>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</si>
  <si>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</si>
  <si>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</si>
  <si>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</si>
  <si>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</si>
  <si>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</si>
  <si>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</si>
  <si>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</si>
  <si>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</si>
  <si>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</si>
  <si>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</si>
  <si>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</si>
  <si>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</si>
  <si>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</si>
  <si>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</si>
  <si>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</si>
  <si>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</si>
  <si>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</si>
  <si>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</si>
  <si>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</si>
  <si>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</si>
  <si>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</si>
  <si>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</si>
  <si>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</si>
  <si>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</si>
  <si>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</si>
  <si>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</si>
  <si>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</si>
  <si>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</si>
  <si>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</si>
  <si>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</si>
  <si>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</si>
  <si>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</si>
  <si>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</si>
  <si>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</si>
  <si>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</si>
  <si>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</si>
  <si>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</si>
  <si>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</si>
  <si>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</si>
  <si>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</si>
  <si>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</si>
  <si>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</si>
  <si>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</si>
  <si>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</si>
  <si>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</si>
  <si>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</si>
  <si>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</si>
  <si>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</si>
  <si>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</si>
  <si>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</si>
  <si>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</si>
  <si>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</si>
  <si>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</si>
  <si>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</si>
  <si>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</si>
  <si>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</si>
  <si>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</si>
  <si>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</si>
  <si>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</si>
  <si>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</si>
  <si>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</si>
  <si>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</si>
  <si>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</si>
  <si>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</si>
  <si>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</si>
  <si>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</si>
  <si>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</si>
  <si>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</si>
  <si>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</si>
  <si>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</si>
  <si>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</si>
  <si>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</si>
  <si>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</si>
  <si>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</si>
  <si>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</si>
  <si>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</si>
  <si>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</si>
  <si>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</si>
  <si>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</si>
  <si>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</si>
  <si>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</si>
  <si>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</si>
  <si>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</si>
  <si>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</si>
  <si>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</si>
  <si>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</si>
  <si>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</si>
  <si>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</si>
  <si>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</si>
  <si>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</si>
  <si>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</si>
  <si>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</si>
  <si>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</si>
  <si>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</si>
  <si>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</si>
  <si>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</si>
  <si>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</si>
  <si>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</si>
  <si>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</si>
  <si>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</si>
  <si>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</si>
  <si>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</si>
  <si>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</si>
  <si>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</si>
  <si>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</si>
  <si>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</si>
  <si>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</si>
  <si>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</si>
  <si>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</si>
  <si>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</si>
  <si>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</si>
  <si>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</si>
  <si>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</si>
  <si>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</si>
  <si>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</si>
  <si>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</si>
  <si>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</si>
  <si>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</si>
  <si>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</si>
  <si>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</si>
  <si>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</si>
  <si>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</si>
  <si>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</si>
  <si>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</si>
  <si>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</si>
  <si>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</si>
  <si>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</si>
  <si>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</si>
  <si>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</si>
  <si>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</si>
  <si>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</si>
  <si>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</si>
  <si>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</si>
  <si>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</si>
  <si>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</si>
  <si>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</si>
  <si>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</si>
  <si>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</si>
  <si>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</si>
  <si>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</si>
  <si>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</si>
  <si>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</si>
  <si>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</si>
  <si>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</si>
  <si>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</si>
  <si>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</si>
  <si>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</si>
  <si>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</si>
  <si>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</si>
  <si>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</si>
  <si>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</si>
  <si>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</si>
  <si>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</si>
  <si>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</si>
  <si>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</si>
  <si>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</si>
  <si>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</si>
  <si>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</si>
  <si>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</si>
  <si>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</si>
  <si>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</si>
  <si>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</si>
  <si>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</si>
  <si>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</si>
  <si>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</si>
  <si>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</si>
  <si>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</si>
  <si>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</si>
  <si>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</si>
  <si>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</si>
  <si>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</si>
  <si>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</si>
  <si>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</si>
  <si>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</si>
  <si>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</si>
  <si>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</si>
  <si>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</si>
  <si>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</si>
  <si>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</si>
  <si>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</si>
  <si>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</si>
  <si>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</si>
  <si>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</si>
  <si>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</si>
  <si>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</si>
  <si>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</si>
  <si>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</si>
  <si>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</si>
  <si>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</si>
  <si>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</si>
  <si>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</si>
  <si>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</si>
  <si>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</si>
  <si>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</si>
  <si>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</si>
  <si>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</si>
  <si>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</si>
  <si>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</si>
  <si>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</si>
  <si>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</si>
  <si>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</si>
  <si>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</si>
  <si>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</si>
  <si>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</si>
  <si>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</si>
  <si>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</si>
  <si>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</si>
  <si>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</si>
  <si>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</si>
  <si>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</si>
  <si>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</si>
  <si>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</si>
  <si>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</si>
  <si>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</si>
  <si>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</si>
  <si>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</si>
  <si>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</si>
  <si>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</si>
  <si>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</si>
  <si>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</si>
  <si>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</si>
  <si>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</si>
  <si>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</si>
  <si>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</si>
  <si>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</si>
  <si>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</si>
  <si>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</si>
  <si>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</si>
  <si>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</si>
  <si>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</si>
  <si>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</si>
  <si>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</si>
  <si>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</si>
  <si>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</si>
  <si>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</si>
  <si>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</si>
  <si>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</si>
  <si>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</si>
  <si>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</si>
  <si>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</si>
  <si>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</si>
  <si>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</si>
  <si>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</si>
  <si>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</si>
  <si>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</si>
  <si>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</si>
  <si>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</si>
  <si>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</si>
  <si>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</si>
  <si>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</si>
  <si>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</si>
  <si>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</si>
  <si>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</si>
  <si>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</si>
  <si>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</si>
  <si>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</si>
  <si>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</si>
  <si>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</si>
  <si>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</si>
  <si>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</si>
  <si>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</si>
  <si>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</si>
  <si>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</si>
  <si>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</si>
  <si>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</si>
  <si>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</si>
  <si>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</si>
  <si>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</si>
  <si>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</si>
  <si>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</si>
  <si>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</si>
  <si>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</si>
  <si>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</si>
  <si>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</si>
  <si>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</si>
  <si>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</si>
  <si>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</si>
  <si>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</si>
  <si>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</si>
  <si>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</si>
  <si>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</si>
  <si>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</si>
  <si>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</si>
  <si>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</si>
  <si>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</si>
  <si>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</si>
  <si>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</si>
  <si>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</si>
  <si>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</si>
  <si>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</si>
  <si>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</si>
  <si>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</si>
  <si>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</si>
  <si>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</si>
  <si>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</si>
  <si>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</si>
  <si>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</si>
  <si>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</si>
  <si>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</si>
  <si>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</si>
  <si>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</si>
  <si>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</si>
  <si>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</si>
  <si>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</si>
  <si>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</si>
  <si>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</si>
  <si>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</si>
  <si>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</si>
  <si>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</si>
  <si>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</si>
  <si>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</si>
  <si>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</si>
  <si>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</si>
  <si>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</si>
  <si>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</si>
  <si>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</si>
  <si>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</si>
  <si>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</si>
  <si>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</si>
  <si>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</si>
  <si>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</si>
  <si>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</si>
  <si>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</si>
  <si>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</si>
  <si>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</si>
  <si>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</si>
  <si>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</si>
  <si>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</si>
  <si>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</si>
  <si>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</si>
  <si>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</si>
  <si>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</si>
  <si>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</si>
  <si>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</si>
  <si>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</si>
  <si>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</si>
  <si>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</si>
  <si>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</si>
  <si>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</si>
  <si>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</si>
  <si>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</si>
  <si>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</si>
  <si>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</si>
  <si>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</si>
  <si>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</si>
  <si>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</si>
  <si>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</si>
  <si>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</si>
  <si>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</si>
  <si>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</si>
  <si>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</si>
  <si>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</si>
  <si>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</si>
  <si>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</si>
  <si>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</si>
  <si>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</si>
  <si>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</si>
  <si>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</si>
  <si>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</si>
  <si>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</si>
  <si>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</si>
  <si>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</si>
  <si>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</si>
  <si>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</si>
  <si>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</si>
  <si>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</si>
  <si>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</si>
  <si>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</si>
  <si>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</si>
  <si>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</si>
  <si>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</si>
  <si>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</si>
  <si>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</si>
  <si>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</si>
  <si>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</si>
  <si>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</si>
  <si>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</si>
  <si>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</si>
  <si>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</si>
  <si>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</si>
  <si>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</si>
  <si>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</si>
  <si>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</si>
  <si>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</si>
  <si>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</si>
  <si>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</si>
  <si>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</si>
  <si>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</si>
  <si>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</si>
  <si>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</si>
  <si>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</si>
  <si>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</si>
  <si>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</si>
  <si>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</si>
  <si>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</si>
  <si>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</si>
  <si>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</si>
  <si>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</si>
  <si>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</si>
  <si>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</si>
  <si>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</si>
  <si>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</si>
  <si>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</si>
  <si>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</si>
  <si>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</si>
  <si>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</si>
  <si>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</si>
  <si>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</si>
  <si>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</si>
  <si>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</si>
  <si>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</si>
  <si>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</si>
  <si>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</si>
  <si>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</si>
  <si>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</si>
  <si>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</si>
  <si>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</si>
  <si>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</si>
  <si>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</si>
  <si>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</si>
  <si>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</si>
  <si>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</si>
  <si>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</si>
  <si>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</si>
  <si>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</si>
  <si>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</si>
  <si>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</si>
  <si>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</si>
  <si>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</si>
  <si>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</si>
  <si>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</si>
  <si>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</si>
  <si>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</si>
  <si>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</si>
  <si>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</si>
  <si>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</si>
  <si>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</si>
  <si>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</si>
  <si>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</si>
  <si>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</si>
  <si>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</si>
  <si>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</si>
  <si>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</si>
  <si>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</si>
  <si>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</si>
  <si>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</si>
  <si>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</si>
  <si>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</si>
  <si>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</si>
  <si>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</si>
  <si>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</si>
  <si>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</si>
  <si>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</si>
  <si>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</si>
  <si>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</si>
  <si>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</si>
  <si>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</si>
  <si>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</si>
  <si>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</si>
  <si>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</si>
  <si>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</si>
  <si>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</si>
  <si>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</si>
  <si>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</si>
  <si>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</si>
  <si>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</si>
  <si>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</si>
  <si>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</si>
  <si>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</si>
  <si>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</si>
  <si>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</si>
  <si>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</si>
  <si>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</si>
  <si>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</si>
  <si>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</si>
  <si>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</si>
  <si>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</si>
  <si>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</si>
  <si>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</si>
  <si>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</si>
  <si>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</si>
  <si>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</si>
  <si>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</si>
  <si>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</si>
  <si>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</si>
  <si>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</si>
  <si>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</si>
  <si>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</si>
  <si>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</si>
  <si>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</si>
  <si>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</si>
  <si>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</si>
  <si>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</si>
  <si>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</si>
  <si>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</si>
  <si>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</si>
  <si>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</si>
  <si>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</si>
  <si>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</si>
  <si>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</si>
  <si>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</si>
  <si>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</si>
  <si>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</si>
  <si>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</si>
  <si>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</si>
  <si>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</si>
  <si>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</si>
  <si>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</si>
  <si>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</si>
  <si>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</si>
  <si>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</si>
  <si>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</si>
  <si>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</si>
  <si>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</si>
  <si>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</si>
  <si>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</si>
  <si>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</si>
  <si>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</si>
  <si>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</si>
  <si>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</si>
  <si>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</si>
  <si>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</si>
  <si>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</si>
  <si>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</si>
  <si>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</si>
  <si>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</si>
  <si>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</si>
  <si>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</si>
  <si>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</si>
  <si>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</si>
  <si>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</si>
  <si>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</si>
  <si>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</si>
  <si>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</si>
  <si>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</si>
  <si>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</si>
  <si>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</si>
  <si>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</si>
  <si>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</si>
  <si>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</si>
  <si>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</si>
  <si>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</si>
  <si>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</si>
  <si>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</si>
  <si>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</si>
  <si>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</si>
  <si>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</si>
  <si>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</si>
  <si>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</si>
  <si>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</si>
  <si>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</si>
  <si>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</si>
  <si>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</si>
  <si>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</si>
  <si>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</si>
  <si>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</si>
  <si>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</si>
  <si>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</si>
  <si>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</si>
  <si>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</si>
  <si>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</si>
  <si>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</si>
  <si>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</si>
  <si>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</si>
  <si>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</si>
  <si>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</si>
  <si>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</si>
  <si>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</si>
  <si>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</si>
  <si>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</si>
  <si>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</si>
  <si>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</si>
  <si>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</si>
  <si>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</si>
  <si>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</si>
  <si>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</si>
  <si>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</si>
  <si>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</si>
  <si>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</si>
  <si>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</si>
  <si>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</si>
  <si>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</si>
  <si>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</si>
  <si>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</si>
  <si>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</si>
  <si>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</si>
  <si>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</si>
  <si>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</si>
  <si>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</si>
  <si>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</si>
  <si>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</si>
  <si>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</si>
  <si>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</si>
  <si>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</si>
  <si>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</si>
  <si>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</si>
  <si>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</si>
  <si>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</si>
  <si>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</si>
  <si>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</si>
  <si>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</si>
  <si>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</si>
  <si>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</si>
  <si>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</si>
  <si>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</si>
  <si>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</si>
  <si>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</si>
  <si>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</si>
  <si>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</si>
  <si>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</si>
  <si>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</si>
  <si>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</si>
  <si>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</si>
  <si>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</si>
  <si>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</si>
  <si>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</si>
  <si>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</si>
  <si>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</si>
  <si>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</si>
  <si>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</si>
  <si>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</si>
  <si>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</si>
  <si>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</si>
  <si>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</si>
  <si>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</si>
  <si>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</si>
  <si>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</si>
  <si>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</si>
  <si>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</si>
  <si>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</si>
  <si>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</si>
  <si>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</si>
  <si>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</si>
  <si>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</si>
  <si>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</si>
  <si>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</si>
  <si>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</si>
  <si>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</si>
  <si>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</si>
  <si>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</si>
  <si>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</si>
  <si>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</si>
  <si>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</si>
  <si>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</si>
  <si>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</si>
  <si>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</si>
  <si>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</si>
  <si>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</si>
  <si>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</si>
  <si>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</si>
  <si>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</si>
  <si>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</si>
  <si>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</si>
  <si>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</si>
  <si>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</si>
  <si>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</si>
  <si>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</si>
  <si>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</si>
  <si>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</si>
  <si>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</si>
  <si>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</si>
  <si>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</si>
  <si>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</si>
  <si>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</si>
  <si>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</si>
  <si>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</si>
  <si>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</si>
  <si>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</si>
  <si>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</si>
  <si>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</si>
  <si>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</si>
  <si>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</si>
  <si>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</si>
  <si>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</si>
  <si>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</si>
  <si>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</si>
  <si>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</si>
  <si>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</si>
  <si>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</si>
  <si>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</si>
  <si>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</si>
  <si>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</si>
  <si>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</si>
  <si>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</si>
  <si>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</si>
  <si>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</si>
  <si>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</si>
  <si>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</si>
  <si>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</si>
  <si>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</si>
  <si>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</si>
  <si>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</si>
  <si>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</si>
  <si>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</si>
  <si>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</si>
  <si>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</si>
  <si>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</si>
  <si>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</si>
  <si>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</si>
  <si>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</si>
  <si>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</si>
  <si>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</si>
  <si>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</si>
  <si>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</si>
  <si>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</si>
  <si>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</si>
  <si>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</si>
  <si>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</si>
  <si>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</si>
  <si>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</si>
  <si>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</si>
  <si>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</si>
  <si>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</si>
  <si>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</si>
  <si>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</si>
  <si>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</si>
  <si>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</si>
  <si>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</si>
  <si>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</si>
  <si>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</si>
  <si>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</si>
  <si>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</si>
  <si>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</si>
  <si>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</si>
  <si>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</si>
  <si>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</si>
  <si>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</si>
  <si>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</si>
  <si>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</si>
  <si>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</si>
  <si>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</si>
  <si>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</si>
  <si>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</si>
  <si>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</si>
  <si>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</si>
  <si>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</si>
  <si>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</si>
  <si>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</si>
  <si>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</si>
  <si>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</si>
  <si>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</si>
  <si>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</si>
  <si>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</si>
  <si>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</si>
  <si>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</si>
  <si>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</si>
  <si>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</si>
  <si>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</si>
  <si>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</si>
  <si>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</si>
  <si>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</si>
  <si>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</si>
  <si>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</si>
  <si>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</si>
  <si>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</si>
  <si>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</si>
  <si>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</si>
  <si>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</si>
  <si>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</si>
  <si>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</si>
  <si>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</si>
  <si>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</si>
  <si>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</si>
  <si>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</si>
  <si>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</si>
  <si>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</si>
  <si>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</si>
  <si>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</si>
  <si>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</si>
  <si>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</si>
  <si>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</si>
  <si>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</si>
  <si>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</si>
  <si>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</si>
  <si>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</si>
  <si>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</si>
  <si>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</si>
  <si>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</si>
  <si>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</si>
  <si>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</si>
  <si>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</si>
  <si>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</si>
  <si>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</si>
  <si>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</si>
  <si>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</si>
  <si>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</si>
  <si>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</si>
  <si>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</si>
  <si>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</si>
  <si>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</si>
  <si>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</si>
  <si>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</si>
  <si>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</si>
  <si>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</si>
  <si>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</si>
  <si>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</si>
  <si>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</si>
  <si>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</si>
  <si>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</si>
  <si>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</si>
  <si>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</si>
  <si>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</si>
  <si>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</si>
  <si>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</si>
  <si>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</si>
  <si>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</si>
  <si>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</si>
  <si>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</si>
  <si>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</si>
  <si>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</si>
  <si>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</si>
  <si>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</si>
  <si>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</si>
  <si>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</si>
  <si>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</si>
  <si>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</si>
  <si>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</si>
  <si>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</si>
  <si>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</si>
  <si>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</si>
  <si>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</si>
  <si>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</si>
  <si>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</si>
  <si>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</si>
  <si>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</si>
  <si>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</si>
  <si>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</si>
  <si>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</si>
  <si>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</si>
  <si>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</si>
  <si>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</si>
  <si>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</si>
  <si>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</si>
  <si>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</si>
  <si>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</si>
  <si>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</si>
  <si>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</si>
  <si>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</si>
  <si>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</si>
  <si>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</si>
  <si>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</si>
  <si>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</si>
  <si>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</si>
  <si>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</si>
  <si>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</si>
  <si>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</si>
  <si>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</si>
  <si>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</si>
  <si>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</si>
  <si>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</si>
  <si>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</si>
  <si>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</si>
  <si>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</si>
  <si>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</si>
  <si>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</si>
  <si>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</si>
  <si>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</si>
  <si>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</si>
  <si>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</si>
  <si>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</si>
  <si>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</si>
  <si>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</si>
  <si>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</si>
  <si>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</si>
  <si>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</si>
  <si>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</si>
  <si>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</si>
  <si>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</si>
  <si>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</si>
  <si>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</si>
  <si>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</si>
  <si>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</si>
  <si>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</si>
  <si>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</si>
  <si>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</si>
  <si>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</si>
  <si>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</si>
  <si>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</si>
  <si>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</si>
  <si>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</si>
  <si>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</si>
  <si>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</si>
  <si>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</si>
  <si>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</si>
  <si>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</si>
  <si>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</si>
  <si>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</si>
  <si>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</si>
  <si>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</si>
  <si>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</si>
  <si>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</si>
  <si>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</si>
  <si>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</si>
  <si>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</si>
  <si>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</si>
  <si>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</si>
  <si>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</si>
  <si>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</si>
  <si>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</si>
  <si>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</si>
  <si>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</si>
  <si>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</si>
  <si>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</si>
  <si>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</si>
  <si>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</si>
  <si>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</si>
  <si>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</si>
  <si>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</si>
  <si>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</si>
  <si>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</si>
  <si>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</si>
  <si>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</si>
  <si>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</si>
  <si>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</si>
  <si>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</si>
  <si>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</si>
  <si>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</si>
  <si>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</si>
  <si>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</si>
  <si>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</si>
  <si>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</si>
  <si>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</si>
  <si>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</si>
  <si>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</si>
  <si>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</si>
  <si>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</si>
  <si>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</si>
  <si>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</si>
  <si>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</si>
  <si>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</si>
  <si>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</si>
  <si>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</si>
  <si>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</si>
  <si>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</si>
  <si>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</si>
  <si>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</si>
  <si>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</si>
  <si>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</si>
  <si>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</si>
  <si>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</si>
  <si>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</si>
  <si>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</si>
  <si>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</si>
  <si>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</si>
  <si>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</si>
  <si>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</si>
  <si>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</si>
  <si>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</si>
  <si>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</si>
  <si>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</si>
  <si>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</si>
  <si>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</si>
  <si>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</si>
  <si>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</si>
  <si>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</si>
  <si>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</si>
  <si>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</si>
  <si>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</si>
  <si>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</si>
  <si>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</si>
  <si>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</si>
  <si>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</si>
  <si>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</si>
  <si>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</si>
  <si>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</si>
  <si>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</si>
  <si>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</si>
  <si>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</si>
  <si>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</si>
  <si>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</si>
  <si>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</si>
  <si>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</si>
  <si>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</si>
  <si>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</si>
  <si>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</si>
  <si>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</si>
  <si>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</si>
  <si>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</si>
  <si>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</si>
  <si>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</si>
  <si>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</si>
  <si>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</si>
  <si>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</si>
  <si>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</si>
  <si>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</si>
  <si>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</si>
  <si>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</si>
  <si>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</si>
  <si>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</si>
  <si>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</si>
  <si>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</si>
  <si>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</si>
  <si>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</si>
  <si>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</si>
  <si>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</si>
  <si>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</si>
  <si>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</si>
  <si>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</si>
  <si>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</si>
  <si>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</si>
  <si>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</si>
  <si>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</si>
  <si>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</si>
  <si>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</si>
  <si>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</si>
  <si>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</si>
  <si>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</si>
  <si>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</si>
  <si>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</si>
  <si>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</si>
  <si>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</si>
  <si>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</si>
  <si>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</si>
  <si>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</si>
  <si>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</si>
  <si>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</si>
  <si>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</si>
  <si>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</si>
  <si>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</si>
  <si>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</si>
  <si>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</si>
  <si>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</si>
  <si>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</si>
  <si>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</si>
  <si>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</si>
  <si>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</si>
  <si>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</si>
  <si>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</si>
  <si>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</si>
  <si>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</si>
  <si>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</si>
  <si>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</si>
  <si>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</si>
  <si>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</si>
  <si>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</si>
  <si>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</si>
  <si>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</si>
  <si>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</si>
  <si>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</si>
  <si>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</si>
  <si>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</si>
  <si>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</si>
  <si>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</si>
  <si>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</si>
  <si>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</si>
  <si>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</si>
  <si>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</si>
  <si>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</si>
  <si>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</si>
  <si>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</si>
  <si>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</si>
  <si>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</si>
  <si>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</si>
  <si>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</si>
  <si>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</si>
  <si>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</si>
  <si>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</si>
  <si>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</si>
  <si>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</si>
  <si>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</si>
  <si>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</si>
  <si>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</si>
  <si>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</si>
  <si>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</si>
  <si>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</si>
  <si>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</si>
  <si>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</si>
  <si>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</si>
  <si>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</si>
  <si>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</si>
  <si>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</si>
  <si>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</si>
  <si>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</si>
  <si>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</si>
  <si>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</si>
  <si>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</si>
  <si>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</si>
  <si>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</si>
  <si>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</si>
  <si>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</si>
  <si>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</si>
  <si>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</si>
  <si>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</si>
  <si>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</si>
  <si>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</si>
  <si>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</si>
  <si>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</si>
  <si>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</si>
  <si>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</si>
  <si>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</si>
  <si>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</si>
  <si>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</si>
  <si>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</si>
  <si>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</si>
  <si>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</si>
  <si>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</si>
  <si>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</si>
  <si>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</si>
  <si>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</si>
  <si>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</si>
  <si>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</si>
  <si>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</si>
  <si>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</si>
  <si>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</si>
  <si>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</si>
  <si>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</si>
  <si>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</si>
  <si>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</si>
  <si>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</si>
  <si>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</si>
  <si>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</si>
  <si>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</si>
  <si>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</si>
  <si>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</si>
  <si>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</si>
  <si>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</si>
  <si>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</si>
  <si>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</si>
  <si>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</si>
  <si>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</si>
  <si>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</si>
  <si>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</si>
  <si>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</si>
  <si>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</si>
  <si>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</si>
  <si>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</si>
  <si>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</si>
  <si>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</si>
  <si>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</si>
  <si>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</si>
  <si>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</si>
  <si>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</si>
  <si>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</si>
  <si>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</si>
  <si>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</si>
  <si>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</si>
  <si>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</si>
  <si>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</si>
  <si>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</si>
  <si>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</si>
  <si>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</si>
  <si>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</si>
  <si>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</si>
  <si>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</si>
  <si>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</si>
  <si>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</si>
  <si>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</si>
  <si>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</si>
  <si>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</si>
  <si>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</si>
  <si>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</si>
  <si>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</si>
  <si>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</si>
  <si>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</si>
  <si>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</si>
  <si>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</si>
  <si>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</si>
  <si>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</si>
  <si>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</si>
  <si>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</si>
  <si>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</si>
  <si>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</si>
  <si>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</si>
  <si>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</si>
  <si>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</si>
  <si>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</si>
  <si>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</si>
  <si>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</si>
  <si>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</si>
  <si>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</si>
  <si>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</si>
  <si>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</si>
  <si>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</si>
  <si>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</si>
  <si>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</si>
  <si>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</si>
  <si>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</si>
  <si>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</si>
  <si>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</si>
  <si>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</si>
  <si>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</si>
  <si>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</si>
  <si>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</si>
  <si>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</si>
  <si>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</si>
  <si>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</si>
  <si>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</si>
  <si>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</si>
  <si>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</si>
  <si>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</si>
  <si>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</si>
  <si>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</si>
  <si>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</si>
  <si>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</si>
  <si>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</si>
  <si>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</si>
  <si>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</si>
  <si>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</si>
  <si>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</si>
  <si>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</si>
  <si>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</si>
  <si>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</si>
  <si>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</si>
  <si>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</si>
  <si>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</si>
  <si>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</si>
  <si>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</si>
  <si>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</si>
  <si>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</si>
  <si>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</si>
  <si>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</si>
  <si>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</si>
  <si>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</si>
  <si>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</si>
  <si>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</si>
  <si>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</si>
  <si>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</si>
  <si>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</si>
  <si>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</si>
  <si>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</si>
  <si>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</si>
  <si>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</si>
  <si>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</si>
  <si>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</si>
  <si>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</si>
  <si>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</si>
  <si>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</si>
  <si>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</si>
  <si>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</si>
  <si>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</si>
  <si>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</si>
  <si>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</si>
  <si>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</si>
  <si>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</si>
  <si>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</si>
  <si>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</si>
  <si>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</si>
  <si>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</si>
  <si>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</si>
  <si>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</si>
  <si>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</si>
  <si>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</si>
  <si>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</si>
  <si>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</si>
  <si>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</si>
  <si>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</si>
  <si>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</si>
  <si>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</si>
  <si>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</si>
  <si>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</si>
  <si>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</si>
  <si>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</si>
  <si>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</si>
  <si>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</si>
  <si>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</si>
  <si>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</si>
  <si>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</si>
  <si>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</si>
  <si>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</si>
  <si>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</si>
  <si>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</si>
  <si>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</si>
  <si>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</si>
  <si>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</si>
  <si>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</si>
  <si>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</si>
  <si>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</si>
  <si>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</si>
  <si>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</si>
  <si>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</si>
  <si>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</si>
  <si>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</si>
  <si>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</si>
  <si>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</si>
  <si>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</si>
  <si>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</si>
  <si>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</si>
  <si>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</si>
  <si>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</si>
  <si>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</si>
  <si>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</si>
  <si>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</si>
  <si>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</si>
  <si>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</si>
  <si>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</si>
  <si>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</si>
  <si>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</si>
  <si>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</si>
  <si>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</si>
  <si>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</si>
  <si>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</si>
  <si>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</si>
  <si>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</si>
  <si>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</si>
  <si>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</si>
  <si>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</si>
  <si>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</si>
  <si>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</si>
  <si>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</si>
  <si>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</si>
  <si>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</si>
  <si>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</si>
  <si>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</si>
  <si>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</si>
  <si>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</si>
  <si>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</si>
  <si>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</si>
  <si>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</si>
  <si>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</si>
  <si>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</si>
  <si>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</si>
  <si>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</si>
  <si>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</si>
  <si>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</si>
  <si>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</si>
  <si>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</si>
  <si>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</si>
  <si>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</si>
  <si>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</si>
  <si>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</si>
  <si>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</si>
  <si>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</si>
  <si>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</si>
  <si>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</si>
  <si>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</si>
  <si>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</si>
  <si>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</si>
  <si>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</si>
  <si>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</si>
  <si>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</si>
  <si>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</si>
  <si>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</si>
  <si>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</si>
  <si>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</si>
  <si>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</si>
  <si>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</si>
  <si>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</si>
  <si>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</si>
  <si>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</si>
  <si>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</si>
  <si>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</si>
  <si>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</si>
  <si>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</si>
  <si>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</si>
  <si>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</si>
  <si>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</si>
  <si>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</si>
  <si>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</si>
  <si>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</si>
  <si>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</si>
  <si>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</si>
  <si>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</si>
  <si>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</si>
  <si>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</si>
  <si>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</si>
  <si>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</si>
  <si>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</si>
  <si>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</si>
  <si>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</si>
  <si>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</si>
  <si>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</si>
  <si>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</si>
  <si>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</si>
  <si>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</si>
  <si>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</si>
  <si>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</si>
  <si>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</si>
  <si>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</si>
  <si>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</si>
  <si>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</si>
  <si>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</si>
  <si>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</si>
  <si>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</si>
  <si>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</si>
  <si>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</si>
  <si>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</si>
  <si>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</si>
  <si>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</si>
  <si>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</si>
  <si>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</si>
  <si>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</si>
  <si>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</si>
  <si>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</si>
  <si>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</si>
  <si>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</si>
  <si>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</si>
  <si>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</si>
  <si>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</si>
  <si>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</si>
  <si>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</si>
  <si>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</si>
  <si>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</si>
  <si>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</si>
  <si>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</si>
  <si>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</si>
  <si>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</si>
  <si>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</si>
  <si>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</si>
  <si>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</si>
  <si>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</si>
  <si>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</si>
  <si>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</si>
  <si>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</si>
  <si>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</si>
  <si>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</si>
  <si>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</si>
  <si>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</si>
  <si>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</si>
  <si>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</si>
  <si>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</si>
  <si>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</si>
  <si>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</si>
  <si>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</si>
  <si>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</si>
  <si>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</si>
  <si>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</si>
  <si>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</si>
  <si>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</si>
  <si>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</si>
  <si>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</si>
  <si>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</si>
  <si>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</si>
  <si>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</si>
  <si>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</si>
  <si>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</si>
  <si>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</si>
  <si>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</si>
  <si>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</si>
  <si>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</si>
  <si>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</si>
  <si>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</si>
  <si>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</si>
  <si>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</si>
  <si>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</si>
  <si>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</si>
  <si>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</si>
  <si>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</si>
  <si>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</si>
  <si>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</si>
  <si>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</si>
  <si>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</si>
  <si>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</si>
  <si>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</si>
  <si>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</si>
  <si>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</si>
  <si>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</si>
  <si>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</si>
  <si>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</si>
  <si>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</si>
  <si>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</si>
  <si>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</si>
  <si>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</si>
  <si>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</si>
  <si>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</si>
  <si>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</si>
  <si>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</si>
  <si>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</si>
  <si>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</si>
  <si>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</si>
  <si>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</si>
  <si>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</si>
  <si>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</si>
  <si>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</si>
  <si>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</si>
  <si>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</si>
  <si>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</si>
  <si>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</si>
  <si>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</si>
  <si>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</si>
  <si>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</si>
  <si>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</si>
  <si>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</si>
  <si>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</si>
  <si>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</si>
  <si>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</si>
  <si>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</si>
  <si>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</si>
  <si>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</si>
  <si>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</si>
  <si>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</si>
  <si>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</si>
  <si>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</si>
  <si>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</si>
  <si>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</si>
  <si>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</si>
  <si>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</si>
  <si>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</si>
  <si>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</si>
  <si>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</si>
  <si>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</si>
  <si>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</si>
  <si>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</si>
  <si>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</si>
  <si>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</si>
  <si>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</si>
  <si>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</si>
  <si>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</si>
  <si>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</si>
  <si>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</si>
  <si>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</si>
  <si>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</si>
  <si>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</si>
  <si>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</si>
  <si>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</si>
  <si>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</si>
  <si>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</si>
  <si>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</si>
  <si>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</si>
  <si>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</si>
  <si>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</si>
  <si>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</si>
  <si>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</si>
  <si>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</si>
  <si>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</si>
  <si>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</si>
  <si>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</si>
  <si>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</si>
  <si>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</si>
  <si>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</si>
  <si>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</si>
  <si>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</si>
  <si>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</si>
  <si>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</si>
  <si>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</si>
  <si>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</si>
  <si>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</si>
  <si>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</si>
  <si>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</si>
  <si>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</si>
  <si>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</si>
  <si>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</si>
  <si>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</si>
  <si>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</si>
  <si>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</si>
  <si>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</si>
  <si>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</si>
  <si>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</si>
  <si>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</si>
  <si>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</si>
  <si>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</si>
  <si>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</si>
  <si>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</si>
  <si>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</si>
  <si>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</si>
  <si>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</si>
  <si>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</si>
  <si>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</si>
  <si>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</si>
  <si>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</si>
  <si>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</si>
  <si>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</si>
  <si>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</si>
  <si>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</si>
  <si>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</si>
  <si>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</si>
  <si>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</si>
  <si>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</si>
  <si>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</si>
  <si>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</si>
  <si>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</si>
  <si>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</si>
  <si>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</si>
  <si>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</si>
  <si>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</si>
  <si>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</si>
  <si>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</si>
  <si>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</si>
  <si>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</si>
  <si>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</si>
  <si>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</si>
  <si>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</si>
  <si>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</si>
  <si>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</si>
  <si>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</si>
  <si>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</si>
  <si>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</si>
  <si>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</si>
  <si>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</si>
  <si>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</si>
  <si>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</si>
  <si>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</si>
  <si>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</si>
  <si>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</si>
  <si>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</si>
  <si>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</si>
  <si>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</si>
  <si>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</si>
  <si>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</si>
  <si>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</si>
  <si>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</si>
  <si>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</si>
  <si>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</si>
  <si>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</si>
  <si>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</si>
  <si>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</si>
  <si>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</si>
  <si>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</si>
  <si>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</si>
  <si>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</si>
  <si>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</si>
  <si>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</si>
  <si>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</si>
  <si>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</si>
  <si>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</si>
  <si>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</si>
  <si>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</si>
  <si>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</si>
  <si>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</si>
  <si>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</si>
  <si>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</si>
  <si>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</si>
  <si>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</si>
  <si>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</si>
  <si>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</si>
  <si>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</si>
  <si>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</si>
  <si>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</si>
  <si>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</si>
  <si>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</si>
  <si>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</si>
  <si>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</si>
  <si>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</si>
  <si>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</si>
  <si>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M. Modrzewska</t>
  </si>
  <si>
    <t>Osoba</t>
  </si>
  <si>
    <t>Mateusz Osowski</t>
  </si>
  <si>
    <t>Cyprian Kosik</t>
  </si>
  <si>
    <t>Natalia Świgoń</t>
  </si>
  <si>
    <t>Krzysztof Świgoń</t>
  </si>
  <si>
    <t>Krzysztof Leja</t>
  </si>
  <si>
    <t>Michał Cherek</t>
  </si>
  <si>
    <t>Sławek Ostrowski</t>
  </si>
  <si>
    <t>Zygmunt Żumda-Trzebiatowski</t>
  </si>
  <si>
    <t>Paweł Ziemiański</t>
  </si>
  <si>
    <t>Paweł Ellwart (Nordea)</t>
  </si>
  <si>
    <t>Hieronim Kucharski</t>
  </si>
  <si>
    <t>Ryszard Sadowski</t>
  </si>
  <si>
    <t>Igor Gielniak</t>
  </si>
  <si>
    <t>Maria Brzeska-Deli</t>
  </si>
  <si>
    <t>prof. Piotr Kielan</t>
  </si>
  <si>
    <t>Edward Krzemiński</t>
  </si>
  <si>
    <t>Filip Ludka</t>
  </si>
  <si>
    <t>Ola Kucharska</t>
  </si>
  <si>
    <t>Tadeusz Szefler</t>
  </si>
  <si>
    <t>Piotr Grudowski</t>
  </si>
  <si>
    <t>Paweł Balewski</t>
  </si>
  <si>
    <t>Paweł Leyk</t>
  </si>
  <si>
    <t>Kajetan Lewandowski</t>
  </si>
  <si>
    <t>Jolanta Rudzka-Habisiak</t>
  </si>
  <si>
    <t>Maciej Cherek</t>
  </si>
  <si>
    <t>Zbigniew Zienowicz</t>
  </si>
  <si>
    <t>Jarosław Olek</t>
  </si>
  <si>
    <t>Krzysztof Ludka</t>
  </si>
  <si>
    <t>Przemysław Biesek</t>
  </si>
  <si>
    <t>prof. Maciej Sobczak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</si>
</sst>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</cellXfs>
  <cellStyles count="3">
    <cellStyle name="Normalny" xfId="0" builtinId="0"/>
    <cellStyle name="Normalny 2" xfId="1" xr:uid="{B583D91A-72FD-4F8D-9274-2D4BD9705AA5}"/>
    <cellStyle name="Procentowy" xfId="2" builtinId="5"/>
  </cellStyles>
  <dxfs count="5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Zestawienia_ilościowe!$B$17:$B$24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Zestawienia_ilościowe!$A$17:$A$24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Zestawienia_ilościowe!$C$119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Zestawienia_ilościowe!$A$120:$B$122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Zestawienia_ilościowe!$C$120:$C$122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Zestawienia_ilościowe!$A$28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Zestawienia_ilościowe!$B$29:$B$30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Zestawienia_ilościowe!$A$29:$A$30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Zestawienia_ilościowe!$A$33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Zestawienia_ilościowe!$B$35:$B$41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Zestawienia_ilościowe!$A$35:$A$41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Zestawienia_ilościowe!$A$44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Zestawienia_ilościowe!$B$46:$B$51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Zestawienia_ilościowe!$A$46:$A$51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Zestawienia_ilościowe!$C$59:$D$66</c15:sqref>
                  </c15:fullRef>
                </c:ext>
              </c:extLst>
              <c:f>(Zestawienia_ilościowe!$C$59:$D$59,Zestawienia_ilościowe!$C$61:$D$66)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Zestawienia_ilościowe!$A$59:$A$66</c15:sqref>
                  </c15:fullRef>
                </c:ext>
              </c:extLst>
              <c:f>(Zestawienia_ilościowe!$A$59,Zestawienia_ilościowe!$A$61:$A$66)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Zestawienia_ilościowe!$A$71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Zestawienia_ilościowe!$B$72:$B$73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Zestawienia_ilościowe!$A$72:$A$73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Zestawienia_ilościowe!$A$75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Zestawienia_ilościowe!$B$77:$B$83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Zestawienia_ilościowe!$A$77:$A$83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Zestawienia_ilościowe!$A$86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Zestawienia_ilościowe!$B$87:$B$116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Zestawienia_ilościowe!$A$87:$A$116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Zestawienia_ilościowe!$C$529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Zestawienia_ilościowe!$A$530:$B$536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Zestawienia_ilościowe!$C$530:$C$536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62">
      <pivotArea type="all" dataOnly="0" outline="0" fieldPosition="0"/>
    </format>
    <format dxfId="461">
      <pivotArea outline="0" collapsedLevelsAreSubtotals="1" fieldPosition="0"/>
    </format>
    <format dxfId="460">
      <pivotArea field="95" type="button" dataOnly="0" labelOnly="1" outline="0" axis="axisRow" fieldPosition="0"/>
    </format>
    <format dxfId="459">
      <pivotArea dataOnly="0" labelOnly="1" fieldPosition="0">
        <references count="1">
          <reference field="95" count="0"/>
        </references>
      </pivotArea>
    </format>
    <format dxfId="458">
      <pivotArea dataOnly="0" labelOnly="1" grandRow="1" outline="0" fieldPosition="0"/>
    </format>
    <format dxfId="4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68">
      <pivotArea type="all" dataOnly="0" outline="0" fieldPosition="0"/>
    </format>
    <format dxfId="467">
      <pivotArea outline="0" collapsedLevelsAreSubtotals="1" fieldPosition="0"/>
    </format>
    <format dxfId="466">
      <pivotArea field="49" type="button" dataOnly="0" labelOnly="1" outline="0" axis="axisRow" fieldPosition="0"/>
    </format>
    <format dxfId="465">
      <pivotArea dataOnly="0" labelOnly="1" fieldPosition="0">
        <references count="1">
          <reference field="49" count="0"/>
        </references>
      </pivotArea>
    </format>
    <format dxfId="464">
      <pivotArea dataOnly="0" labelOnly="1" grandRow="1" outline="0" fieldPosition="0"/>
    </format>
    <format dxfId="4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74">
      <pivotArea type="all" dataOnly="0" outline="0" fieldPosition="0"/>
    </format>
    <format dxfId="473">
      <pivotArea outline="0" collapsedLevelsAreSubtotals="1" fieldPosition="0"/>
    </format>
    <format dxfId="472">
      <pivotArea field="144" type="button" dataOnly="0" labelOnly="1" outline="0" axis="axisRow" fieldPosition="0"/>
    </format>
    <format dxfId="471">
      <pivotArea dataOnly="0" labelOnly="1" fieldPosition="0">
        <references count="1">
          <reference field="144" count="0"/>
        </references>
      </pivotArea>
    </format>
    <format dxfId="470">
      <pivotArea dataOnly="0" labelOnly="1" grandRow="1" outline="0" fieldPosition="0"/>
    </format>
    <format dxfId="4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80">
      <pivotArea type="all" dataOnly="0" outline="0" fieldPosition="0"/>
    </format>
    <format dxfId="479">
      <pivotArea outline="0" collapsedLevelsAreSubtotals="1" fieldPosition="0"/>
    </format>
    <format dxfId="478">
      <pivotArea field="105" type="button" dataOnly="0" labelOnly="1" outline="0" axis="axisRow" fieldPosition="0"/>
    </format>
    <format dxfId="477">
      <pivotArea dataOnly="0" labelOnly="1" fieldPosition="0">
        <references count="1">
          <reference field="105" count="0"/>
        </references>
      </pivotArea>
    </format>
    <format dxfId="476">
      <pivotArea dataOnly="0" labelOnly="1" grandRow="1" outline="0" fieldPosition="0"/>
    </format>
    <format dxfId="4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86">
      <pivotArea type="all" dataOnly="0" outline="0" fieldPosition="0"/>
    </format>
    <format dxfId="485">
      <pivotArea outline="0" collapsedLevelsAreSubtotals="1" fieldPosition="0"/>
    </format>
    <format dxfId="484">
      <pivotArea field="170" type="button" dataOnly="0" labelOnly="1" outline="0" axis="axisRow" fieldPosition="0"/>
    </format>
    <format dxfId="483">
      <pivotArea dataOnly="0" labelOnly="1" fieldPosition="0">
        <references count="1">
          <reference field="170" count="0"/>
        </references>
      </pivotArea>
    </format>
    <format dxfId="482">
      <pivotArea dataOnly="0" labelOnly="1" grandRow="1" outline="0" fieldPosition="0"/>
    </format>
    <format dxfId="4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91">
      <pivotArea type="all" dataOnly="0" outline="0" fieldPosition="0"/>
    </format>
    <format dxfId="490">
      <pivotArea outline="0" collapsedLevelsAreSubtotals="1" fieldPosition="0"/>
    </format>
    <format dxfId="489">
      <pivotArea field="49" type="button" dataOnly="0" labelOnly="1" outline="0" axis="axisRow" fieldPosition="0"/>
    </format>
    <format dxfId="488">
      <pivotArea dataOnly="0" labelOnly="1" grandRow="1" outline="0" fieldPosition="0"/>
    </format>
    <format dxfId="4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97">
      <pivotArea type="all" dataOnly="0" outline="0" fieldPosition="0"/>
    </format>
    <format dxfId="496">
      <pivotArea outline="0" collapsedLevelsAreSubtotals="1" fieldPosition="0"/>
    </format>
    <format dxfId="495">
      <pivotArea field="115" type="button" dataOnly="0" labelOnly="1" outline="0" axis="axisRow" fieldPosition="0"/>
    </format>
    <format dxfId="494">
      <pivotArea dataOnly="0" labelOnly="1" fieldPosition="0">
        <references count="1">
          <reference field="115" count="0"/>
        </references>
      </pivotArea>
    </format>
    <format dxfId="493">
      <pivotArea dataOnly="0" labelOnly="1" grandRow="1" outline="0" fieldPosition="0"/>
    </format>
    <format dxfId="4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503">
      <pivotArea type="all" dataOnly="0" outline="0" fieldPosition="0"/>
    </format>
    <format dxfId="502">
      <pivotArea outline="0" collapsedLevelsAreSubtotals="1" fieldPosition="0"/>
    </format>
    <format dxfId="501">
      <pivotArea field="31" type="button" dataOnly="0" labelOnly="1" outline="0" axis="axisRow" fieldPosition="0"/>
    </format>
    <format dxfId="500">
      <pivotArea dataOnly="0" labelOnly="1" fieldPosition="0">
        <references count="1">
          <reference field="31" count="0"/>
        </references>
      </pivotArea>
    </format>
    <format dxfId="499">
      <pivotArea dataOnly="0" labelOnly="1" grandRow="1" outline="0" fieldPosition="0"/>
    </format>
    <format dxfId="4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509">
      <pivotArea type="all" dataOnly="0" outline="0" fieldPosition="0"/>
    </format>
    <format dxfId="508">
      <pivotArea outline="0" collapsedLevelsAreSubtotals="1" fieldPosition="0"/>
    </format>
    <format dxfId="507">
      <pivotArea field="15" type="button" dataOnly="0" labelOnly="1" outline="0" axis="axisRow" fieldPosition="0"/>
    </format>
    <format dxfId="506">
      <pivotArea dataOnly="0" labelOnly="1" fieldPosition="0">
        <references count="1">
          <reference field="15" count="0"/>
        </references>
      </pivotArea>
    </format>
    <format dxfId="505">
      <pivotArea dataOnly="0" labelOnly="1" grandRow="1" outline="0" fieldPosition="0"/>
    </format>
    <format dxfId="50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A136" totalsRowCount="1">
  <autoFilter ref="A2:HA135" xr:uid="{BC01C17C-E729-4430-9A94-BDF77386BAED}">
    <filterColumn colId="6">
      <customFilters>
        <customFilter operator="notEqual" val=" "/>
      </customFilters>
    </filterColumn>
  </autoFilter>
  <sortState xmlns:xlrd2="http://schemas.microsoft.com/office/spreadsheetml/2017/richdata2" ref="A3:HA135">
    <sortCondition ref="G2:G135"/>
  </sortState>
  <tableColumns count="209">
    <tableColumn id="1" xr3:uid="{37199E79-F22A-49C0-B1C3-8001D68B6905}" name="Lp."/>
    <tableColumn id="214" xr3:uid="{15F16F1A-B79B-4E98-AC9F-5DC850A3D9F6}" name="ID_zakończone" dataDxfId="113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112">
      <calculatedColumnFormula>COUNTA(I3:HA3)</calculatedColumnFormula>
    </tableColumn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219" xr3:uid="{F8693F28-3C62-40E9-9FD6-468716B62CBC}" name="Osoba"/>
    <tableColumn id="14" xr3:uid="{A75D7BB0-BDD4-4F9E-BFE1-A35FFDAA2A35}" name="Czy jesteś studentem uczelni wyższej?" totalsRowFunction="custom" dataDxfId="111" totalsRowDxfId="93">
      <totalsRowFormula>COUNTA((I3:I135))</totalsRowFormula>
    </tableColumn>
    <tableColumn id="15" xr3:uid="{59EBE606-808E-4993-BA84-2428F0FB2A27}" name="Jak się nazywa uczelnia, na której studiujesz? (proszę o wybranie jednej uczelni podlegającej ocenie)" totalsRowFunction="custom" totalsRowDxfId="92">
      <totalsRowFormula>COUNTA((J3:J135))</totalsRowFormula>
    </tableColumn>
    <tableColumn id="16" xr3:uid="{B883EC52-B4D3-434E-8AFF-6334D1B8C483}" name="Czy studiujesz na kierunku technicznym, tzn. takim, po którym uzyskasz tytuł inżyniera?" totalsRowFunction="custom" totalsRowDxfId="91">
      <totalsRowFormula>COUNTA((K3:K135))</totalsRowFormula>
    </tableColumn>
    <tableColumn id="17" xr3:uid="{C6F68B54-181D-4E6B-90DE-3758AC28643F}" name="Jak się nazywa kierunek, na którym studiujesz?" totalsRowFunction="custom" totalsRowDxfId="90">
      <totalsRowFormula>COUNTA((L3:L135))</totalsRowFormula>
    </tableColumn>
    <tableColumn id="18" xr3:uid="{4009F8D5-0845-4794-BD7B-DEDD90E1035F}" name="Moja satysfakcja z usług edukacyjnych ocenianej uczelni jest wysoka." totalsRowFunction="custom" totalsRowDxfId="89">
      <totalsRowFormula>COUNTA((M3:M135))</totalsRowFormula>
    </tableColumn>
    <tableColumn id="19" xr3:uid="{9C33E588-FD6F-4756-A796-19608D8E5787}" name="Usługi edukacyjne ocenianej uczelni mają wysoką wartość (okazja / szansa rozwoju własnego lub kariery)." totalsRowFunction="custom" totalsRowDxfId="88">
      <totalsRowFormula>COUNTA((N3:N135))</totalsRowFormula>
    </tableColumn>
    <tableColumn id="20" xr3:uid="{AD29E10C-3B61-4AC3-9DB6-E5592E85F54D}" name="Kształcenie na ocenianej uczelni ma/będzie miało pozytywny wpływ na zwiększenie moich zarobków." totalsRowFunction="custom" totalsRowDxfId="87">
      <totalsRowFormula>COUNTA((O3:O135))</totalsRowFormula>
    </tableColumn>
    <tableColumn id="21" xr3:uid="{29A03634-DD01-47E7-9082-570B2CBA75AC}" name="Kolumna1" totalsRowFunction="custom" totalsRowDxfId="86">
      <totalsRowFormula>COUNTA((P3:P135))</totalsRowFormula>
    </tableColumn>
    <tableColumn id="22" xr3:uid="{E3063293-8C09-4AD3-970A-FC723899E602}" name="w pierwszym roku po ukończeniu studiów : wybierz wartość z listy rozwijanej" totalsRowFunction="custom" totalsRowDxfId="85">
      <totalsRowFormula>COUNTA((Q3:Q135))</totalsRowFormula>
    </tableColumn>
    <tableColumn id="23" xr3:uid="{62967F23-9856-4DFD-AADC-42AC36B2CDB1}" name="w 3 lata po ukończeniu studiów : wybierz wartość z listy rozwijanej" totalsRowFunction="custom" totalsRowDxfId="84">
      <totalsRowFormula>COUNTA((R3:R135))</totalsRowFormula>
    </tableColumn>
    <tableColumn id="24" xr3:uid="{574DBE71-FF3A-4DA1-A563-EECF8E03B030}" name="Jakich innych (poza zarobkami) efektów kształcenia na ocenianej uczelni się spodziewasz?" totalsRowFunction="custom" totalsRowDxfId="83">
      <totalsRowFormula>COUNTA((S3:S135))</totalsRowFormula>
    </tableColumn>
    <tableColumn id="25" xr3:uid="{70C7E301-ECA2-4DF8-B78C-6550E2B616A1}" name="Jakie elementy lub cechy sprawiały, że Tobie studiowało się dobrze?" totalsRowFunction="custom" totalsRowDxfId="82">
      <totalsRowFormula>COUNTA((T3:T135))</totalsRowFormula>
    </tableColumn>
    <tableColumn id="26" xr3:uid="{86CB3A73-27F1-4FCF-B9E3-8D590DC2DB33}" name="Jakie elementy lub cechy sprawiały, że Tobie studiowało się źle?" totalsRowFunction="custom" totalsRowDxfId="81">
      <totalsRowFormula>COUNTA((U3:U135))</totalsRowFormula>
    </tableColumn>
    <tableColumn id="27" xr3:uid="{8DCB6BDF-C860-4D73-8953-D14EF0C8F0AA}" name="Jakiego rodzaju są Twoje studia?" totalsRowFunction="custom" totalsRowDxfId="80">
      <totalsRowFormula>COUNTA((V3:V135))</totalsRowFormula>
    </tableColumn>
    <tableColumn id="28" xr3:uid="{F292FE47-988D-4A95-932D-2E3B34B7BF0B}" name="Pole dodatkowe" totalsRowFunction="custom" totalsRowDxfId="79">
      <totalsRowFormula>COUNTA((W3:W135))</totalsRowFormula>
    </tableColumn>
    <tableColumn id="29" xr3:uid="{4225184D-873A-4CF3-B8D1-575C3D6A2435}" name="Na którym semestrze studiujesz obecnie?" totalsRowFunction="custom" totalsRowDxfId="78">
      <totalsRowFormula>COUNTA((X3:X135))</totalsRowFormula>
    </tableColumn>
    <tableColumn id="30" xr3:uid="{41979390-06F4-463C-ADB5-F98E8C311CBA}" name="Czy jesteś absolwentem uczelni wyższej?" totalsRowFunction="custom" dataDxfId="110" totalsRowDxfId="77">
      <totalsRowFormula>COUNTA((Y3:Y135))</totalsRowFormula>
    </tableColumn>
    <tableColumn id="31" xr3:uid="{BBF7434D-D66B-496B-B17B-27248613CC58}" name="Jak się nazywa uczelnia którą ukończyłeś? (proszę o wybranie jednej uczelni podlegającej ocenie)" totalsRowFunction="custom" totalsRowDxfId="76">
      <totalsRowFormula>COUNTA((Z3:Z135))</totalsRowFormula>
    </tableColumn>
    <tableColumn id="216" xr3:uid="{72DEEBC7-088A-46A4-9999-AE96ED74030A}" name="KategoriaUczelni" dataDxfId="109" totalsRowDxfId="75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74">
      <totalsRowFormula>COUNTA((AB3:AB135))</totalsRowFormula>
    </tableColumn>
    <tableColumn id="33" xr3:uid="{AE05B081-E180-4E09-9192-4F27CE79F7EB}" name="Czy ukończony kierunek był kierunkiem technicznym, tzn. takim, po którym uzyskałaś/eś tytuł inżyniera?" totalsRowFunction="custom" totalsRowDxfId="73">
      <totalsRowFormula>COUNTA((AC3:AC135))</totalsRowFormula>
    </tableColumn>
    <tableColumn id="34" xr3:uid="{B85DD2EE-D5F2-46D3-9E33-DA992576E185}" name="Jak się nazywa kierunek, który ukończyłaś/eś?" totalsRowFunction="custom" totalsRowDxfId="72">
      <totalsRowFormula>COUNTA((AD3:AD135))</totalsRowFormula>
    </tableColumn>
    <tableColumn id="35" xr3:uid="{4CC44F8F-616F-4095-99F6-60AF14EEC568}" name="Moja satysfakcja z (efektów) usług edukacyjnych ocenianej uczelni jest wysoka." totalsRowFunction="custom" totalsRowDxfId="71">
      <totalsRowFormula>COUNTA((AE3:AE135))</totalsRowFormula>
    </tableColumn>
    <tableColumn id="36" xr3:uid="{1C6D88CF-332B-4752-A729-93BFDD454B5A}" name="Usługi edukacyjne ocenianej uczelni mają wysoką wartość (okazja / szansa rozwoju własnego lub kariery).3" totalsRowFunction="custom" totalsRowDxfId="70">
      <totalsRowFormula>COUNTA((AF3:AF135))</totalsRowFormula>
    </tableColumn>
    <tableColumn id="37" xr3:uid="{44EB38FB-B9C9-46B4-B0FB-9985D53C385D}" name="Kształcenie na ocenianej uczelni ma/miało pozytywny wpływ na zwiększenie moich zarobków." totalsRowFunction="custom" totalsRowDxfId="69">
      <totalsRowFormula>COUNTA((AG3:AG135))</totalsRowFormula>
    </tableColumn>
    <tableColumn id="38" xr3:uid="{34BE9A51-E55F-4AE8-87A0-FBEC63D51E8F}" name="Moje zarobki w pierwszym roku po ukończeniu studiów były satysfakcjonujące." totalsRowFunction="custom" totalsRowDxfId="68">
      <totalsRowFormula>COUNTA((AH3:AH135))</totalsRowFormula>
    </tableColumn>
    <tableColumn id="39" xr3:uid="{4033761C-CB95-4451-B0C4-2ABCB2769F7E}" name="Moje zarobki po 3. latach po ukończeniu studiów były satysfakcjonujące." totalsRowFunction="custom" totalsRowDxfId="67">
      <totalsRowFormula>COUNTA((AI3:AI135))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66">
      <totalsRowFormula>COUNTA((AJ3:AJ135))</totalsRowFormula>
    </tableColumn>
    <tableColumn id="41" xr3:uid="{25DB6FAA-8A3B-408B-9262-5EDE22E06BA2}" name="w pierwszym roku po ukończeniu studiów : wybierz wartość z listy rozwijanej4" totalsRowFunction="custom" totalsRowDxfId="65">
      <totalsRowFormula>COUNTA((AK3:AK135))</totalsRowFormula>
    </tableColumn>
    <tableColumn id="42" xr3:uid="{2B38DFDD-3D06-4B52-B1DB-7F8144FEDBDB}" name="w 3 lata po ukończeniu studiów : wybierz wartość z listy rozwijanej5" totalsRowFunction="custom" totalsRowDxfId="64">
      <totalsRowFormula>COUNTA((AL3:AL135))</totalsRowFormula>
    </tableColumn>
    <tableColumn id="43" xr3:uid="{FBBBF8D2-7A99-41FF-B15C-4A2191C9D8D9}" name="Jakie inne (poza zarobkami) efekty kształcenia na ocenianej uczelni dostrzegasz obecnie?" totalsRowFunction="custom" totalsRowDxfId="63">
      <totalsRowFormula>COUNTA((AM3:AM135))</totalsRowFormula>
    </tableColumn>
    <tableColumn id="44" xr3:uid="{6B48263B-8F26-4FBA-9F9A-424993C5E3ED}" name="Co wpływało na twoją satysfakcję ze studiowania?_x000a_" totalsRowFunction="custom" totalsRowDxfId="62">
      <totalsRowFormula>COUNTA((AN3:AN135))</totalsRowFormula>
    </tableColumn>
    <tableColumn id="45" xr3:uid="{52ED1FC9-CD2D-42A5-B204-567F0483F099}" name="Kolumna6" totalsRowFunction="custom" totalsRowDxfId="61">
      <totalsRowFormula>COUNTA((AO3:AO135))</totalsRowFormula>
    </tableColumn>
    <tableColumn id="46" xr3:uid="{3D74590B-7E93-443E-BE1C-FD99ECE16017}" name="Jakiego rodzaju były Twoje studia?" totalsRowFunction="custom" totalsRowDxfId="60">
      <totalsRowFormula>COUNTA((AP3:AP135))</totalsRowFormula>
    </tableColumn>
    <tableColumn id="47" xr3:uid="{E8CA34F5-D9E4-418D-8BF9-050444C4061E}" name="Pole dodatkowe7" totalsRowFunction="custom" totalsRowDxfId="59">
      <totalsRowFormula>COUNTA((AQ3:AQ135))</totalsRowFormula>
    </tableColumn>
    <tableColumn id="48" xr3:uid="{A48EA897-6002-486C-94A2-3071DE7EB5AD}" name="Czy jesteś rodzicem / opiekunem absolwenta uczelni wyższej?" totalsRowFunction="custom" dataDxfId="108" totalsRowDxfId="58">
      <totalsRowFormula>COUNTA((AR3:AR135))</totalsRowFormula>
    </tableColumn>
    <tableColumn id="49" xr3:uid="{FEE5A281-6D4B-4D31-93CD-509A968E7773}" name="Uczelnie ilu podopiecznych będziesz oceniać?" totalsRowFunction="custom" totalsRowDxfId="57">
      <totalsRowFormula>COUNTA((AS3:AS135))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56">
      <totalsRowFormula>COUNTA((AT3:AT135))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55">
      <totalsRowFormula>COUNTA((AU3:AU135))</totalsRowFormula>
    </tableColumn>
    <tableColumn id="52" xr3:uid="{2D5E47C8-051A-480B-B96D-83E7709F1700}" name="Czy ukończony kierunek był kierunkiem technicznym, tzn. takim, po którym uzyskano tytuł inżyniera?" totalsRowFunction="custom" totalsRowDxfId="54">
      <totalsRowFormula>COUNTA((AV3:AV135))</totalsRowFormula>
    </tableColumn>
    <tableColumn id="53" xr3:uid="{D51D9DD7-878A-415B-B2F8-02F53EBFA22A}" name="Jak się nazywa kierunek, który ukończył/a Twoja/Twój podopieczna/podopieczny?" totalsRowFunction="custom" totalsRowDxfId="53">
      <totalsRowFormula>COUNTA((AW3:AW135))</totalsRowFormula>
    </tableColumn>
    <tableColumn id="54" xr3:uid="{D3DB1C46-F931-4289-86D2-779EC4340002}" name="Moja satysfakcja z (efektów) usług edukacyjnych ocenianej uczelni jest wysoka.8" totalsRowFunction="custom" totalsRowDxfId="52">
      <totalsRowFormula>COUNTA((AX3:AX135))</totalsRowFormula>
    </tableColumn>
    <tableColumn id="55" xr3:uid="{FC532F03-86AD-4521-9C9D-42FA860A53FB}" name="Usługi edukacyjne ocenianej uczelni mają wysoką wartość (okazja / szansa rozwoju własnego lub kariery).9" totalsRowFunction="custom" totalsRowDxfId="51">
      <totalsRowFormula>COUNTA((AY3:AY135))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50">
      <totalsRowFormula>COUNTA((AZ3:AZ135))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9">
      <totalsRowFormula>COUNTA((BA3:BA135))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">
      <totalsRowFormula>COUNTA((BB3:BB135))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7">
      <totalsRowFormula>COUNTA((BC3:BC135))</totalsRowFormula>
    </tableColumn>
    <tableColumn id="60" xr3:uid="{847514F8-F661-4B2D-88BE-10ABFD806894}" name="Jakie inne (poza zarobkami) efekty kształcenia na ocenianej uczelni się dostrzegasz obecnie?" totalsRowFunction="custom" totalsRowDxfId="46">
      <totalsRowFormula>COUNTA((BD3:BD135))</totalsRowFormula>
    </tableColumn>
    <tableColumn id="61" xr3:uid="{8B4485AE-C106-41C7-89AC-D28DBDA4C166}" name="Jakiego rodzaju były studia, które ukończył/a Twoja/Twój podopieczna/podopieczny?" totalsRowFunction="custom" totalsRowDxfId="45">
      <totalsRowFormula>COUNTA((BE3:BE135))</totalsRowFormula>
    </tableColumn>
    <tableColumn id="62" xr3:uid="{F0DE0B1C-928B-4581-8D63-11188CD95233}" name="Pole dodatkowe10" totalsRowFunction="custom" totalsRowDxfId="44">
      <totalsRowFormula>COUNTA((BF3:BF135))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3">
      <totalsRowFormula>COUNTA((BG3:BG135))</totalsRowFormula>
    </tableColumn>
    <tableColumn id="64" xr3:uid="{08619068-F1EA-4298-AAE7-77A34A620074}" name="Czy będziesz oceniał uczelnię ukończoną przez drugiego podopiecznego?" totalsRowFunction="custom" totalsRowDxfId="42">
      <totalsRowFormula>COUNTA((BH3:BH135))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1">
      <totalsRowFormula>COUNTA((BI3:BI135))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0">
      <totalsRowFormula>COUNTA((BJ3:BJ135))</totalsRowFormula>
    </tableColumn>
    <tableColumn id="67" xr3:uid="{1C6ADC27-9F30-4227-81CE-3C15A0D6C10C}" name="Czy ukończony kierunek był kierunkiem technicznym, tzn. takim, po którym uzyskano tytuł inżyniera?13" totalsRowFunction="custom" totalsRowDxfId="39">
      <totalsRowFormula>COUNTA((BK3:BK135))</totalsRowFormula>
    </tableColumn>
    <tableColumn id="68" xr3:uid="{94C8B518-4547-40DD-AC32-B5C834F0511E}" name="Jak się nazywa kierunek, który ukończył/a Twoja/Twój podopieczna/podopieczny?14" totalsRowFunction="custom" totalsRowDxfId="38">
      <totalsRowFormula>COUNTA((BL3:BL135))</totalsRowFormula>
    </tableColumn>
    <tableColumn id="69" xr3:uid="{00BE12AC-CBE0-47D5-8BEF-A62C47DFED23}" name="Moja satysfakcja z (efektów) usług edukacyjnych ocenianej uczelni jest wysoka.15" totalsRowFunction="custom" totalsRowDxfId="37">
      <totalsRowFormula>COUNTA((BM3:BM135))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6">
      <totalsRowFormula>COUNTA((BN3:BN135))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5">
      <totalsRowFormula>COUNTA((BO3:BO135))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4">
      <totalsRowFormula>COUNTA((BP3:BP135))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3">
      <totalsRowFormula>COUNTA((BQ3:BQ135))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2">
      <totalsRowFormula>COUNTA((BR3:BR135))</totalsRowFormula>
    </tableColumn>
    <tableColumn id="75" xr3:uid="{54EF7743-0CB2-446D-9665-46C77C464F05}" name="Jakie inne (poza zarobkami) efekty kształcenia na ocenianej uczelni się dostrzegasz obecnie?21" totalsRowFunction="custom" totalsRowDxfId="31">
      <totalsRowFormula>COUNTA((BS3:BS135))</totalsRowFormula>
    </tableColumn>
    <tableColumn id="76" xr3:uid="{BE93B27C-1906-4695-BEC1-231FA6883C68}" name="Jakiego rodzaju były studia, które ukończył/a Twoja/Twój podopieczna/podopieczny?22" totalsRowFunction="custom" totalsRowDxfId="30">
      <totalsRowFormula>COUNTA((BT3:BT135))</totalsRowFormula>
    </tableColumn>
    <tableColumn id="77" xr3:uid="{C2670D09-B14E-48CE-8D3B-FD4F08474C2E}" name="Pole dodatkowe23" totalsRowFunction="custom" totalsRowDxfId="29">
      <totalsRowFormula>COUNTA((BU3:BU135))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28">
      <totalsRowFormula>COUNTA((BV3:BV135))</totalsRowFormula>
    </tableColumn>
    <tableColumn id="79" xr3:uid="{E97ECC9E-9FF4-4C29-9ADE-07B0EFB1798E}" name="Czy będziesz oceniał uczelnię ukończoną przez trzeciego podopiecznego?" totalsRowFunction="custom" totalsRowDxfId="27">
      <totalsRowFormula>COUNTA((BW3:BW135))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26">
      <totalsRowFormula>COUNTA((BX3:BX135))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25">
      <totalsRowFormula>COUNTA((BY3:BY135))</totalsRowFormula>
    </tableColumn>
    <tableColumn id="82" xr3:uid="{E402E02B-32F9-4918-AC52-1E2746EFF732}" name="Czy ukończony kierunek był kierunkiem technicznym, tzn. takim, po którym uzyskano tytuł inżyniera?27" totalsRowFunction="custom" totalsRowDxfId="24">
      <totalsRowFormula>COUNTA((BZ3:BZ135))</totalsRowFormula>
    </tableColumn>
    <tableColumn id="83" xr3:uid="{366FF8BB-67D0-4A1D-9E42-1C25C26E69CE}" name="Jak się nazywa kierunek, który ukończył/a Twoja/Twój podopieczna/podopieczny?28" totalsRowFunction="custom" totalsRowDxfId="23">
      <totalsRowFormula>COUNTA((CA3:CA135))</totalsRowFormula>
    </tableColumn>
    <tableColumn id="84" xr3:uid="{32321BD9-57CD-47D0-BD7D-B2AFCC1C3078}" name="Moja satysfakcja z (efektów) usług edukacyjnych ocenianej uczelni jest wysoka.29" totalsRowFunction="custom" totalsRowDxfId="22">
      <totalsRowFormula>COUNTA((CB3:CB135))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21">
      <totalsRowFormula>COUNTA((CC3:CC135))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20">
      <totalsRowFormula>COUNTA((CD3:CD135))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19">
      <totalsRowFormula>COUNTA((CE3:CE135))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18">
      <totalsRowFormula>COUNTA((CF3:CF135))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17">
      <totalsRowFormula>COUNTA((CG3:CG135))</totalsRowFormula>
    </tableColumn>
    <tableColumn id="90" xr3:uid="{5F53B8F1-FD09-4B74-AA23-7EDED9615A73}" name="Jakie inne (poza zarobkami) efekty kształcenia na ocenianej uczelni się dostrzegasz obecnie?35" totalsRowFunction="custom" totalsRowDxfId="16">
      <totalsRowFormula>COUNTA((CH3:CH135))</totalsRowFormula>
    </tableColumn>
    <tableColumn id="91" xr3:uid="{0049B607-BD4D-49EA-B5EE-E8E785ACDC34}" name="Jakiego rodzaju były studia, które ukończył/a Twoja/Twój podopieczna/podopieczny?36" totalsRowFunction="custom" totalsRowDxfId="15">
      <totalsRowFormula>COUNTA((CI3:CI135))</totalsRowFormula>
    </tableColumn>
    <tableColumn id="92" xr3:uid="{86B9680A-4D70-4DFA-8189-827F813E4B73}" name="Pole dodatkowe37" totalsRowFunction="custom" totalsRowDxfId="14">
      <totalsRowFormula>COUNTA((CJ3:CJ135))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3">
      <totalsRowFormula>COUNTA((CK3:CK135))</totalsRowFormula>
    </tableColumn>
    <tableColumn id="94" xr3:uid="{BA461F2C-93E1-4AB3-B06B-BCD05B9B9AA2}" name="Czy jesteś aktualnie pracownikiem administracyjnym uczelni wyższej?" totalsRowFunction="custom" dataDxfId="107" totalsRowDxfId="12">
      <totalsRowFormula>COUNTA((CL3:CL135))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106" totalsRowDxfId="11">
      <totalsRowFormula>COUNTA((CV3:CV135))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105" totalsRowDxfId="10">
      <totalsRowFormula>COUNTA((DF3:DF135))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104" totalsRowDxfId="9">
      <totalsRowFormula>COUNTA((EI3:EI135))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103" totalsRowDxfId="8">
      <totalsRowFormula>COUNTA((FI3:FI135))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7">
      <totalsRowFormula>COUNTA((GT3:GT135))</totalsRowFormula>
    </tableColumn>
    <tableColumn id="207" xr3:uid="{2B31368C-8BB4-45F5-A368-4A4E1AFFFE2E}" name="Rok urodzenia" totalsRowFunction="custom" totalsRowDxfId="6">
      <totalsRowFormula>COUNTA((GU3:GU135))</totalsRowFormula>
    </tableColumn>
    <tableColumn id="215" xr3:uid="{0DA27BC3-BCA7-4CF6-A54C-77E28EA17827}" name="GrupaWiekowa" dataDxfId="102" totalsRowDxfId="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">
      <totalsRowFormula>COUNTA((GW3:GW135))</totalsRowFormula>
    </tableColumn>
    <tableColumn id="209" xr3:uid="{40C0F4A2-88CA-4804-AB61-0C883C5C9CF7}" name="Pole dodatkowe52" totalsRowFunction="custom" totalsRowDxfId="3">
      <totalsRowFormula>COUNTA((GX3:GX135))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2">
      <totalsRowFormula>COUNTA((GY3:GY135))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1">
      <totalsRowFormula>COUNTA((GZ3:GZ135))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0">
      <totalsRowFormula>COUNTA((HA3:HA135))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521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5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519">
  <autoFilter ref="B11:C41" xr:uid="{153EF96D-20D3-4BD5-AB25-706F6B338490}"/>
  <tableColumns count="2">
    <tableColumn id="1" xr3:uid="{F3934641-58AD-451D-A35B-5D57D7E0E414}" name="Nazwa uczelni" dataDxfId="518"/>
    <tableColumn id="2" xr3:uid="{011F8DAE-7C60-444B-B4A2-78D05A325532}" name="Kategoria uczelni" dataDxfId="51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516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515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514">
  <autoFilter ref="C56:J176" xr:uid="{5D26DE38-F7A2-4F97-87CE-56F2D813A5B5}"/>
  <tableColumns count="8">
    <tableColumn id="1" xr3:uid="{87EDC6F7-8950-491A-8CAF-CF6610BCA33B}" name="Poziom istotności / _x000a_stopnie swobody" dataDxfId="513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512">
  <autoFilter ref="F44:G51" xr:uid="{0B0D128A-46C3-497C-A070-B19EDC90314A}"/>
  <tableColumns count="2">
    <tableColumn id="1" xr3:uid="{85BFDFE9-FEF0-48BD-8D34-235474A93582}" name="Wartość graniczna" dataDxfId="511"/>
    <tableColumn id="2" xr3:uid="{1807328A-696A-4241-94CB-E1EC739F6F81}" name="Interpretacja średniej" dataDxfId="5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56" totalsRowDxfId="455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54" totalsRowDxfId="453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52">
      <totalsRowFormula>COUNTA((O3:O159))</totalsRowFormula>
    </tableColumn>
    <tableColumn id="14" xr3:uid="{0BD7A98F-1F10-4FB8-B054-37BDD3B56396}" name="Czy jesteś studentem uczelni wyższej?" totalsRowFunction="custom" dataDxfId="451" totalsRowDxfId="450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49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48">
      <totalsRowFormula>COUNTA((R3:R159))</totalsRowFormula>
    </tableColumn>
    <tableColumn id="17" xr3:uid="{24BCBB34-34C1-4984-962F-C53466F3EF8F}" name="Jak się nazywa kierunek, na którym studiujesz?" totalsRowFunction="custom" totalsRowDxfId="447">
      <totalsRowFormula>COUNTA((S3:S159))</totalsRowFormula>
    </tableColumn>
    <tableColumn id="18" xr3:uid="{9ADB9BCC-C1C9-4FDD-A2DF-FCC26DBEB749}" name="Moja satysfakcja z usług edukacyjnych ocenianej uczelni jest wysoka." totalsRowFunction="custom" totalsRowDxfId="446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45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44">
      <totalsRowFormula>COUNTA((V3:V159))</totalsRowFormula>
    </tableColumn>
    <tableColumn id="21" xr3:uid="{EAC188BA-5A2E-4D44-97B7-481328766AE0}" name="Kolumna1" totalsRowFunction="custom" totalsRowDxfId="443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42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41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40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39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38">
      <totalsRowFormula>COUNTA((AB3:AB159))</totalsRowFormula>
    </tableColumn>
    <tableColumn id="27" xr3:uid="{D0177BE1-4E02-4595-8669-95C494930B5B}" name="Jakiego rodzaju są Twoje studia?" totalsRowFunction="custom" totalsRowDxfId="437">
      <totalsRowFormula>COUNTA((AC3:AC159))</totalsRowFormula>
    </tableColumn>
    <tableColumn id="28" xr3:uid="{3597DDE1-E56A-406C-8EDD-22E18D515174}" name="Pole dodatkowe" totalsRowFunction="custom" totalsRowDxfId="436">
      <totalsRowFormula>COUNTA((AD3:AD159))</totalsRowFormula>
    </tableColumn>
    <tableColumn id="29" xr3:uid="{66ED4699-908F-4DD2-BD11-F0A6AA4499D4}" name="Na którym semestrze studiujesz obecnie?" totalsRowFunction="custom" totalsRowDxfId="435">
      <totalsRowFormula>COUNTA((AE3:AE159))</totalsRowFormula>
    </tableColumn>
    <tableColumn id="30" xr3:uid="{665AE932-5635-468D-B539-28624FF56492}" name="Czy jesteś absolwentem uczelni wyższej?" totalsRowFunction="custom" dataDxfId="434" totalsRowDxfId="433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32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31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30">
      <totalsRowFormula>COUNTA((AI3:AI159))</totalsRowFormula>
    </tableColumn>
    <tableColumn id="34" xr3:uid="{ADAE23AC-8F73-4453-AC5D-FE2116FA8AF9}" name="Jak się nazywa kierunek, który ukończyłaś/eś?" totalsRowFunction="custom" totalsRowDxfId="429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28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27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26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25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24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23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22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21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20">
      <totalsRowFormula>COUNTA((AS3:AS159))</totalsRowFormula>
    </tableColumn>
    <tableColumn id="44" xr3:uid="{C9AA4BEA-8991-4F56-A7E1-DA0762C2B486}" name="Co wpływało na twoją satysfakcję ze studiowania?_x000a_" totalsRowFunction="custom" totalsRowDxfId="419">
      <totalsRowFormula>COUNTA((AT3:AT159))</totalsRowFormula>
    </tableColumn>
    <tableColumn id="45" xr3:uid="{00A5350A-103D-4E86-99F7-01E1F081E96E}" name="Kolumna6" totalsRowFunction="custom" totalsRowDxfId="418">
      <totalsRowFormula>COUNTA((AU3:AU159))</totalsRowFormula>
    </tableColumn>
    <tableColumn id="46" xr3:uid="{AB30AA0A-ADAF-4A76-852B-9C6171DBA36D}" name="Jakiego rodzaju były Twoje studia?" totalsRowFunction="custom" totalsRowDxfId="417">
      <totalsRowFormula>COUNTA((AV3:AV159))</totalsRowFormula>
    </tableColumn>
    <tableColumn id="47" xr3:uid="{156EF4B8-4A3F-4406-9CDE-324D32F939BA}" name="Pole dodatkowe7" totalsRowFunction="custom" totalsRowDxfId="416">
      <totalsRowFormula>COUNTA((AW3:AW159))</totalsRowFormula>
    </tableColumn>
    <tableColumn id="48" xr3:uid="{085D3107-411D-41F8-A270-88DCB1EAF46B}" name="Czy jesteś rodzicem / opiekunem absolwenta uczelni wyższej?" totalsRowFunction="custom" dataDxfId="415" totalsRowDxfId="414">
      <totalsRowFormula>COUNTA((AX3:AX159))</totalsRowFormula>
    </tableColumn>
    <tableColumn id="49" xr3:uid="{373F08C1-1889-416C-AADD-9D721E98EE00}" name="Uczelnie ilu podopiecznych będziesz oceniać?" totalsRowFunction="custom" totalsRowDxfId="413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12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411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410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409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408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407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406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405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404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03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402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401">
      <totalsRowFormula>COUNTA((BK3:BK159))</totalsRowFormula>
    </tableColumn>
    <tableColumn id="62" xr3:uid="{D7A10314-D8C8-4D47-9939-D597680A8D89}" name="Pole dodatkowe10" totalsRowFunction="custom" totalsRowDxfId="400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99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98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97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96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395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394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393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392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391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90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89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88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87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86">
      <totalsRowFormula>COUNTA((BZ3:BZ159))</totalsRowFormula>
    </tableColumn>
    <tableColumn id="77" xr3:uid="{6FCF6001-0320-49B2-98E4-DBE8BE04E809}" name="Pole dodatkowe23" totalsRowFunction="custom" totalsRowDxfId="385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84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83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82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81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80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79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78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77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76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75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74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73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72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71">
      <totalsRowFormula>COUNTA((CO3:CO159))</totalsRowFormula>
    </tableColumn>
    <tableColumn id="92" xr3:uid="{D87D6F17-9A18-4BD2-82A2-E153AE86B37C}" name="Pole dodatkowe37" totalsRowFunction="custom" totalsRowDxfId="370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69">
      <totalsRowFormula>COUNTA((CQ3:CQ159))</totalsRowFormula>
    </tableColumn>
    <tableColumn id="94" xr3:uid="{E7DDA408-1945-4BDE-9B5A-12AAC3E05194}" name="Czy jesteś aktualnie pracownikiem administracyjnym uczelni wyższej?" totalsRowFunction="custom" dataDxfId="368" totalsRowDxfId="367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66"/>
    <tableColumn id="96" xr3:uid="{F959B9F3-C53C-4C63-A092-AF4A70D45B06}" name="Na jakim wydziale pracujesz?" totalsRowDxfId="365"/>
    <tableColumn id="97" xr3:uid="{19273B31-1872-4994-B739-304F1E7FBD34}" name="Moja satysfakcja z pracy na ocenianej uczelni jest wysoka." totalsRowDxfId="364"/>
    <tableColumn id="98" xr3:uid="{EE7C1371-E788-4978-B01E-B5870F3E97D1}" name="Atmosfera w zespole współpracowników jest dobra." totalsRowDxfId="363"/>
    <tableColumn id="99" xr3:uid="{04B25BDB-5FFA-42B5-AEBA-FC863BEDBC77}" name="Moje zarobki są satysfakcjonujące." totalsRowDxfId="362"/>
    <tableColumn id="100" xr3:uid="{DAD2DC5B-8DF9-49D3-A852-672969268131}" name="Praca na ocenianej uczelni daje mi duże szanse rozwoju." totalsRowDxfId="361"/>
    <tableColumn id="101" xr3:uid="{27C35901-3DF8-4B77-BEB2-58D43C8B6871}" name="Wartość wykształcenia zdobywanego przez studentów ocenianej uczelni jest wysoka." totalsRowDxfId="360"/>
    <tableColumn id="102" xr3:uid="{4669105C-8E5E-4FD6-97C5-3F5E1BE9CAE4}" name="Zdobyte na ocenianej uczelni wykształcenie ma pozytywny wpływ na zwiększenie zarobków absolwentów." totalsRowDxfId="359"/>
    <tableColumn id="103" xr3:uid="{C2B9909A-91DF-4FB2-B673-AACC920851EA}" name="Jakie inne (poza zarobkami) efekty kształcenia na ocenianej uczelni się dostrzegasz obecnie?39" totalsRowDxfId="358"/>
    <tableColumn id="104" xr3:uid="{1F0E0013-CC4E-4656-BDA5-9028148E569A}" name="Czy jesteś aktualnie pracownikiem naukowym lub dydaktycznym uczelni wyższej?" totalsRowFunction="custom" dataDxfId="357" totalsRowDxfId="356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55"/>
    <tableColumn id="106" xr3:uid="{FAD00E10-66DF-401D-8721-330410755C4C}" name="Na jakim wydziale pracujesz?41" totalsRowDxfId="354"/>
    <tableColumn id="107" xr3:uid="{3ED79AD9-3A2A-4796-A7F7-27B53055A7C5}" name="Moja satysfakcja z pracy na ocenianej uczelni jest wysoka.42" totalsRowDxfId="353"/>
    <tableColumn id="108" xr3:uid="{88F3FD29-277A-4D3B-9F35-812F832A00F4}" name="Atmosfera w zespole współpracowników jest dobra.43" totalsRowDxfId="352"/>
    <tableColumn id="109" xr3:uid="{DC511D2A-6FF2-4B52-B52A-324E6688C5E0}" name="Moje zarobki są satysfakcjonujące.44" totalsRowDxfId="351"/>
    <tableColumn id="110" xr3:uid="{3C031862-BB50-46FB-A01C-928A7B955B19}" name="Praca na ocenianej uczelni daje mi duże szanse rozwoju.45" totalsRowDxfId="350"/>
    <tableColumn id="111" xr3:uid="{26178753-38CF-4749-A317-A1E5F425DF12}" name="Wartość wykształcenia zdobywanego przez studentów ocenianej uczelni jest wysoka.46" totalsRowDxfId="349"/>
    <tableColumn id="112" xr3:uid="{889B113B-59F9-4196-9536-C41274799622}" name="Zdobyte na ocenianej uczelni wykształcenie ma pozytywny wpływ na zwiększenie zarobków absolwentów.47" totalsRowDxfId="348"/>
    <tableColumn id="113" xr3:uid="{018446A9-87AE-432A-96CE-C29A37692C27}" name="Jakie inne (poza zarobkami) efekty kształcenia na ocenianej uczelni dostrzegasz obecnie?48" totalsRowDxfId="347"/>
    <tableColumn id="114" xr3:uid="{D11A2879-2C85-42C1-9C08-4BA4A9592DB0}" name="Czy jesteś przedstawicielem władz uczelni z grupy rektorów, prorektorów, dziekanów, prodziekanów, członków senatu lub członków rady uczelni?" totalsRowFunction="custom" dataDxfId="346" totalsRowDxfId="345">
      <totalsRowFormula>COUNTA((DL3:DL159))</totalsRowFormula>
    </tableColumn>
    <tableColumn id="115" xr3:uid="{758B3CD0-0C56-4596-8D61-D90700A05DA1}" name="Proszę podać pełnioną funkcję" totalsRowDxfId="344"/>
    <tableColumn id="116" xr3:uid="{E904AED4-A38D-42EF-9D38-709BB163A619}" name="Kolumna3" totalsRowDxfId="343"/>
    <tableColumn id="117" xr3:uid="{AF0D4680-ECCA-4738-825E-AB146FC0FF8F}" name="Kolumna4" totalsRowDxfId="342"/>
    <tableColumn id="118" xr3:uid="{65A15536-DE99-4D16-A20B-206F127C5BFB}" name="Kolumna5" totalsRowDxfId="341"/>
    <tableColumn id="119" xr3:uid="{E05782FB-7FE9-42ED-94C4-B7F653167A0F}" name="Jak się nazywa uczelnia którą będziesz oceniać (jako przedstawiciel jej władz)?" totalsRowDxfId="340"/>
    <tableColumn id="120" xr3:uid="{1B7FA187-1663-4FBF-A3C5-EA8D6A053A25}" name="Efekty działań ocenianej uczelni na rzesz jakości edukacji są dobre" totalsRowDxfId="339"/>
    <tableColumn id="121" xr3:uid="{8A6C2138-0511-4784-9BCB-D7F056FD5756}" name="Wartość wykształcenia zdobywanego przez studentów na ocenianej uczelni jest wysoka." totalsRowDxfId="338"/>
    <tableColumn id="122" xr3:uid="{33664698-CEF8-4115-B63B-828882A6D501}" name="Zdobyte przez studentów ocenianej uczelni wykształcenie miało/ma pozytywny wpływ na ich zarobki." totalsRowDxfId="337"/>
    <tableColumn id="123" xr3:uid="{6548C317-5775-47D8-8BB5-03CE96ABFB2C}" name="Efekty działań ocenianej uczelni na rzecz jakości edukacji mają dobry wpływ na rozwój regionu." totalsRowDxfId="336"/>
    <tableColumn id="124" xr3:uid="{04271A5C-5560-4CF8-90D9-89BA9B015FBC}" name="Efekty działań ocenianej uczelni na rzecz jakości edukacji mają dobry wpływ na rozwój Polski." totalsRowDxfId="335"/>
    <tableColumn id="125" xr3:uid="{123DE0DC-02B2-4F9B-BEEB-704DB06821EE}" name="Współpraca ocenianej uczelni z biznesem ma pozytywne efekty dla rozwoju regionu / kraju." totalsRowDxfId="334"/>
    <tableColumn id="126" xr3:uid="{A0DF07F0-161A-4193-A1E6-2065A1C8B63E}" name="Ogólny poziom mojej satysfakcji z jakości usług edukacyjnych ocenianej uczelni jest wysoki." totalsRowDxfId="333"/>
    <tableColumn id="127" xr3:uid="{78D52D23-A055-4089-AEA3-0D0030CEAC4A}" name="Studenci : wybierz wartość z listy rozwijanej" totalsRowDxfId="332"/>
    <tableColumn id="128" xr3:uid="{3C88D815-7B36-4940-B457-1D4916A18A9A}" name="Absolwenci : wybierz wartość z listy rozwijanej" totalsRowDxfId="331"/>
    <tableColumn id="129" xr3:uid="{B7AADA93-8D0B-47F3-BCD2-912D3D3EFF96}" name="Rodzice absolwentów : wybierz wartość z listy rozwijanej" totalsRowDxfId="330"/>
    <tableColumn id="130" xr3:uid="{2419B54D-E941-464A-ABB8-3A728F2F5596}" name="Pracownicy administracyjni : wybierz wartość z listy rozwijanej" totalsRowDxfId="329"/>
    <tableColumn id="131" xr3:uid="{BAB27B7B-2698-4085-8E82-FA14AF164B29}" name="Pracownicy naukowi i dydaktyczni : wybierz wartość z listy rozwijanej" totalsRowDxfId="328"/>
    <tableColumn id="132" xr3:uid="{6A6F970F-B3EB-4E50-9DE6-C8C4C7CAA18A}" name="Pracodawcy : wybierz wartość z listy rozwijanej" totalsRowDxfId="327"/>
    <tableColumn id="133" xr3:uid="{09A6A719-E450-4AC4-8182-90B1F383E84C}" name="Władze samorządowe i centralne : wybierz wartość z listy rozwijanej" totalsRowDxfId="326"/>
    <tableColumn id="134" xr3:uid="{2E207BF2-E2F1-4F2B-9DAE-D3B78D867559}" name="Pole dodatkowe4" totalsRowDxfId="325"/>
    <tableColumn id="135" xr3:uid="{EEB77D73-5571-4E17-8266-02BB1710B8F0}" name="Studenci : wybierz wartość z listy rozwijanej5" totalsRowDxfId="324"/>
    <tableColumn id="136" xr3:uid="{81EA592A-292B-42BA-AA88-85A430ABBA5B}" name="Absolwenci : wybierz wartość z listy rozwijanej6" totalsRowDxfId="323"/>
    <tableColumn id="137" xr3:uid="{AC693E91-1370-42E2-8C6B-A2DEAEDAD6D8}" name="Rodzice absolwentów : wybierz wartość z listy rozwijanej7" totalsRowDxfId="322"/>
    <tableColumn id="138" xr3:uid="{C972A3A6-50AF-4CF0-9221-51F3F1B825B5}" name="Pracownicy administracyjni : wybierz wartość z listy rozwijanej8" totalsRowDxfId="321"/>
    <tableColumn id="139" xr3:uid="{8A17F47D-C5DA-4436-9144-E5A1DC2CE401}" name="Pracownicy naukowi i dydaktyczni : wybierz wartość z listy rozwijanej9" totalsRowDxfId="320"/>
    <tableColumn id="140" xr3:uid="{9C9F0784-2723-4BBD-AE36-08FD5221319D}" name="Pracodawcy : wybierz wartość z listy rozwijanej10" totalsRowDxfId="319"/>
    <tableColumn id="141" xr3:uid="{AAE33EE1-D3BE-432C-9A2D-5D55BE9F26EC}" name="Władze samorządowe i centralne : wybierz wartość z listy rozwijanej11" totalsRowDxfId="318"/>
    <tableColumn id="142" xr3:uid="{C7BCF657-B75F-43D7-A19C-E0A38F71C79A}" name="Pole dodatkowe12" totalsRowDxfId="317"/>
    <tableColumn id="143" xr3:uid="{027BA0BD-D7CE-4B61-BD34-CD9336762A59}" name="Czy jesteś przedstawicielem firmy, w której są zatrudniani absolwenci uczelni wyższych (tytuł licencjata, magistra lub wyższy)?" totalsRowFunction="custom" dataDxfId="316" totalsRowDxfId="315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14"/>
    <tableColumn id="145" xr3:uid="{A9C11981-CE44-482B-9485-624EB4CFA91B}" name="Ile uczelni będziesz oceniać?" totalsRowDxfId="313"/>
    <tableColumn id="146" xr3:uid="{822F037D-C81E-4AA1-A477-75B7599C4C4E}" name="Jak się nazywa uczelnia, którą ocenisz? " totalsRowDxfId="312"/>
    <tableColumn id="147" xr3:uid="{B879E027-4001-4F17-98A9-1FF6DD06C0F9}" name="Moja satysfakcja z (efektów) usług edukacyjnych na ocenianej uczelni jest wysoka." totalsRowDxfId="311"/>
    <tableColumn id="148" xr3:uid="{887E2640-884A-454A-B596-856E217BE2DD}" name="Kompetencje absolwentów ocenianej uczelni są wysokie." totalsRowDxfId="310"/>
    <tableColumn id="149" xr3:uid="{478F5E65-AE32-4F52-99FA-3830D9323C3C}" name="Zarobki absolwentów ocenianej uczelni zatrudnionych w mojej firmie są wyższe od zarobków absolwentów innych polskich uczelni." totalsRowDxfId="309"/>
    <tableColumn id="150" xr3:uid="{E5D4AD52-FA66-4019-983E-25DC2AF5A5A8}" name="Czy w Twojej firmie są zatrudniani absolwenci uczelni w pierwszym roku po ukończeniu studiów (do 12 miesięcy od uzyskania dyplomu)?" totalsRowDxfId="308"/>
    <tableColumn id="151" xr3:uid="{FDC480C9-E39B-4D41-9995-A191329D3555}" name="Jakie kompetencje absolwentów ocenianej uczelni są w Twojej firmie najwyżej wyceniane?" totalsRowDxfId="307"/>
    <tableColumn id="152" xr3:uid="{558E6650-0292-450C-9D81-46BC7B7FA1C9}" name="Jakiego rodzaju prace wykonują absolwenci ocenianej uczelni w Twojej firmie?" totalsRowDxfId="306"/>
    <tableColumn id="153" xr3:uid="{9E8CE1F9-05B3-4737-AC9A-FAE812FD292C}" name="Czy będziesz oceniał drugą uczelnię?" totalsRowDxfId="305"/>
    <tableColumn id="154" xr3:uid="{CEB66B10-0E60-4952-A1B0-1E5C8784E791}" name="Jak się nazywa uczelnia, którą ocenisz? 13" totalsRowDxfId="304"/>
    <tableColumn id="155" xr3:uid="{2864E703-440A-477E-8352-68DEA39F85CD}" name="Moja satysfakcja z (efektów) usług edukacyjnych na ocenianej uczelni jest wysoka.14" totalsRowDxfId="303"/>
    <tableColumn id="156" xr3:uid="{B38513D8-CC85-41E0-85A1-82AC6807323C}" name="Kompetencje absolwentów ocenianej uczelni są wysokie.15" totalsRowDxfId="302"/>
    <tableColumn id="157" xr3:uid="{204ADF47-FBCC-47A6-95D9-5D3E03854768}" name="Zarobki absolwentów ocenianej uczelni zatrudnionych w mojej firmie są wyższe od zarobków absolwentów innych polskich uczelni.16" totalsRowDxfId="301"/>
    <tableColumn id="158" xr3:uid="{7E6A13F3-C53A-4FC9-B3AE-9EA25D9CBCE6}" name="Czy w Twojej firmie są zatrudniani absolwenci uczelni w pierwszym roku po ukończeniu studiów (do 12 miesięcy od uzyskania dyplomu)?17" totalsRowDxfId="300"/>
    <tableColumn id="159" xr3:uid="{83E7A1CC-295A-477E-8CD0-1E43143ACFF6}" name="Jakie kompetencje absolwentów ocenianej uczelni są w Twojej firmie najwyżej wyceniane?18" totalsRowDxfId="299"/>
    <tableColumn id="160" xr3:uid="{C3F49389-F342-4110-8A16-536B6EC87EC2}" name="Jakiego rodzaju prace wykonują absolwenci ocenianej uczelni w Twojej firmie?19" totalsRowDxfId="298"/>
    <tableColumn id="161" xr3:uid="{2BBFB49D-5EDF-4AC5-9179-70BCC6FA0B96}" name="Czy będziesz oceniał trzecią uczelnię techniczną?" totalsRowDxfId="297"/>
    <tableColumn id="162" xr3:uid="{829F7D1E-D133-43C4-A756-6D0B7542D44F}" name="Jak się nazywa uczelnia, którą ocenisz? 20" totalsRowDxfId="296"/>
    <tableColumn id="163" xr3:uid="{8758E395-9800-4CA8-BF43-3BFBF9507549}" name="Moja satysfakcja z (efektów) usług edukacyjnych na ocenianej uczelni jest wysoka.21" totalsRowDxfId="295"/>
    <tableColumn id="164" xr3:uid="{14ABF48C-A9EC-4153-B011-421959501B3A}" name="Kompetencje absolwentów ocenianej uczelni są wysokie.22" totalsRowDxfId="294"/>
    <tableColumn id="165" xr3:uid="{E8A014C5-F146-4C5D-B50B-6E968A7F8B46}" name="Zarobki absolwentów ocenianej uczelni zatrudnionych w mojej firmie są wyższe od zarobków absolwentów innych polskich uczelni.23" totalsRowDxfId="293"/>
    <tableColumn id="166" xr3:uid="{1FF6D355-AF16-4EB9-8805-4741E5F2867E}" name="Czy w Twojej firmie są zatrudniani absolwenci uczelni w pierwszym roku po ukończeniu studiów (do 12 miesięcy od uzyskania dyplomu)?24" totalsRowDxfId="292"/>
    <tableColumn id="167" xr3:uid="{71809E9D-42EC-47FD-9E58-0596DB8FD07D}" name="Jakie kompetencje absolwentów ocenianej uczelni są w Twojej firmie najwyżej wyceniane?25" totalsRowDxfId="291"/>
    <tableColumn id="168" xr3:uid="{6CA2A8B4-3095-459E-BDF0-43522EA7E403}" name="Jakiego rodzaju prace wykonują absolwenci ocenianej uczelni są w Twojej firmie?" totalsRowDxfId="290"/>
    <tableColumn id="169" xr3:uid="{6AEC3D33-E058-4E5E-AEC6-C091FCB970C9}" name="Czy jesteś przedstawicielem władz samorządowych lub centralnych Rzeczypospolitej Polskiej?" totalsRowFunction="custom" dataDxfId="289" totalsRowDxfId="288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87">
      <totalsRowFormula>COUNTA((GZ3:GZ159))</totalsRowFormula>
    </tableColumn>
    <tableColumn id="207" xr3:uid="{17374C0D-5C50-4F2D-9998-48F1A5105C49}" name="Rok urodzenia" totalsRowFunction="custom" totalsRowDxfId="286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85">
      <totalsRowFormula>COUNTA((HB3:HB159))</totalsRowFormula>
    </tableColumn>
    <tableColumn id="209" xr3:uid="{12CD2E72-E534-4809-A75E-AF29F5F5F088}" name="Pole dodatkowe52" totalsRowFunction="custom" totalsRowDxfId="284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83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82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81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80" totalsRowDxfId="279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78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77" totalsRowDxfId="276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75"/>
    <tableColumn id="16" xr3:uid="{AA3DBEFA-9D73-475E-A9A5-2D42522C9072}" name="Czy studiujesz na kierunku technicznym, tzn. takim, po którym uzyskasz tytuł inżyniera?" totalsRowDxfId="274"/>
    <tableColumn id="17" xr3:uid="{8AAAEBAF-D354-47D3-8A57-BF9F06131A1E}" name="Jak się nazywa kierunek, na którym studiujesz?" totalsRowDxfId="273"/>
    <tableColumn id="18" xr3:uid="{CD9C7D41-ABD7-4C41-89ED-89A659BAC655}" name="Moja satysfakcja z usług edukacyjnych ocenianej uczelni jest wysoka." totalsRowDxfId="272"/>
    <tableColumn id="19" xr3:uid="{31FED63E-2530-44F3-A0E2-6B96989E02A8}" name="Usługi edukacyjne ocenianej uczelni mają wysoką wartość (okazja / szansa rozwoju własnego lub kariery)." totalsRowDxfId="271"/>
    <tableColumn id="20" xr3:uid="{378DDC9B-58A3-4DE4-A300-A19FD721A037}" name="Kształcenie na ocenianej uczelni ma/będzie miało pozytywny wpływ na zwiększenie moich zarobków." totalsRowDxfId="270"/>
    <tableColumn id="21" xr3:uid="{C6A24480-7451-49D9-8645-BC69D7F99331}" name="Kolumna1" totalsRowDxfId="269"/>
    <tableColumn id="22" xr3:uid="{D80E567D-CCDD-4B11-B18B-072D893C7687}" name="w pierwszym roku po ukończeniu studiów : wybierz wartość z listy rozwijanej" totalsRowDxfId="268"/>
    <tableColumn id="23" xr3:uid="{CF51D676-6C20-46B0-A565-D78CD8D4C947}" name="w 3 lata po ukończeniu studiów : wybierz wartość z listy rozwijanej" totalsRowDxfId="267"/>
    <tableColumn id="24" xr3:uid="{0F1B2099-4D7F-463D-AC59-617503BC5E14}" name="Jakich innych (poza zarobkami) efektów kształcenia na ocenianej uczelni się spodziewasz?" totalsRowDxfId="266"/>
    <tableColumn id="25" xr3:uid="{35D57207-52B7-455E-A9ED-A6AD95338EC7}" name="Co wpływa na Twoją satysfakcję ze studiowania?" totalsRowDxfId="265"/>
    <tableColumn id="26" xr3:uid="{CAD83457-32FA-404F-A708-C1B3C759AC6E}" name="Kolumna2" totalsRowDxfId="264"/>
    <tableColumn id="27" xr3:uid="{ADC35906-6D65-48D1-81AC-C4B4957B05D5}" name="Jakiego rodzaju są Twoje studia?" totalsRowDxfId="263"/>
    <tableColumn id="28" xr3:uid="{E068B642-DF74-4CAA-A88E-B517DC5FC386}" name="Pole dodatkowe" totalsRowDxfId="262"/>
    <tableColumn id="29" xr3:uid="{38F90488-07A7-4B7C-882D-784B03584081}" name="Na którym semestrze studiujesz obecnie?" totalsRowDxfId="261"/>
    <tableColumn id="30" xr3:uid="{5A578F2D-0AA4-4797-8F97-B23C8F9552C7}" name="Czy jesteś absolwentem uczelni wyższej?" totalsRowFunction="custom" dataDxfId="260" totalsRowDxfId="259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58"/>
    <tableColumn id="32" xr3:uid="{E591DDF7-3A8B-45B3-9972-7C4BB854C0A9}" name="W którym roku ukończyłaś/eś studia (rok w którym uzyskano dyplom ukończenia studiów drugiego stopnia, albo pierwszego stopnia, jeśli nie uzyskano dyplomu 2. stopnia)?" totalsRowDxfId="257"/>
    <tableColumn id="33" xr3:uid="{B826B930-988D-4AF8-9D52-5EF6AF6A7F20}" name="Czy ukończony kierunek był kierunkiem technicznym, tzn. takim, po którym uzyskałaś/eś tytuł inżyniera?" totalsRowDxfId="256"/>
    <tableColumn id="34" xr3:uid="{0507FF43-58D2-4683-81A2-9CE2C2FA5844}" name="Jak się nazywa kierunek, który ukończyłaś/eś?" totalsRowDxfId="255"/>
    <tableColumn id="35" xr3:uid="{AC65CB7E-A5EF-4C79-B96D-EA85400721B9}" name="Moja satysfakcja z (efektów) usług edukacyjnych ocenianej uczelni jest wysoka." totalsRowDxfId="254"/>
    <tableColumn id="36" xr3:uid="{36BB94DA-A6A2-46AA-A0C4-3AAE4ADCC084}" name="Usługi edukacyjne ocenianej uczelni mają wysoką wartość (okazja / szansa rozwoju własnego lub kariery).3" totalsRowDxfId="253"/>
    <tableColumn id="37" xr3:uid="{46DF242C-10FA-47FE-BC6B-045B295812CA}" name="Kształcenie na ocenianej uczelni ma/miało pozytywny wpływ na zwiększenie moich zarobków." totalsRowDxfId="252"/>
    <tableColumn id="38" xr3:uid="{22DB960F-1A91-4EB9-90EA-0C8BB104EBCF}" name="Moje zarobki w pierwszym roku po ukończeniu studiów były satysfakcjonujące." totalsRowDxfId="251"/>
    <tableColumn id="39" xr3:uid="{1AC1C2EA-FD9C-42F6-8732-E88F90068CC4}" name="Moje zarobki po 3. latach po ukończeniu studiów były satysfakcjonujące." totalsRowDxfId="250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49"/>
    <tableColumn id="41" xr3:uid="{53D325CD-E5E6-4C9E-81B0-775315EF4E8E}" name="w pierwszym roku po ukończeniu studiów : wybierz wartość z listy rozwijanej4" totalsRowDxfId="248"/>
    <tableColumn id="42" xr3:uid="{A6B799C8-D5F2-4C68-B71E-F83C3A6075B7}" name="w 3 lata po ukończeniu studiów : wybierz wartość z listy rozwijanej5" totalsRowDxfId="247"/>
    <tableColumn id="43" xr3:uid="{BC589F24-9BD1-4C2F-9397-D51311E5EC39}" name="Jakie inne (poza zarobkami) efekty kształcenia na ocenianej uczelni dostrzegasz obecnie?" totalsRowDxfId="246"/>
    <tableColumn id="44" xr3:uid="{A11C2A67-EC51-4621-92CF-198235F6DDC5}" name="Co wpływało na twoją satysfakcję ze studiowania?_x000a_" totalsRowDxfId="245"/>
    <tableColumn id="45" xr3:uid="{D388932F-1A0A-4689-AB91-4A4F282D3CA9}" name="Kolumna6" totalsRowDxfId="244"/>
    <tableColumn id="46" xr3:uid="{F488CAF2-B800-439E-8332-DDBED1146AB6}" name="Jakiego rodzaju były Twoje studia?" totalsRowDxfId="243"/>
    <tableColumn id="47" xr3:uid="{00FDD7E1-EBD3-4653-98C4-D74FA980AF99}" name="Pole dodatkowe7" totalsRowDxfId="242"/>
    <tableColumn id="48" xr3:uid="{E33AE7B1-7892-48E4-9DBC-AE5EF9034B4E}" name="Czy jesteś rodzicem / opiekunem absolwenta uczelni wyższej?" totalsRowFunction="custom" dataDxfId="241" totalsRowDxfId="240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39"/>
    <tableColumn id="50" xr3:uid="{6BB0F22F-B640-446D-B936-91DFADFA81F1}" name="Jak się nazywa uczelnia, którą ukończył/a Twoja/Twój podopieczna/podopieczny? (proszę o wybranie jednej uczelni podlegającej ocenie)" totalsRowDxfId="238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37"/>
    <tableColumn id="52" xr3:uid="{26244E73-3F31-4ED7-99CC-718C75773980}" name="Czy ukończony kierunek był kierunkiem technicznym, tzn. takim, po którym uzyskano tytuł inżyniera?" totalsRowDxfId="236"/>
    <tableColumn id="53" xr3:uid="{F00033CF-BE1C-4649-B99E-A3FC496AF05C}" name="Jak się nazywa kierunek, który ukończył/a Twoja/Twój podopieczna/podopieczny?" totalsRowDxfId="235"/>
    <tableColumn id="54" xr3:uid="{8AE8E0B0-E59A-4253-8E89-6503DDEE44E9}" name="Moja satysfakcja z (efektów) usług edukacyjnych ocenianej uczelni jest wysoka.8" totalsRowDxfId="234"/>
    <tableColumn id="55" xr3:uid="{D72C8628-4CEE-4A6D-BD58-0114E59C605E}" name="Usługi edukacyjne ocenianej uczelni mają wysoką wartość (okazja / szansa rozwoju własnego lub kariery).9" totalsRowDxfId="233"/>
    <tableColumn id="56" xr3:uid="{53B5753F-3212-43BB-931D-3559FF6976DF}" name="Kształcenie na ocenianej uczelni ma/będzie miało pozytywny wpływ na zwiększenie zarobków mojej/mojego podopiecznej/podopiecznego." totalsRowDxfId="232"/>
    <tableColumn id="57" xr3:uid="{A9563BF9-19A1-46BF-9F31-4690E6A2385C}" name="Zarobki uzyskiwane przez mojego/moją podopieczną/podopiecznego w pierwszym roku po ukończeniu studiów były satysfakcjonujące (z mojego punktu widzenia)" totalsRowDxfId="231"/>
    <tableColumn id="58" xr3:uid="{BCC66B2D-86FD-4227-A5E9-2164B45893B0}" name="Zarobki uzyskiwane przez mojego/moją podopieczną/podopiecznego w 3 lata po ukończeniu studiów były satysfakcjonujące (z mojego punktu widzenia)" totalsRowDxfId="230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29"/>
    <tableColumn id="60" xr3:uid="{94345A4F-9EAB-4FE8-A337-CCC43CF7D9D3}" name="Jakie inne (poza zarobkami) efekty kształcenia na ocenianej uczelni się dostrzegasz obecnie?" totalsRowDxfId="228"/>
    <tableColumn id="61" xr3:uid="{05A46EBB-09E0-4294-881F-C45E3B66E515}" name="Jakiego rodzaju były studia, które ukończył/a Twoja/Twój podopieczna/podopieczny?" totalsRowDxfId="227"/>
    <tableColumn id="62" xr3:uid="{FE0A86D0-775F-435F-8B90-2A7B29B0B462}" name="Pole dodatkowe10" totalsRowDxfId="226"/>
    <tableColumn id="63" xr3:uid="{3C426FB0-5F3F-46C5-9E34-DD901FAA5A82}" name="Jeśli Twoja/Twój podopieczna/podopieczny ukończył/a również inne szkoły / kierunki studiów to proszę wpisz je tutaj." totalsRowDxfId="225"/>
    <tableColumn id="64" xr3:uid="{7B6238C1-79C7-4C59-B174-F693B78A54C8}" name="Czy będziesz oceniał uczelnię ukończoną przez drugiego podopiecznego?" totalsRowDxfId="224"/>
    <tableColumn id="65" xr3:uid="{72E69603-FDA8-458A-B355-C3F6177E2961}" name="Jak się nazywa uczelnia, którą ukończył/a Twoja/Twój podopieczna/podopieczny? (proszę o wybranie jednej uczelni podlegającej ocenie)11" totalsRowDxfId="223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22"/>
    <tableColumn id="67" xr3:uid="{51123307-FDE7-45CE-81D3-F8045A68CEB5}" name="Czy ukończony kierunek był kierunkiem technicznym, tzn. takim, po którym uzyskano tytuł inżyniera?13" totalsRowDxfId="221"/>
    <tableColumn id="68" xr3:uid="{E4E7F2FA-608F-4A76-95F9-FC633CF4A850}" name="Jak się nazywa kierunek, który ukończył/a Twoja/Twój podopieczna/podopieczny?14" totalsRowDxfId="220"/>
    <tableColumn id="69" xr3:uid="{2E0E2D92-CA45-4C29-AD1B-4107E60D2F5C}" name="Moja satysfakcja z (efektów) usług edukacyjnych ocenianej uczelni jest wysoka.15" totalsRowDxfId="219"/>
    <tableColumn id="70" xr3:uid="{22160B39-79EF-424B-9B2E-4205C1098DC4}" name="Usługi edukacyjne ocenianej uczelni mają wysoką wartość (okazja / szansa rozwoju własnego lub kariery).16" totalsRowDxfId="218"/>
    <tableColumn id="71" xr3:uid="{C5566328-CB9E-4672-AFA5-9A52C7FB1583}" name="Kształcenie na ocenianej uczelni ma/będzie miało pozytywny wpływ na zwiększenie zarobków mojej/mojego podopiecznej/podopiecznego.17" totalsRowDxfId="217"/>
    <tableColumn id="72" xr3:uid="{ED11287D-6F12-40C0-8EAE-0190C96B2475}" name="Zarobki uzyskiwane przez mojego/moją podopieczną/podopiecznego w pierwszym roku po ukończeniu studiów były satysfakcjonujące (z mojego punktu widzenia)18" totalsRowDxfId="216"/>
    <tableColumn id="73" xr3:uid="{5767066B-CB1E-4AC7-93CC-8721926057A1}" name="Zarobki uzyskiwane przez mojego/moją podopieczną/podopiecznego w 3 lata po ukończeniu studiów były satysfakcjonujące (z mojego punktu widzenia)19" totalsRowDxfId="215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14"/>
    <tableColumn id="75" xr3:uid="{91099E12-4AAE-4B3A-8B21-456B23B8E9C4}" name="Jakie inne (poza zarobkami) efekty kształcenia na ocenianej uczelni się dostrzegasz obecnie?21" totalsRowDxfId="213"/>
    <tableColumn id="76" xr3:uid="{F99FCD0E-141B-4162-9375-D912B829669B}" name="Jakiego rodzaju były studia, które ukończył/a Twoja/Twój podopieczna/podopieczny?22" totalsRowDxfId="212"/>
    <tableColumn id="77" xr3:uid="{9A935095-7069-4B79-9C19-ABCE05DB2953}" name="Pole dodatkowe23" totalsRowDxfId="211"/>
    <tableColumn id="78" xr3:uid="{73C50495-9837-4BA7-BE74-ED58E001D39F}" name="Jeśli Twoja/Twój podopieczna/podopieczny ukończył/a również inne szkoły / kierunki studiów to proszę wpisz je tutaj.24" totalsRowDxfId="210"/>
    <tableColumn id="79" xr3:uid="{2D9E6799-1116-4EBA-A4A6-EC67B715E65E}" name="Czy będziesz oceniał uczelnię ukończoną przez trzeciego podopiecznego?" totalsRowDxfId="209"/>
    <tableColumn id="80" xr3:uid="{98900E64-17FE-4566-98C9-57CB606D4413}" name="Jak się nazywa uczelnia, którą ukończył/a Twoja/Twój podopieczna/podopieczny? (proszę o wybranie jednej uczelni podlegającej ocenie)25" totalsRowDxfId="208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207"/>
    <tableColumn id="82" xr3:uid="{367FC414-3E67-4B03-A303-77F5139ABED4}" name="Czy ukończony kierunek był kierunkiem technicznym, tzn. takim, po którym uzyskano tytuł inżyniera?27" totalsRowDxfId="206"/>
    <tableColumn id="83" xr3:uid="{641F2969-C09A-425E-81A7-806949B38666}" name="Jak się nazywa kierunek, który ukończył/a Twoja/Twój podopieczna/podopieczny?28" totalsRowDxfId="205"/>
    <tableColumn id="84" xr3:uid="{6B2F3F5A-F4BF-41A2-85FA-BAC6E179E9A9}" name="Moja satysfakcja z (efektów) usług edukacyjnych ocenianej uczelni jest wysoka.29" totalsRowDxfId="204"/>
    <tableColumn id="85" xr3:uid="{792FE0EC-454A-47B2-9DEE-09E82A55AC5F}" name="Usługi edukacyjne ocenianej uczelni mają wysoką wartość (okazja / szansa rozwoju własnego lub kariery).30" totalsRowDxfId="203"/>
    <tableColumn id="86" xr3:uid="{4BD46113-3AB9-405D-8A53-F153B50E863D}" name="Kształcenie na ocenianej uczelni ma/będzie miało pozytywny wpływ na zwiększenie zarobków mojej/mojego podopiecznej/podopiecznego.31" totalsRowDxfId="202"/>
    <tableColumn id="87" xr3:uid="{4CA1C5A8-3427-428B-B7BA-106EBBA85C17}" name="Zarobki uzyskiwane przez mojego/moją podopieczną/podopiecznego w pierwszym roku po ukończeniu studiów były satysfakcjonujące (z mojego punktu widzenia)32" totalsRowDxfId="201"/>
    <tableColumn id="88" xr3:uid="{C37B06BC-EDB5-471E-9C95-05232AC9EACD}" name="Zarobki uzyskiwane przez mojego/moją podopieczną/podopiecznego w 3 lata po ukończeniu studiów były satysfakcjonujące (z mojego punktu widzenia)33" totalsRowDxfId="200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99"/>
    <tableColumn id="90" xr3:uid="{CEEBCBE8-4DF4-40BE-ADF0-2750A2BF2609}" name="Jakie inne (poza zarobkami) efekty kształcenia na ocenianej uczelni się dostrzegasz obecnie?35" totalsRowDxfId="198"/>
    <tableColumn id="91" xr3:uid="{F1A613DC-A59A-419D-8838-D041B4273E91}" name="Jakiego rodzaju były studia, które ukończył/a Twoja/Twój podopieczna/podopieczny?36" totalsRowDxfId="197"/>
    <tableColumn id="92" xr3:uid="{E26BB465-B221-4E80-9D41-43786B72F743}" name="Pole dodatkowe37" totalsRowDxfId="196"/>
    <tableColumn id="93" xr3:uid="{12E07FC6-6ACA-44C4-A376-689F504EB460}" name="Jeśli Twoja/Twój podopieczna/podopieczny ukończył/a również inne szkoły / kierunki studiów to proszę wpisz je tutaj.38" totalsRowDxfId="195"/>
    <tableColumn id="94" xr3:uid="{4FBA703D-33E9-44C4-BD22-B3FC7B168C76}" name="Czy jesteś aktualnie pracownikiem administracyjnym uczelni wyższej?" totalsRowFunction="custom" dataDxfId="194" totalsRowDxfId="193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192"/>
    <tableColumn id="96" xr3:uid="{43902112-5836-47AC-AA75-A65F0D4C7817}" name="Na jakim wydziale pracujesz?" totalsRowDxfId="191"/>
    <tableColumn id="97" xr3:uid="{68D4A5FB-B6F1-410C-BBCE-5D895E75D7EF}" name="Moja satysfakcja z pracy na ocenianej uczelni jest wysoka." totalsRowDxfId="190"/>
    <tableColumn id="98" xr3:uid="{097FDF01-C103-4396-9EE5-DC463D453E58}" name="Atmosfera w zespole współpracowników jest dobra." totalsRowDxfId="189"/>
    <tableColumn id="99" xr3:uid="{5B99CA3A-6D7C-4D3E-B448-2EDAF4856B42}" name="Moje zarobki są satysfakcjonujące." totalsRowDxfId="188"/>
    <tableColumn id="100" xr3:uid="{90B0699F-2BC7-4D96-9800-8B1DB165F81E}" name="Praca na ocenianej uczelni daje mi duże szanse rozwoju." totalsRowDxfId="187"/>
    <tableColumn id="101" xr3:uid="{5CB95189-87A6-4F97-B291-A05336B23F22}" name="Wartość wykształcenia zdobywanego przez studentów ocenianej uczelni jest wysoka." totalsRowDxfId="186"/>
    <tableColumn id="102" xr3:uid="{056CF7BB-B947-41A0-AC24-42A1CBCF15BD}" name="Zdobyte na ocenianej uczelni wykształcenie ma pozytywny wpływ na zwiększenie zarobków absolwentów." totalsRowDxfId="185"/>
    <tableColumn id="103" xr3:uid="{2AB65CA7-05ED-4EB7-B603-B864E6D6745F}" name="Jakie inne (poza zarobkami) efekty kształcenia na ocenianej uczelni się dostrzegasz obecnie?39" totalsRowDxfId="184"/>
    <tableColumn id="104" xr3:uid="{DC472BA3-8D88-44A6-B5C1-5BF9558627FA}" name="Czy jesteś aktualnie pracownikiem naukowym lub dydaktycznym uczelni wyższej?" totalsRowFunction="custom" dataDxfId="183" totalsRowDxfId="182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81"/>
    <tableColumn id="106" xr3:uid="{2E39D77C-CC0F-41F1-8F10-30523EA3DE78}" name="Na jakim wydziale pracujesz?41" totalsRowDxfId="180"/>
    <tableColumn id="107" xr3:uid="{B9CFBDFF-9DC1-4556-855E-D4463D760A19}" name="Moja satysfakcja z pracy na ocenianej uczelni jest wysoka.42" totalsRowDxfId="179"/>
    <tableColumn id="108" xr3:uid="{158CA86A-249B-4193-A207-D38756E887C7}" name="Atmosfera w zespole współpracowników jest dobra.43" totalsRowDxfId="178"/>
    <tableColumn id="109" xr3:uid="{AC3090A9-EC3C-4C62-8AA9-F261EAB7887F}" name="Moje zarobki są satysfakcjonujące.44" totalsRowDxfId="177"/>
    <tableColumn id="110" xr3:uid="{9E04970F-962C-490E-A570-2D0912A5E57D}" name="Praca na ocenianej uczelni daje mi duże szanse rozwoju.45" totalsRowDxfId="176"/>
    <tableColumn id="111" xr3:uid="{C148AE52-9ADC-45EF-8DBC-27F0F1F05355}" name="Wartość wykształcenia zdobywanego przez studentów ocenianej uczelni jest wysoka.46" totalsRowDxfId="175"/>
    <tableColumn id="112" xr3:uid="{63921520-0FA3-4905-ACEB-02AFFB69B471}" name="Zdobyte na ocenianej uczelni wykształcenie ma pozytywny wpływ na zwiększenie zarobków absolwentów.47" totalsRowDxfId="174"/>
    <tableColumn id="113" xr3:uid="{E32B227A-B5B2-41A4-9CEB-B75A56696D75}" name="Jakie inne (poza zarobkami) efekty kształcenia na ocenianej uczelni dostrzegasz obecnie?48" totalsRowDxfId="173"/>
    <tableColumn id="114" xr3:uid="{98E95A67-6B14-4A2E-AB34-682AE1A049DC}" name="Czy jesteś przedstawicielem władz uczelni z grupy rektorów, prorektorów, dziekanów, prodziekanów, członków senatu lub członków rady uczelni?" totalsRowFunction="custom" dataDxfId="172" totalsRowDxfId="171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70"/>
    <tableColumn id="116" xr3:uid="{55CD3327-D03D-49EA-AD7A-8A8492F8FF76}" name="Kolumna3" totalsRowDxfId="169"/>
    <tableColumn id="117" xr3:uid="{BF356D61-903B-4604-89F3-2B471880C5B8}" name="Kolumna4" totalsRowDxfId="168"/>
    <tableColumn id="118" xr3:uid="{7173EDEB-5382-4DCE-AA15-A72B322560D6}" name="Kolumna5" totalsRowDxfId="167"/>
    <tableColumn id="119" xr3:uid="{6200F07F-FA1F-4A3F-B8ED-B934678483AF}" name="Jak się nazywa uczelnia którą będziesz oceniać (jako przedstawiciel jej władz)?" totalsRowDxfId="166"/>
    <tableColumn id="120" xr3:uid="{E6250DE6-1A12-41F3-90EE-1B4F673F6E58}" name="Efekty działań ocenianej uczelni na rzesz jakości edukacji są dobre" totalsRowDxfId="165"/>
    <tableColumn id="121" xr3:uid="{8AE05FEE-B731-4F93-90B6-915E5774E346}" name="Wartość wykształcenia zdobywanego przez studentów na ocenianej uczelni jest wysoka." totalsRowDxfId="164"/>
    <tableColumn id="122" xr3:uid="{E115058D-8C9C-450E-8DA2-D64EB971F57D}" name="Zdobyte przez studentów ocenianej uczelni wykształcenie miało/ma pozytywny wpływ na ich zarobki." totalsRowDxfId="163"/>
    <tableColumn id="123" xr3:uid="{6FEBB446-227D-4EA1-B507-206156E53809}" name="Efekty działań ocenianej uczelni na rzecz jakości edukacji mają dobry wpływ na rozwój regionu." totalsRowDxfId="162"/>
    <tableColumn id="124" xr3:uid="{01E38E74-9E44-4BFF-97FF-3B0FF3F7CDD0}" name="Efekty działań ocenianej uczelni na rzecz jakości edukacji mają dobry wpływ na rozwój Polski." totalsRowDxfId="161"/>
    <tableColumn id="125" xr3:uid="{F17A6FA5-F0F2-48AD-B639-9161F59ACD49}" name="Współpraca ocenianej uczelni z biznesem ma pozytywne efekty dla rozwoju regionu / kraju." totalsRowDxfId="160"/>
    <tableColumn id="126" xr3:uid="{81D0BDE5-B5BD-41AD-AE49-0F05E206FF4F}" name="Ogólny poziom mojej satysfakcji z jakości usług edukacyjnych ocenianej uczelni jest wysoki." totalsRowDxfId="159"/>
    <tableColumn id="127" xr3:uid="{E1B74221-E8AC-4764-9FBA-17BC7A8DAB4F}" name="Studenci : wybierz wartość z listy rozwijanej" totalsRowDxfId="158"/>
    <tableColumn id="128" xr3:uid="{9521E128-6D78-41F6-9BED-3F1F3009376D}" name="Absolwenci : wybierz wartość z listy rozwijanej" totalsRowDxfId="157"/>
    <tableColumn id="129" xr3:uid="{F972B7F0-4237-45DD-B8D9-6E5F80BC382C}" name="Rodzice absolwentów : wybierz wartość z listy rozwijanej" totalsRowDxfId="156"/>
    <tableColumn id="130" xr3:uid="{D18127FA-4AAC-43F7-8718-648B089DA3AE}" name="Pracownicy administracyjni : wybierz wartość z listy rozwijanej" totalsRowDxfId="155"/>
    <tableColumn id="131" xr3:uid="{9AD30943-8FF3-4081-BC52-0A68F33FA1E6}" name="Pracownicy naukowi i dydaktyczni : wybierz wartość z listy rozwijanej" totalsRowDxfId="154"/>
    <tableColumn id="132" xr3:uid="{F15383FF-5030-41F2-B790-DA1B9ACCD614}" name="Pracodawcy : wybierz wartość z listy rozwijanej" totalsRowDxfId="153"/>
    <tableColumn id="133" xr3:uid="{A113041C-1CEA-48AE-A9F9-6427226B931F}" name="Władze samorządowe i centralne : wybierz wartość z listy rozwijanej" totalsRowDxfId="152"/>
    <tableColumn id="134" xr3:uid="{2391059C-06A8-4E9F-9A30-2923C913E592}" name="Pole dodatkowe4" totalsRowDxfId="151"/>
    <tableColumn id="135" xr3:uid="{87323607-8918-4675-942B-66DDA6ACC52D}" name="Studenci : wybierz wartość z listy rozwijanej5" totalsRowDxfId="150"/>
    <tableColumn id="136" xr3:uid="{575464E3-342E-4010-A0B5-F16E0DA7F25D}" name="Absolwenci : wybierz wartość z listy rozwijanej6" totalsRowDxfId="149"/>
    <tableColumn id="137" xr3:uid="{3C4E7A29-9534-46F7-9E09-353DAEA57455}" name="Rodzice absolwentów : wybierz wartość z listy rozwijanej7" totalsRowDxfId="148"/>
    <tableColumn id="138" xr3:uid="{5EFF4867-813D-4D19-AFD2-41795D704E9D}" name="Pracownicy administracyjni : wybierz wartość z listy rozwijanej8" totalsRowDxfId="147"/>
    <tableColumn id="139" xr3:uid="{BD3A3545-6744-40C8-B6F9-128B604A0016}" name="Pracownicy naukowi i dydaktyczni : wybierz wartość z listy rozwijanej9" totalsRowDxfId="146"/>
    <tableColumn id="140" xr3:uid="{A370427A-746A-432F-8439-DE3E0F05E90C}" name="Pracodawcy : wybierz wartość z listy rozwijanej10" totalsRowDxfId="145"/>
    <tableColumn id="141" xr3:uid="{A6D0879A-E0B6-4F9C-B8AB-CCB9C168853D}" name="Władze samorządowe i centralne : wybierz wartość z listy rozwijanej11" totalsRowDxfId="144"/>
    <tableColumn id="142" xr3:uid="{ED69D784-3A72-4212-8A94-FFF937BB5636}" name="Pole dodatkowe12" totalsRowDxfId="143"/>
    <tableColumn id="143" xr3:uid="{F9376235-C8DC-451D-B95A-275409F154F3}" name="Czy jesteś przedstawicielem firmy, w której są zatrudniani absolwenci uczelni wyższych (tytuł licencjata, magistra lub wyższy)?" totalsRowFunction="custom" dataDxfId="142" totalsRowDxfId="141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40"/>
    <tableColumn id="145" xr3:uid="{FEA12265-815B-4115-947C-C4D7389958E8}" name="Ile uczelni będziesz oceniać?" totalsRowDxfId="139"/>
    <tableColumn id="146" xr3:uid="{26F5BBF0-E63C-4FC8-A2F3-F0ADC728D5E4}" name="Jak się nazywa uczelnia, którą ocenisz? " totalsRowDxfId="138"/>
    <tableColumn id="147" xr3:uid="{61714612-8B24-4377-BCF5-066C33634E6F}" name="Moja satysfakcja z (efektów) usług edukacyjnych na ocenianej uczelni jest wysoka." totalsRowDxfId="137"/>
    <tableColumn id="148" xr3:uid="{043BF385-CFC6-4AC5-BD7D-2DC21351418F}" name="Kompetencje absolwentów ocenianej uczelni są wysokie." totalsRowDxfId="136"/>
    <tableColumn id="149" xr3:uid="{35B1450E-E76E-4137-923C-C1196FE6A242}" name="Zarobki absolwentów ocenianej uczelni zatrudnionych w mojej firmie są wyższe od zarobków absolwentów innych polskich uczelni." totalsRowDxfId="135"/>
    <tableColumn id="150" xr3:uid="{46264593-E5FF-4A8E-9E32-B5CDAD83DB38}" name="Czy w Twojej firmie są zatrudniani absolwenci uczelni w pierwszym roku po ukończeniu studiów (do 12 miesięcy od uzyskania dyplomu)?" totalsRowDxfId="134"/>
    <tableColumn id="151" xr3:uid="{AFEC3724-7638-4FBB-9B74-E3C5F372DFD7}" name="Jakie kompetencje absolwentów ocenianej uczelni są w Twojej firmie najwyżej wyceniane?" totalsRowDxfId="133"/>
    <tableColumn id="152" xr3:uid="{7C41F20E-87DA-419A-A4DC-8FC7E15280E1}" name="Jakiego rodzaju prace wykonują absolwenci ocenianej uczelni w Twojej firmie?" totalsRowDxfId="132"/>
    <tableColumn id="153" xr3:uid="{A53B26E4-0EB5-4875-918F-C84DFA999490}" name="Czy będziesz oceniał drugą uczelnię?" totalsRowDxfId="131"/>
    <tableColumn id="154" xr3:uid="{C51996BB-6F72-462D-AF3A-889816D9376D}" name="Jak się nazywa uczelnia, którą ocenisz? 13" totalsRowDxfId="130"/>
    <tableColumn id="155" xr3:uid="{C4DC7D31-6CB7-4667-BEF7-8EFAA1443E26}" name="Moja satysfakcja z (efektów) usług edukacyjnych na ocenianej uczelni jest wysoka.14" totalsRowDxfId="129"/>
    <tableColumn id="156" xr3:uid="{6BE5AEB2-D87C-4FAD-8A78-12F3665EA35B}" name="Kompetencje absolwentów ocenianej uczelni są wysokie.15" totalsRowDxfId="128"/>
    <tableColumn id="157" xr3:uid="{E68B03D6-C361-4634-B98C-870BC31CEDD8}" name="Zarobki absolwentów ocenianej uczelni zatrudnionych w mojej firmie są wyższe od zarobków absolwentów innych polskich uczelni.16" totalsRowDxfId="127"/>
    <tableColumn id="158" xr3:uid="{7AE77260-6064-4321-A8D8-8F0B2D560514}" name="Czy w Twojej firmie są zatrudniani absolwenci uczelni w pierwszym roku po ukończeniu studiów (do 12 miesięcy od uzyskania dyplomu)?17" totalsRowDxfId="126"/>
    <tableColumn id="159" xr3:uid="{02179DC7-236C-405B-9717-3820DB37DCDE}" name="Jakie kompetencje absolwentów ocenianej uczelni są w Twojej firmie najwyżej wyceniane?18" totalsRowDxfId="125"/>
    <tableColumn id="160" xr3:uid="{ACD9DA00-A265-43F3-A8CD-4AB9D52D21A7}" name="Jakiego rodzaju prace wykonują absolwenci ocenianej uczelni w Twojej firmie?19" totalsRowDxfId="124"/>
    <tableColumn id="161" xr3:uid="{40C65435-9246-41B9-9D13-8617AD0D615B}" name="Czy będziesz oceniał trzecią uczelnię techniczną?" totalsRowDxfId="123"/>
    <tableColumn id="162" xr3:uid="{6D52B5AA-D38E-4A9C-9FC4-C5F27711E4B2}" name="Jak się nazywa uczelnia, którą ocenisz? 20" totalsRowDxfId="122"/>
    <tableColumn id="163" xr3:uid="{121D311A-63E4-4EF2-A0DA-FAA985067046}" name="Moja satysfakcja z (efektów) usług edukacyjnych na ocenianej uczelni jest wysoka.21" totalsRowDxfId="121"/>
    <tableColumn id="164" xr3:uid="{F282EA05-D156-4529-9BC1-8600524F81FD}" name="Kompetencje absolwentów ocenianej uczelni są wysokie.22" totalsRowDxfId="120"/>
    <tableColumn id="165" xr3:uid="{58F11C5E-414B-4C75-8CE5-1580D3F448A9}" name="Zarobki absolwentów ocenianej uczelni zatrudnionych w mojej firmie są wyższe od zarobków absolwentów innych polskich uczelni.23" totalsRowDxfId="119"/>
    <tableColumn id="166" xr3:uid="{3E1C84AB-DCF6-4B96-B25A-E3AA8A32B928}" name="Czy w Twojej firmie są zatrudniani absolwenci uczelni w pierwszym roku po ukończeniu studiów (do 12 miesięcy od uzyskania dyplomu)?24" totalsRowDxfId="118"/>
    <tableColumn id="167" xr3:uid="{4C87DA44-3851-4B6F-8471-F5B274EEF69E}" name="Jakie kompetencje absolwentów ocenianej uczelni są w Twojej firmie najwyżej wyceniane?25" totalsRowDxfId="117"/>
    <tableColumn id="168" xr3:uid="{4889D3B6-442C-490C-9642-B9781EC55E1C}" name="Jakiego rodzaju prace wykonują absolwenci ocenianej uczelni są w Twojej firmie?" totalsRowDxfId="116"/>
    <tableColumn id="169" xr3:uid="{370CF6EE-F46C-4CFF-9496-7844071DF992}" name="Czy jesteś przedstawicielem władz samorządowych lub centralnych Rzeczypospolitej Polskiej?" totalsRowFunction="custom" dataDxfId="115" totalsRowDxfId="114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A142"/>
  <sheetViews>
    <sheetView tabSelected="1" topLeftCell="B1" zoomScale="130" zoomScaleNormal="130" workbookViewId="0">
      <pane ySplit="2" topLeftCell="A15" activePane="bottomLeft" state="frozen"/>
      <selection activeCell="J1" sqref="J1"/>
      <selection pane="bottomLeft" activeCell="B81" sqref="A81:XFD81"/>
    </sheetView>
  </sheetViews>
  <sheetFormatPr defaultColWidth="8.1328125" defaultRowHeight="14.25" outlineLevelCol="1" x14ac:dyDescent="0.45"/>
  <cols>
    <col min="1" max="1" width="8.1328125" hidden="1" customWidth="1" outlineLevel="1"/>
    <col min="2" max="2" width="8.1328125" collapsed="1"/>
    <col min="3" max="3" width="8.1328125" hidden="1" customWidth="1" outlineLevel="1"/>
    <col min="4" max="5" width="5.9296875" hidden="1" customWidth="1" outlineLevel="1"/>
    <col min="6" max="6" width="8.1328125" hidden="1" customWidth="1" outlineLevel="1"/>
    <col min="7" max="7" width="8.1328125" customWidth="1" collapsed="1"/>
    <col min="8" max="8" width="12.33203125" customWidth="1"/>
    <col min="9" max="9" width="11.796875" customWidth="1"/>
    <col min="10" max="10" width="33.1328125" hidden="1" customWidth="1" outlineLevel="1"/>
    <col min="11" max="11" width="8.1328125" hidden="1" customWidth="1" outlineLevel="1"/>
    <col min="12" max="12" width="16.1328125" hidden="1" customWidth="1" outlineLevel="1"/>
    <col min="13" max="13" width="14.59765625" hidden="1" customWidth="1" outlineLevel="1"/>
    <col min="14" max="24" width="8.1328125" hidden="1" customWidth="1" outlineLevel="1"/>
    <col min="25" max="25" width="11.796875" customWidth="1" collapsed="1"/>
    <col min="26" max="43" width="23.1328125" hidden="1" customWidth="1" outlineLevel="1"/>
    <col min="44" max="44" width="11.796875" customWidth="1" collapsed="1"/>
    <col min="45" max="45" width="8.1328125" hidden="1" customWidth="1" outlineLevel="1"/>
    <col min="46" max="89" width="26.3984375" hidden="1" customWidth="1" outlineLevel="1"/>
    <col min="90" max="90" width="11.796875" customWidth="1" collapsed="1"/>
    <col min="91" max="99" width="19.9296875" hidden="1" customWidth="1" outlineLevel="1"/>
    <col min="100" max="100" width="11.796875" customWidth="1" collapsed="1"/>
    <col min="101" max="109" width="23.33203125" hidden="1" customWidth="1" outlineLevel="1"/>
    <col min="110" max="110" width="11.796875" customWidth="1" collapsed="1"/>
    <col min="111" max="138" width="8.1328125" hidden="1" customWidth="1" outlineLevel="1"/>
    <col min="139" max="139" width="11.796875" customWidth="1" collapsed="1"/>
    <col min="140" max="164" width="8.1328125" hidden="1" customWidth="1" outlineLevel="1"/>
    <col min="165" max="165" width="11.796875" customWidth="1" collapsed="1"/>
    <col min="166" max="201" width="8.1328125" hidden="1" customWidth="1" outlineLevel="1"/>
    <col min="202" max="202" width="9.46484375" customWidth="1" collapsed="1"/>
    <col min="205" max="205" width="28.59765625" customWidth="1"/>
  </cols>
  <sheetData>
    <row r="1" spans="1:209" ht="57.75" customHeight="1" x14ac:dyDescent="0.45">
      <c r="A1" t="s">
        <v>0</v>
      </c>
      <c r="D1" t="s">
        <v>8</v>
      </c>
      <c r="E1" t="s">
        <v>9</v>
      </c>
      <c r="F1" t="s">
        <v>10</v>
      </c>
      <c r="I1" s="3" t="s">
        <v>13</v>
      </c>
      <c r="J1" t="s">
        <v>14</v>
      </c>
      <c r="K1" t="s">
        <v>15</v>
      </c>
      <c r="L1" t="s">
        <v>16</v>
      </c>
      <c r="M1" t="s">
        <v>17</v>
      </c>
      <c r="P1" t="s">
        <v>18</v>
      </c>
      <c r="Q1" t="s">
        <v>19</v>
      </c>
      <c r="S1" t="s">
        <v>20</v>
      </c>
      <c r="T1" t="s">
        <v>21</v>
      </c>
      <c r="V1" t="s">
        <v>22</v>
      </c>
      <c r="X1" t="s">
        <v>23</v>
      </c>
      <c r="Y1" s="3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17</v>
      </c>
      <c r="AJ1" t="s">
        <v>29</v>
      </c>
      <c r="AK1" t="s">
        <v>30</v>
      </c>
      <c r="AM1" t="s">
        <v>31</v>
      </c>
      <c r="AN1" t="s">
        <v>32</v>
      </c>
      <c r="AP1" t="s">
        <v>33</v>
      </c>
      <c r="AR1" s="3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17</v>
      </c>
      <c r="BC1" t="s">
        <v>40</v>
      </c>
      <c r="BD1" t="s">
        <v>41</v>
      </c>
      <c r="BE1" t="s">
        <v>42</v>
      </c>
      <c r="BG1" t="s">
        <v>43</v>
      </c>
      <c r="BH1" t="s">
        <v>44</v>
      </c>
      <c r="BI1" t="s">
        <v>36</v>
      </c>
      <c r="BJ1" t="s">
        <v>37</v>
      </c>
      <c r="BK1" t="s">
        <v>38</v>
      </c>
      <c r="BL1" t="s">
        <v>39</v>
      </c>
      <c r="BM1" t="s">
        <v>17</v>
      </c>
      <c r="BR1" t="s">
        <v>40</v>
      </c>
      <c r="BS1" t="s">
        <v>41</v>
      </c>
      <c r="BT1" t="s">
        <v>42</v>
      </c>
      <c r="BV1" t="s">
        <v>43</v>
      </c>
      <c r="BW1" t="s">
        <v>45</v>
      </c>
      <c r="BX1" t="s">
        <v>36</v>
      </c>
      <c r="BY1" t="s">
        <v>37</v>
      </c>
      <c r="BZ1" t="s">
        <v>38</v>
      </c>
      <c r="CA1" t="s">
        <v>39</v>
      </c>
      <c r="CB1" t="s">
        <v>17</v>
      </c>
      <c r="CG1" t="s">
        <v>40</v>
      </c>
      <c r="CH1" t="s">
        <v>41</v>
      </c>
      <c r="CI1" t="s">
        <v>42</v>
      </c>
      <c r="CK1" t="s">
        <v>43</v>
      </c>
      <c r="CL1" s="3" t="s">
        <v>46</v>
      </c>
      <c r="CM1" t="s">
        <v>47</v>
      </c>
      <c r="CN1" t="s">
        <v>48</v>
      </c>
      <c r="CO1" t="s">
        <v>17</v>
      </c>
      <c r="CU1" t="s">
        <v>41</v>
      </c>
      <c r="CV1" s="3" t="s">
        <v>49</v>
      </c>
      <c r="CW1" t="s">
        <v>47</v>
      </c>
      <c r="CX1" t="s">
        <v>48</v>
      </c>
      <c r="CY1" t="s">
        <v>17</v>
      </c>
      <c r="DE1" t="s">
        <v>31</v>
      </c>
      <c r="DF1" s="3" t="s">
        <v>50</v>
      </c>
      <c r="DG1" t="s">
        <v>51</v>
      </c>
      <c r="DK1" t="s">
        <v>52</v>
      </c>
      <c r="DL1" t="s">
        <v>17</v>
      </c>
      <c r="DS1" t="s">
        <v>53</v>
      </c>
      <c r="EA1" t="s">
        <v>54</v>
      </c>
      <c r="EI1" s="3" t="s">
        <v>55</v>
      </c>
      <c r="EJ1" t="s">
        <v>56</v>
      </c>
      <c r="EK1" t="s">
        <v>57</v>
      </c>
      <c r="EL1" t="s">
        <v>58</v>
      </c>
      <c r="EM1" t="s">
        <v>17</v>
      </c>
      <c r="EP1" t="s">
        <v>59</v>
      </c>
      <c r="EQ1" t="s">
        <v>60</v>
      </c>
      <c r="ER1" t="s">
        <v>61</v>
      </c>
      <c r="ES1" t="s">
        <v>62</v>
      </c>
      <c r="ET1" t="s">
        <v>58</v>
      </c>
      <c r="EU1" t="s">
        <v>17</v>
      </c>
      <c r="EX1" t="s">
        <v>59</v>
      </c>
      <c r="EY1" t="s">
        <v>60</v>
      </c>
      <c r="EZ1" t="s">
        <v>61</v>
      </c>
      <c r="FA1" t="s">
        <v>63</v>
      </c>
      <c r="FB1" t="s">
        <v>58</v>
      </c>
      <c r="FC1" t="s">
        <v>17</v>
      </c>
      <c r="FF1" t="s">
        <v>59</v>
      </c>
      <c r="FG1" t="s">
        <v>60</v>
      </c>
      <c r="FH1" t="s">
        <v>64</v>
      </c>
      <c r="FI1" s="3" t="s">
        <v>65</v>
      </c>
      <c r="FJ1" t="s">
        <v>66</v>
      </c>
      <c r="FK1" t="s">
        <v>67</v>
      </c>
      <c r="FL1" t="s">
        <v>57</v>
      </c>
      <c r="FM1" t="s">
        <v>68</v>
      </c>
      <c r="FN1" t="s">
        <v>17</v>
      </c>
      <c r="FV1" t="s">
        <v>69</v>
      </c>
      <c r="FW1" t="s">
        <v>70</v>
      </c>
      <c r="FX1" t="s">
        <v>68</v>
      </c>
      <c r="FY1" t="s">
        <v>17</v>
      </c>
      <c r="GF1" t="s">
        <v>71</v>
      </c>
      <c r="GG1" t="s">
        <v>72</v>
      </c>
      <c r="GH1" t="s">
        <v>68</v>
      </c>
      <c r="GI1" t="s">
        <v>17</v>
      </c>
      <c r="GP1" t="s">
        <v>71</v>
      </c>
      <c r="GQ1" t="s">
        <v>73</v>
      </c>
      <c r="GT1" t="s">
        <v>74</v>
      </c>
      <c r="GU1" t="s">
        <v>75</v>
      </c>
      <c r="GW1" t="s">
        <v>76</v>
      </c>
      <c r="GY1" t="s">
        <v>77</v>
      </c>
      <c r="GZ1" t="s">
        <v>78</v>
      </c>
      <c r="HA1" t="s">
        <v>79</v>
      </c>
    </row>
    <row r="2" spans="1:209" x14ac:dyDescent="0.45">
      <c r="A2" t="s">
        <v>0</v>
      </c>
      <c r="B2" t="s">
        <v>2264</v>
      </c>
      <c r="C2" t="s">
        <v>2267</v>
      </c>
      <c r="D2" t="s">
        <v>8</v>
      </c>
      <c r="E2" t="s">
        <v>9</v>
      </c>
      <c r="F2" t="s">
        <v>10</v>
      </c>
      <c r="G2" t="s">
        <v>2447</v>
      </c>
      <c r="H2" s="20" t="s">
        <v>2454</v>
      </c>
      <c r="I2" s="1" t="s">
        <v>13</v>
      </c>
      <c r="J2" t="s">
        <v>14</v>
      </c>
      <c r="K2" t="s">
        <v>15</v>
      </c>
      <c r="L2" t="s">
        <v>16</v>
      </c>
      <c r="M2" t="s">
        <v>80</v>
      </c>
      <c r="N2" t="s">
        <v>81</v>
      </c>
      <c r="O2" t="s">
        <v>82</v>
      </c>
      <c r="P2" t="s">
        <v>2065</v>
      </c>
      <c r="Q2" t="s">
        <v>83</v>
      </c>
      <c r="R2" t="s">
        <v>84</v>
      </c>
      <c r="S2" t="s">
        <v>20</v>
      </c>
      <c r="T2" t="s">
        <v>2265</v>
      </c>
      <c r="U2" t="s">
        <v>2266</v>
      </c>
      <c r="V2" t="s">
        <v>22</v>
      </c>
      <c r="W2" t="s">
        <v>85</v>
      </c>
      <c r="X2" t="s">
        <v>23</v>
      </c>
      <c r="Y2" s="1" t="s">
        <v>24</v>
      </c>
      <c r="Z2" t="s">
        <v>25</v>
      </c>
      <c r="AA2" s="20" t="s">
        <v>2325</v>
      </c>
      <c r="AB2" t="s">
        <v>26</v>
      </c>
      <c r="AC2" t="s">
        <v>27</v>
      </c>
      <c r="AD2" t="s">
        <v>28</v>
      </c>
      <c r="AE2" t="s">
        <v>86</v>
      </c>
      <c r="AF2" t="s">
        <v>2071</v>
      </c>
      <c r="AG2" t="s">
        <v>87</v>
      </c>
      <c r="AH2" t="s">
        <v>88</v>
      </c>
      <c r="AI2" t="s">
        <v>89</v>
      </c>
      <c r="AJ2" t="s">
        <v>29</v>
      </c>
      <c r="AK2" t="s">
        <v>2072</v>
      </c>
      <c r="AL2" t="s">
        <v>2073</v>
      </c>
      <c r="AM2" t="s">
        <v>31</v>
      </c>
      <c r="AN2" t="s">
        <v>32</v>
      </c>
      <c r="AO2" t="s">
        <v>2070</v>
      </c>
      <c r="AP2" t="s">
        <v>33</v>
      </c>
      <c r="AQ2" t="s">
        <v>2074</v>
      </c>
      <c r="AR2" s="1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s="20" t="s">
        <v>2075</v>
      </c>
      <c r="AY2" t="s">
        <v>2076</v>
      </c>
      <c r="AZ2" t="s">
        <v>90</v>
      </c>
      <c r="BA2" t="s">
        <v>91</v>
      </c>
      <c r="BB2" t="s">
        <v>92</v>
      </c>
      <c r="BC2" t="s">
        <v>40</v>
      </c>
      <c r="BD2" t="s">
        <v>41</v>
      </c>
      <c r="BE2" t="s">
        <v>42</v>
      </c>
      <c r="BF2" t="s">
        <v>2077</v>
      </c>
      <c r="BG2" t="s">
        <v>43</v>
      </c>
      <c r="BH2" t="s">
        <v>44</v>
      </c>
      <c r="BI2" t="s">
        <v>2078</v>
      </c>
      <c r="BJ2" t="s">
        <v>2079</v>
      </c>
      <c r="BK2" t="s">
        <v>2080</v>
      </c>
      <c r="BL2" t="s">
        <v>2081</v>
      </c>
      <c r="BM2" t="s">
        <v>2082</v>
      </c>
      <c r="BN2" t="s">
        <v>2083</v>
      </c>
      <c r="BO2" t="s">
        <v>2084</v>
      </c>
      <c r="BP2" t="s">
        <v>2085</v>
      </c>
      <c r="BQ2" t="s">
        <v>2086</v>
      </c>
      <c r="BR2" t="s">
        <v>2087</v>
      </c>
      <c r="BS2" t="s">
        <v>2088</v>
      </c>
      <c r="BT2" t="s">
        <v>2089</v>
      </c>
      <c r="BU2" t="s">
        <v>2090</v>
      </c>
      <c r="BV2" t="s">
        <v>2091</v>
      </c>
      <c r="BW2" t="s">
        <v>45</v>
      </c>
      <c r="BX2" t="s">
        <v>2092</v>
      </c>
      <c r="BY2" t="s">
        <v>2093</v>
      </c>
      <c r="BZ2" t="s">
        <v>2094</v>
      </c>
      <c r="CA2" t="s">
        <v>2095</v>
      </c>
      <c r="CB2" t="s">
        <v>2096</v>
      </c>
      <c r="CC2" t="s">
        <v>2097</v>
      </c>
      <c r="CD2" t="s">
        <v>2098</v>
      </c>
      <c r="CE2" t="s">
        <v>2099</v>
      </c>
      <c r="CF2" t="s">
        <v>2100</v>
      </c>
      <c r="CG2" t="s">
        <v>2101</v>
      </c>
      <c r="CH2" t="s">
        <v>2102</v>
      </c>
      <c r="CI2" t="s">
        <v>2103</v>
      </c>
      <c r="CJ2" t="s">
        <v>2104</v>
      </c>
      <c r="CK2" t="s">
        <v>2105</v>
      </c>
      <c r="CL2" s="1" t="s">
        <v>46</v>
      </c>
      <c r="CM2" t="s">
        <v>47</v>
      </c>
      <c r="CN2" t="s">
        <v>48</v>
      </c>
      <c r="CO2" t="s">
        <v>93</v>
      </c>
      <c r="CP2" t="s">
        <v>94</v>
      </c>
      <c r="CQ2" s="20" t="s">
        <v>95</v>
      </c>
      <c r="CR2" s="20" t="s">
        <v>96</v>
      </c>
      <c r="CS2" t="s">
        <v>97</v>
      </c>
      <c r="CT2" t="s">
        <v>98</v>
      </c>
      <c r="CU2" t="s">
        <v>2106</v>
      </c>
      <c r="CV2" s="1" t="s">
        <v>49</v>
      </c>
      <c r="CW2" t="s">
        <v>2107</v>
      </c>
      <c r="CX2" t="s">
        <v>2108</v>
      </c>
      <c r="CY2" t="s">
        <v>2109</v>
      </c>
      <c r="CZ2" s="20" t="s">
        <v>2110</v>
      </c>
      <c r="DA2" s="20" t="s">
        <v>2111</v>
      </c>
      <c r="DB2" s="20" t="s">
        <v>2112</v>
      </c>
      <c r="DC2" s="20" t="s">
        <v>2113</v>
      </c>
      <c r="DD2" t="s">
        <v>2114</v>
      </c>
      <c r="DE2" t="s">
        <v>2115</v>
      </c>
      <c r="DF2" s="1" t="s">
        <v>50</v>
      </c>
      <c r="DG2" t="s">
        <v>51</v>
      </c>
      <c r="DH2" t="s">
        <v>2067</v>
      </c>
      <c r="DI2" t="s">
        <v>2068</v>
      </c>
      <c r="DJ2" t="s">
        <v>2069</v>
      </c>
      <c r="DK2" t="s">
        <v>52</v>
      </c>
      <c r="DL2" s="20" t="s">
        <v>99</v>
      </c>
      <c r="DM2" s="20" t="s">
        <v>100</v>
      </c>
      <c r="DN2" s="20" t="s">
        <v>101</v>
      </c>
      <c r="DO2" t="s">
        <v>102</v>
      </c>
      <c r="DP2" t="s">
        <v>103</v>
      </c>
      <c r="DQ2" s="20" t="s">
        <v>104</v>
      </c>
      <c r="DR2" s="20" t="s">
        <v>105</v>
      </c>
      <c r="DS2" t="s">
        <v>106</v>
      </c>
      <c r="DT2" t="s">
        <v>107</v>
      </c>
      <c r="DU2" t="s">
        <v>108</v>
      </c>
      <c r="DV2" t="s">
        <v>109</v>
      </c>
      <c r="DW2" t="s">
        <v>110</v>
      </c>
      <c r="DX2" t="s">
        <v>111</v>
      </c>
      <c r="DY2" t="s">
        <v>112</v>
      </c>
      <c r="DZ2" t="s">
        <v>2116</v>
      </c>
      <c r="EA2" t="s">
        <v>2117</v>
      </c>
      <c r="EB2" t="s">
        <v>2118</v>
      </c>
      <c r="EC2" t="s">
        <v>2119</v>
      </c>
      <c r="ED2" t="s">
        <v>2120</v>
      </c>
      <c r="EE2" t="s">
        <v>2121</v>
      </c>
      <c r="EF2" t="s">
        <v>2122</v>
      </c>
      <c r="EG2" t="s">
        <v>2123</v>
      </c>
      <c r="EH2" t="s">
        <v>2124</v>
      </c>
      <c r="EI2" s="1" t="s">
        <v>55</v>
      </c>
      <c r="EJ2" t="s">
        <v>56</v>
      </c>
      <c r="EK2" t="s">
        <v>57</v>
      </c>
      <c r="EL2" t="s">
        <v>58</v>
      </c>
      <c r="EM2" s="20" t="s">
        <v>113</v>
      </c>
      <c r="EN2" t="s">
        <v>114</v>
      </c>
      <c r="EO2" t="s">
        <v>115</v>
      </c>
      <c r="EP2" t="s">
        <v>59</v>
      </c>
      <c r="EQ2" t="s">
        <v>60</v>
      </c>
      <c r="ER2" t="s">
        <v>61</v>
      </c>
      <c r="ES2" t="s">
        <v>62</v>
      </c>
      <c r="ET2" t="s">
        <v>2125</v>
      </c>
      <c r="EU2" t="s">
        <v>2126</v>
      </c>
      <c r="EV2" t="s">
        <v>2127</v>
      </c>
      <c r="EW2" t="s">
        <v>2128</v>
      </c>
      <c r="EX2" t="s">
        <v>2129</v>
      </c>
      <c r="EY2" t="s">
        <v>2130</v>
      </c>
      <c r="EZ2" t="s">
        <v>2131</v>
      </c>
      <c r="FA2" t="s">
        <v>63</v>
      </c>
      <c r="FB2" t="s">
        <v>2132</v>
      </c>
      <c r="FC2" t="s">
        <v>2133</v>
      </c>
      <c r="FD2" t="s">
        <v>2134</v>
      </c>
      <c r="FE2" t="s">
        <v>2135</v>
      </c>
      <c r="FF2" t="s">
        <v>2136</v>
      </c>
      <c r="FG2" t="s">
        <v>2137</v>
      </c>
      <c r="FH2" t="s">
        <v>64</v>
      </c>
      <c r="FI2" s="1" t="s">
        <v>65</v>
      </c>
      <c r="FJ2" t="s">
        <v>66</v>
      </c>
      <c r="FK2" t="s">
        <v>67</v>
      </c>
      <c r="FL2" t="s">
        <v>2138</v>
      </c>
      <c r="FM2" t="s">
        <v>68</v>
      </c>
      <c r="FN2" s="20" t="s">
        <v>116</v>
      </c>
      <c r="FO2" t="s">
        <v>2139</v>
      </c>
      <c r="FP2" t="s">
        <v>2140</v>
      </c>
      <c r="FQ2" t="s">
        <v>2141</v>
      </c>
      <c r="FR2" t="s">
        <v>2142</v>
      </c>
      <c r="FS2" t="s">
        <v>2143</v>
      </c>
      <c r="FT2" t="s">
        <v>2144</v>
      </c>
      <c r="FU2" t="s">
        <v>2145</v>
      </c>
      <c r="FV2" t="s">
        <v>69</v>
      </c>
      <c r="FW2" t="s">
        <v>70</v>
      </c>
      <c r="FX2" t="s">
        <v>2146</v>
      </c>
      <c r="FY2" t="s">
        <v>2147</v>
      </c>
      <c r="FZ2" t="s">
        <v>2148</v>
      </c>
      <c r="GA2" t="s">
        <v>2149</v>
      </c>
      <c r="GB2" t="s">
        <v>2150</v>
      </c>
      <c r="GC2" t="s">
        <v>2151</v>
      </c>
      <c r="GD2" t="s">
        <v>2152</v>
      </c>
      <c r="GE2" t="s">
        <v>2153</v>
      </c>
      <c r="GF2" t="s">
        <v>71</v>
      </c>
      <c r="GG2" t="s">
        <v>72</v>
      </c>
      <c r="GH2" t="s">
        <v>2154</v>
      </c>
      <c r="GI2" t="s">
        <v>2155</v>
      </c>
      <c r="GJ2" t="s">
        <v>2156</v>
      </c>
      <c r="GK2" t="s">
        <v>2157</v>
      </c>
      <c r="GL2" t="s">
        <v>2158</v>
      </c>
      <c r="GM2" t="s">
        <v>2159</v>
      </c>
      <c r="GN2" t="s">
        <v>2160</v>
      </c>
      <c r="GO2" t="s">
        <v>2161</v>
      </c>
      <c r="GP2" t="s">
        <v>2162</v>
      </c>
      <c r="GQ2" t="s">
        <v>73</v>
      </c>
      <c r="GR2" t="s">
        <v>2163</v>
      </c>
      <c r="GS2" t="s">
        <v>2164</v>
      </c>
      <c r="GT2" t="s">
        <v>74</v>
      </c>
      <c r="GU2" t="s">
        <v>75</v>
      </c>
      <c r="GV2" s="20" t="s">
        <v>2316</v>
      </c>
      <c r="GW2" t="s">
        <v>76</v>
      </c>
      <c r="GX2" t="s">
        <v>2165</v>
      </c>
      <c r="GY2" t="s">
        <v>77</v>
      </c>
      <c r="GZ2" t="s">
        <v>78</v>
      </c>
      <c r="HA2" t="s">
        <v>79</v>
      </c>
    </row>
    <row r="3" spans="1:209" x14ac:dyDescent="0.45">
      <c r="A3">
        <v>2</v>
      </c>
      <c r="B3">
        <f>_xlfn.IFNA(VLOOKUP(AnalizaCzyste[[#This Row],[Zakończono wypełnianie]],Zakończone[],2,0),"BRAK")</f>
        <v>2</v>
      </c>
      <c r="C3">
        <f>COUNTA(I3:HA3)</f>
        <v>96</v>
      </c>
      <c r="D3" t="s">
        <v>145</v>
      </c>
      <c r="E3" t="s">
        <v>146</v>
      </c>
      <c r="F3">
        <v>1573</v>
      </c>
      <c r="G3" s="20" t="s">
        <v>2292</v>
      </c>
      <c r="H3" s="20" t="s">
        <v>2481</v>
      </c>
      <c r="I3" s="1" t="s">
        <v>123</v>
      </c>
      <c r="Y3" s="1" t="s">
        <v>124</v>
      </c>
      <c r="Z3" t="s">
        <v>234</v>
      </c>
      <c r="AA3" t="str">
        <f>VLOOKUP(AnalizaCzyste[[#This Row],[Jak się nazywa uczelnia którą ukończyłeś? (proszę o wybranie jednej uczelni podlegającej ocenie)]],KategorieUczelni[],2,0)</f>
        <v>Publiczna</v>
      </c>
      <c r="AB3">
        <v>1986</v>
      </c>
      <c r="AC3" t="s">
        <v>148</v>
      </c>
      <c r="AD3" t="s">
        <v>149</v>
      </c>
      <c r="AE3" t="s">
        <v>150</v>
      </c>
      <c r="AF3" t="s">
        <v>150</v>
      </c>
      <c r="AG3" t="s">
        <v>150</v>
      </c>
      <c r="AH3" t="s">
        <v>151</v>
      </c>
      <c r="AI3" t="s">
        <v>150</v>
      </c>
      <c r="AJ3">
        <v>3</v>
      </c>
      <c r="AK3" t="s">
        <v>152</v>
      </c>
      <c r="AL3" t="s">
        <v>153</v>
      </c>
      <c r="AM3" t="s">
        <v>154</v>
      </c>
      <c r="AN3" t="s">
        <v>155</v>
      </c>
      <c r="AO3" t="s">
        <v>156</v>
      </c>
      <c r="AP3" t="s">
        <v>157</v>
      </c>
      <c r="AQ3" t="s">
        <v>158</v>
      </c>
      <c r="AR3" s="1" t="s">
        <v>159</v>
      </c>
      <c r="AS3">
        <v>2</v>
      </c>
      <c r="AT3" t="s">
        <v>160</v>
      </c>
      <c r="AU3">
        <v>2013</v>
      </c>
      <c r="AV3" t="s">
        <v>148</v>
      </c>
      <c r="AW3" t="s">
        <v>161</v>
      </c>
      <c r="AX3" t="s">
        <v>162</v>
      </c>
      <c r="AY3" t="s">
        <v>150</v>
      </c>
      <c r="AZ3" t="s">
        <v>150</v>
      </c>
      <c r="BA3" t="s">
        <v>150</v>
      </c>
      <c r="BB3" t="s">
        <v>150</v>
      </c>
      <c r="BC3" t="s">
        <v>163</v>
      </c>
      <c r="BD3" t="s">
        <v>164</v>
      </c>
      <c r="BE3" t="s">
        <v>157</v>
      </c>
      <c r="BG3" t="s">
        <v>165</v>
      </c>
      <c r="BH3" t="s">
        <v>166</v>
      </c>
      <c r="BI3" t="s">
        <v>167</v>
      </c>
      <c r="BJ3">
        <v>2015</v>
      </c>
      <c r="BK3" t="s">
        <v>148</v>
      </c>
      <c r="BL3" t="s">
        <v>168</v>
      </c>
      <c r="BM3" t="s">
        <v>150</v>
      </c>
      <c r="BN3" t="s">
        <v>169</v>
      </c>
      <c r="BO3" t="s">
        <v>150</v>
      </c>
      <c r="BP3" t="s">
        <v>150</v>
      </c>
      <c r="BQ3" t="s">
        <v>150</v>
      </c>
      <c r="BR3" t="s">
        <v>170</v>
      </c>
      <c r="BS3" t="s">
        <v>171</v>
      </c>
      <c r="BT3" t="s">
        <v>172</v>
      </c>
      <c r="BW3" t="s">
        <v>173</v>
      </c>
      <c r="CL3" s="1" t="s">
        <v>123</v>
      </c>
      <c r="CV3" s="1" t="s">
        <v>123</v>
      </c>
      <c r="DF3" s="1" t="s">
        <v>174</v>
      </c>
      <c r="DJ3" t="s">
        <v>175</v>
      </c>
      <c r="DK3" t="s">
        <v>176</v>
      </c>
      <c r="DL3" t="s">
        <v>162</v>
      </c>
      <c r="DM3" t="s">
        <v>150</v>
      </c>
      <c r="DN3" t="s">
        <v>151</v>
      </c>
      <c r="DO3" t="s">
        <v>151</v>
      </c>
      <c r="DP3" t="s">
        <v>162</v>
      </c>
      <c r="DQ3" t="s">
        <v>162</v>
      </c>
      <c r="DR3" t="s">
        <v>150</v>
      </c>
      <c r="DS3">
        <v>25</v>
      </c>
      <c r="DT3">
        <v>25</v>
      </c>
      <c r="DU3">
        <v>2</v>
      </c>
      <c r="DV3">
        <v>5</v>
      </c>
      <c r="DW3">
        <v>8</v>
      </c>
      <c r="DX3">
        <v>25</v>
      </c>
      <c r="DY3">
        <v>10</v>
      </c>
      <c r="EA3">
        <v>20</v>
      </c>
      <c r="EB3">
        <v>20</v>
      </c>
      <c r="EC3">
        <v>1</v>
      </c>
      <c r="ED3">
        <v>4</v>
      </c>
      <c r="EE3">
        <v>25</v>
      </c>
      <c r="EF3">
        <v>25</v>
      </c>
      <c r="EG3">
        <v>5</v>
      </c>
      <c r="EI3" s="1" t="s">
        <v>177</v>
      </c>
      <c r="EJ3" t="s">
        <v>178</v>
      </c>
      <c r="EK3">
        <v>1</v>
      </c>
      <c r="EL3" t="s">
        <v>179</v>
      </c>
      <c r="EM3" t="s">
        <v>150</v>
      </c>
      <c r="EN3" t="s">
        <v>150</v>
      </c>
      <c r="EO3" t="s">
        <v>151</v>
      </c>
      <c r="EP3" t="s">
        <v>180</v>
      </c>
      <c r="EQ3" t="s">
        <v>181</v>
      </c>
      <c r="ER3" t="s">
        <v>182</v>
      </c>
      <c r="ES3" t="s">
        <v>173</v>
      </c>
      <c r="FI3" s="1" t="s">
        <v>123</v>
      </c>
      <c r="FJ3" t="s">
        <v>132</v>
      </c>
      <c r="GQ3" t="s">
        <v>183</v>
      </c>
      <c r="GR3" t="s">
        <v>184</v>
      </c>
      <c r="GS3" t="s">
        <v>185</v>
      </c>
      <c r="GT3" t="s">
        <v>186</v>
      </c>
      <c r="GU3">
        <v>1961</v>
      </c>
      <c r="GV3" t="str">
        <f>VLOOKUP(AnalizaCzyste[[#This Row],[Rok urodzenia]],KategorieWiekowe[],2,1)</f>
        <v>56–65 lat</v>
      </c>
      <c r="GW3" t="s">
        <v>141</v>
      </c>
      <c r="GY3" t="s">
        <v>187</v>
      </c>
    </row>
    <row r="4" spans="1:209" x14ac:dyDescent="0.45">
      <c r="A4">
        <v>5</v>
      </c>
      <c r="B4">
        <f>_xlfn.IFNA(VLOOKUP(AnalizaCzyste[[#This Row],[Zakończono wypełnianie]],Zakończone[],2,0),"BRAK")</f>
        <v>5</v>
      </c>
      <c r="C4">
        <f>COUNTA(I4:HA4)</f>
        <v>84</v>
      </c>
      <c r="D4" t="s">
        <v>221</v>
      </c>
      <c r="E4" t="s">
        <v>222</v>
      </c>
      <c r="F4">
        <v>1659</v>
      </c>
      <c r="G4" s="20" t="s">
        <v>2292</v>
      </c>
      <c r="H4" s="20" t="s">
        <v>2473</v>
      </c>
      <c r="I4" s="1" t="s">
        <v>123</v>
      </c>
      <c r="Y4" s="1" t="s">
        <v>124</v>
      </c>
      <c r="Z4" t="s">
        <v>223</v>
      </c>
      <c r="AA4" t="str">
        <f>VLOOKUP(AnalizaCzyste[[#This Row],[Jak się nazywa uczelnia którą ukończyłeś? (proszę o wybranie jednej uczelni podlegającej ocenie)]],KategorieUczelni[],2,0)</f>
        <v>Publiczna</v>
      </c>
      <c r="AB4">
        <v>1999</v>
      </c>
      <c r="AC4" t="s">
        <v>148</v>
      </c>
      <c r="AD4" t="s">
        <v>224</v>
      </c>
      <c r="AE4" t="s">
        <v>162</v>
      </c>
      <c r="AF4" t="s">
        <v>162</v>
      </c>
      <c r="AG4" t="s">
        <v>150</v>
      </c>
      <c r="AH4" t="s">
        <v>150</v>
      </c>
      <c r="AI4" t="s">
        <v>169</v>
      </c>
      <c r="AJ4" t="s">
        <v>225</v>
      </c>
      <c r="AK4" t="s">
        <v>153</v>
      </c>
      <c r="AL4" t="s">
        <v>226</v>
      </c>
      <c r="AM4" t="s">
        <v>227</v>
      </c>
      <c r="AN4" t="s">
        <v>228</v>
      </c>
      <c r="AO4" t="s">
        <v>229</v>
      </c>
      <c r="AP4" t="s">
        <v>230</v>
      </c>
      <c r="AR4" s="1" t="s">
        <v>159</v>
      </c>
      <c r="AS4">
        <v>3</v>
      </c>
      <c r="AT4" t="s">
        <v>191</v>
      </c>
      <c r="AU4">
        <v>2011</v>
      </c>
      <c r="AV4" t="s">
        <v>126</v>
      </c>
      <c r="AW4" t="s">
        <v>2273</v>
      </c>
      <c r="AX4" t="s">
        <v>169</v>
      </c>
      <c r="AY4" t="s">
        <v>169</v>
      </c>
      <c r="AZ4" t="s">
        <v>150</v>
      </c>
      <c r="BA4" t="s">
        <v>162</v>
      </c>
      <c r="BB4" t="s">
        <v>150</v>
      </c>
      <c r="BC4">
        <v>1</v>
      </c>
      <c r="BD4" t="s">
        <v>232</v>
      </c>
      <c r="BE4" t="s">
        <v>157</v>
      </c>
      <c r="BG4" t="s">
        <v>233</v>
      </c>
      <c r="BH4" t="s">
        <v>166</v>
      </c>
      <c r="BI4" t="s">
        <v>234</v>
      </c>
      <c r="BJ4">
        <v>2011</v>
      </c>
      <c r="BK4" t="s">
        <v>148</v>
      </c>
      <c r="BL4" t="s">
        <v>235</v>
      </c>
      <c r="BM4" t="s">
        <v>151</v>
      </c>
      <c r="BN4" t="s">
        <v>128</v>
      </c>
      <c r="BO4" t="s">
        <v>236</v>
      </c>
      <c r="BP4" t="s">
        <v>128</v>
      </c>
      <c r="BQ4" t="s">
        <v>162</v>
      </c>
      <c r="BR4" t="s">
        <v>237</v>
      </c>
      <c r="BT4" t="s">
        <v>172</v>
      </c>
      <c r="BV4" t="s">
        <v>233</v>
      </c>
      <c r="BW4" t="s">
        <v>238</v>
      </c>
      <c r="BX4" t="s">
        <v>223</v>
      </c>
      <c r="BY4">
        <v>2016</v>
      </c>
      <c r="BZ4" t="s">
        <v>148</v>
      </c>
      <c r="CA4" t="s">
        <v>239</v>
      </c>
      <c r="CB4" t="s">
        <v>169</v>
      </c>
      <c r="CC4" t="s">
        <v>169</v>
      </c>
      <c r="CD4" t="s">
        <v>169</v>
      </c>
      <c r="CE4" t="s">
        <v>150</v>
      </c>
      <c r="CF4" t="s">
        <v>150</v>
      </c>
      <c r="CG4">
        <v>1</v>
      </c>
      <c r="CH4" t="s">
        <v>240</v>
      </c>
      <c r="CI4" t="s">
        <v>157</v>
      </c>
      <c r="CK4" t="s">
        <v>233</v>
      </c>
      <c r="CL4" s="1" t="s">
        <v>123</v>
      </c>
      <c r="CV4" s="1" t="s">
        <v>214</v>
      </c>
      <c r="CW4" t="s">
        <v>234</v>
      </c>
      <c r="CX4" t="s">
        <v>241</v>
      </c>
      <c r="CY4" t="s">
        <v>162</v>
      </c>
      <c r="CZ4" t="s">
        <v>169</v>
      </c>
      <c r="DA4" t="s">
        <v>169</v>
      </c>
      <c r="DB4" t="s">
        <v>151</v>
      </c>
      <c r="DC4" t="s">
        <v>151</v>
      </c>
      <c r="DD4" t="s">
        <v>151</v>
      </c>
      <c r="DE4" t="s">
        <v>242</v>
      </c>
      <c r="DF4" s="1" t="s">
        <v>123</v>
      </c>
      <c r="EI4" s="1" t="s">
        <v>123</v>
      </c>
      <c r="FI4" s="1" t="s">
        <v>123</v>
      </c>
      <c r="FJ4" t="s">
        <v>132</v>
      </c>
      <c r="GQ4" t="s">
        <v>243</v>
      </c>
      <c r="GR4" t="s">
        <v>244</v>
      </c>
      <c r="GS4" t="s">
        <v>245</v>
      </c>
      <c r="GT4" t="s">
        <v>186</v>
      </c>
      <c r="GU4">
        <v>1961</v>
      </c>
      <c r="GV4" t="str">
        <f>VLOOKUP(AnalizaCzyste[[#This Row],[Rok urodzenia]],KategorieWiekowe[],2,1)</f>
        <v>56–65 lat</v>
      </c>
      <c r="GW4" t="s">
        <v>246</v>
      </c>
      <c r="GY4" t="s">
        <v>247</v>
      </c>
    </row>
    <row r="5" spans="1:209" x14ac:dyDescent="0.45">
      <c r="A5">
        <v>11</v>
      </c>
      <c r="B5">
        <f>_xlfn.IFNA(VLOOKUP(AnalizaCzyste[[#This Row],[Zakończono wypełnianie]],Zakończone[],2,0),"BRAK")</f>
        <v>10</v>
      </c>
      <c r="C5">
        <f>COUNTA(I5:HA5)</f>
        <v>63</v>
      </c>
      <c r="D5" t="s">
        <v>299</v>
      </c>
      <c r="E5" t="s">
        <v>300</v>
      </c>
      <c r="F5">
        <v>1404</v>
      </c>
      <c r="G5" s="20" t="s">
        <v>2292</v>
      </c>
      <c r="H5" s="20" t="s">
        <v>2474</v>
      </c>
      <c r="I5" s="1" t="s">
        <v>123</v>
      </c>
      <c r="Y5" s="1" t="s">
        <v>124</v>
      </c>
      <c r="Z5" t="s">
        <v>191</v>
      </c>
      <c r="AA5" t="str">
        <f>VLOOKUP(AnalizaCzyste[[#This Row],[Jak się nazywa uczelnia którą ukończyłeś? (proszę o wybranie jednej uczelni podlegającej ocenie)]],KategorieUczelni[],2,0)</f>
        <v>Publiczna</v>
      </c>
      <c r="AB5">
        <v>1986</v>
      </c>
      <c r="AC5" t="s">
        <v>126</v>
      </c>
      <c r="AD5" t="s">
        <v>301</v>
      </c>
      <c r="AE5" t="s">
        <v>150</v>
      </c>
      <c r="AF5" t="s">
        <v>150</v>
      </c>
      <c r="AG5" t="s">
        <v>162</v>
      </c>
      <c r="AH5" t="s">
        <v>151</v>
      </c>
      <c r="AI5" t="s">
        <v>151</v>
      </c>
      <c r="AJ5">
        <v>2</v>
      </c>
      <c r="AK5" t="s">
        <v>302</v>
      </c>
      <c r="AL5" t="s">
        <v>153</v>
      </c>
      <c r="AM5" t="s">
        <v>303</v>
      </c>
      <c r="AN5" t="s">
        <v>304</v>
      </c>
      <c r="AO5" t="s">
        <v>305</v>
      </c>
      <c r="AP5" t="s">
        <v>157</v>
      </c>
      <c r="AR5" s="1" t="s">
        <v>159</v>
      </c>
      <c r="AS5">
        <v>1</v>
      </c>
      <c r="AT5" t="s">
        <v>223</v>
      </c>
      <c r="AU5">
        <v>2011</v>
      </c>
      <c r="AV5" t="s">
        <v>148</v>
      </c>
      <c r="AW5" t="s">
        <v>127</v>
      </c>
      <c r="AX5" t="s">
        <v>150</v>
      </c>
      <c r="AY5" t="s">
        <v>150</v>
      </c>
      <c r="AZ5" t="s">
        <v>169</v>
      </c>
      <c r="BA5" t="s">
        <v>169</v>
      </c>
      <c r="BB5" t="s">
        <v>169</v>
      </c>
      <c r="BC5">
        <v>1</v>
      </c>
      <c r="BD5" t="s">
        <v>306</v>
      </c>
      <c r="BE5" t="s">
        <v>157</v>
      </c>
      <c r="BG5" t="s">
        <v>307</v>
      </c>
      <c r="BH5" t="s">
        <v>173</v>
      </c>
      <c r="CL5" s="1" t="s">
        <v>123</v>
      </c>
      <c r="CV5" s="1" t="s">
        <v>214</v>
      </c>
      <c r="CW5" t="s">
        <v>191</v>
      </c>
      <c r="CX5" t="s">
        <v>308</v>
      </c>
      <c r="CY5" t="s">
        <v>150</v>
      </c>
      <c r="CZ5" t="s">
        <v>150</v>
      </c>
      <c r="DA5" t="s">
        <v>162</v>
      </c>
      <c r="DB5" t="s">
        <v>150</v>
      </c>
      <c r="DC5" t="s">
        <v>150</v>
      </c>
      <c r="DD5" t="s">
        <v>150</v>
      </c>
      <c r="DE5" t="s">
        <v>309</v>
      </c>
      <c r="DF5" s="1" t="s">
        <v>123</v>
      </c>
      <c r="EI5" s="1" t="s">
        <v>123</v>
      </c>
      <c r="EJ5" t="s">
        <v>180</v>
      </c>
      <c r="EK5" t="s">
        <v>132</v>
      </c>
      <c r="FI5" s="1" t="s">
        <v>123</v>
      </c>
      <c r="FJ5" t="s">
        <v>132</v>
      </c>
      <c r="FL5" t="s">
        <v>132</v>
      </c>
      <c r="GQ5" t="s">
        <v>310</v>
      </c>
      <c r="GR5" t="s">
        <v>311</v>
      </c>
      <c r="GS5" t="s">
        <v>312</v>
      </c>
      <c r="GT5" t="s">
        <v>186</v>
      </c>
      <c r="GU5">
        <v>1963</v>
      </c>
      <c r="GV5" t="str">
        <f>VLOOKUP(AnalizaCzyste[[#This Row],[Rok urodzenia]],KategorieWiekowe[],2,1)</f>
        <v>56–65 lat</v>
      </c>
      <c r="GW5" t="s">
        <v>141</v>
      </c>
      <c r="GX5" t="s">
        <v>313</v>
      </c>
      <c r="GY5" t="s">
        <v>314</v>
      </c>
      <c r="GZ5" t="s">
        <v>315</v>
      </c>
    </row>
    <row r="6" spans="1:209" x14ac:dyDescent="0.45">
      <c r="A6">
        <v>13</v>
      </c>
      <c r="B6">
        <f>_xlfn.IFNA(VLOOKUP(AnalizaCzyste[[#This Row],[Zakończono wypełnianie]],Zakończone[],2,0),"BRAK")</f>
        <v>12</v>
      </c>
      <c r="C6">
        <f>COUNTA(I6:HA6)</f>
        <v>36</v>
      </c>
      <c r="D6" t="s">
        <v>327</v>
      </c>
      <c r="E6" t="s">
        <v>328</v>
      </c>
      <c r="F6">
        <v>1387173</v>
      </c>
      <c r="G6" s="20" t="s">
        <v>2292</v>
      </c>
      <c r="H6" s="20" t="s">
        <v>2475</v>
      </c>
      <c r="I6" s="1" t="s">
        <v>123</v>
      </c>
      <c r="Y6" s="1" t="s">
        <v>124</v>
      </c>
      <c r="Z6" t="s">
        <v>191</v>
      </c>
      <c r="AA6" t="str">
        <f>VLOOKUP(AnalizaCzyste[[#This Row],[Jak się nazywa uczelnia którą ukończyłeś? (proszę o wybranie jednej uczelni podlegającej ocenie)]],KategorieUczelni[],2,0)</f>
        <v>Publiczna</v>
      </c>
      <c r="AB6">
        <v>2011</v>
      </c>
      <c r="AC6" t="s">
        <v>126</v>
      </c>
      <c r="AD6" t="s">
        <v>330</v>
      </c>
      <c r="AE6" t="s">
        <v>169</v>
      </c>
      <c r="AF6" t="s">
        <v>169</v>
      </c>
      <c r="AG6" t="s">
        <v>150</v>
      </c>
      <c r="AH6" t="s">
        <v>162</v>
      </c>
      <c r="AI6" t="s">
        <v>169</v>
      </c>
      <c r="AJ6" t="s">
        <v>331</v>
      </c>
      <c r="AK6" t="s">
        <v>302</v>
      </c>
      <c r="AL6" t="s">
        <v>226</v>
      </c>
      <c r="AM6" t="s">
        <v>332</v>
      </c>
      <c r="AN6" t="s">
        <v>333</v>
      </c>
      <c r="AO6" t="s">
        <v>334</v>
      </c>
      <c r="AP6" t="s">
        <v>157</v>
      </c>
      <c r="AQ6" t="s">
        <v>335</v>
      </c>
      <c r="AR6" s="1" t="s">
        <v>123</v>
      </c>
      <c r="CL6" s="1" t="s">
        <v>123</v>
      </c>
      <c r="CV6" s="1" t="s">
        <v>123</v>
      </c>
      <c r="DF6" s="1" t="s">
        <v>123</v>
      </c>
      <c r="EI6" s="1" t="s">
        <v>123</v>
      </c>
      <c r="FI6" s="1" t="s">
        <v>123</v>
      </c>
      <c r="FJ6" t="s">
        <v>132</v>
      </c>
      <c r="GQ6" t="s">
        <v>336</v>
      </c>
      <c r="GR6" t="s">
        <v>337</v>
      </c>
      <c r="GS6" t="s">
        <v>338</v>
      </c>
      <c r="GT6" t="s">
        <v>186</v>
      </c>
      <c r="GU6">
        <v>1987</v>
      </c>
      <c r="GV6" t="str">
        <f>VLOOKUP(AnalizaCzyste[[#This Row],[Rok urodzenia]],KategorieWiekowe[],2,1)</f>
        <v>26–35 lat</v>
      </c>
      <c r="GW6" t="s">
        <v>246</v>
      </c>
      <c r="GY6" t="s">
        <v>339</v>
      </c>
      <c r="GZ6" t="s">
        <v>340</v>
      </c>
    </row>
    <row r="7" spans="1:209" x14ac:dyDescent="0.45">
      <c r="A7">
        <v>21</v>
      </c>
      <c r="B7">
        <f>_xlfn.IFNA(VLOOKUP(AnalizaCzyste[[#This Row],[Zakończono wypełnianie]],Zakończone[],2,0),"BRAK")</f>
        <v>18</v>
      </c>
      <c r="C7">
        <f>COUNTA(I7:HA7)</f>
        <v>77</v>
      </c>
      <c r="D7" t="s">
        <v>379</v>
      </c>
      <c r="E7" t="s">
        <v>380</v>
      </c>
      <c r="F7">
        <v>5438</v>
      </c>
      <c r="G7" s="20" t="s">
        <v>2292</v>
      </c>
      <c r="H7" s="20" t="s">
        <v>2469</v>
      </c>
      <c r="I7" s="1" t="s">
        <v>123</v>
      </c>
      <c r="Y7" s="1" t="s">
        <v>124</v>
      </c>
      <c r="Z7" t="s">
        <v>2268</v>
      </c>
      <c r="AA7" t="str">
        <f>VLOOKUP(AnalizaCzyste[[#This Row],[Jak się nazywa uczelnia którą ukończyłeś? (proszę o wybranie jednej uczelni podlegającej ocenie)]],KategorieUczelni[],2,0)</f>
        <v>Publiczna</v>
      </c>
      <c r="AB7">
        <v>1985</v>
      </c>
      <c r="AC7" t="s">
        <v>148</v>
      </c>
      <c r="AD7" t="s">
        <v>382</v>
      </c>
      <c r="AE7" t="s">
        <v>169</v>
      </c>
      <c r="AF7" t="s">
        <v>169</v>
      </c>
      <c r="AG7" t="s">
        <v>128</v>
      </c>
      <c r="AH7" t="s">
        <v>236</v>
      </c>
      <c r="AI7" t="s">
        <v>236</v>
      </c>
      <c r="AJ7" t="s">
        <v>383</v>
      </c>
      <c r="AK7" t="s">
        <v>152</v>
      </c>
      <c r="AL7" t="s">
        <v>152</v>
      </c>
      <c r="AM7" t="s">
        <v>384</v>
      </c>
      <c r="AN7" t="s">
        <v>385</v>
      </c>
      <c r="AO7" t="s">
        <v>386</v>
      </c>
      <c r="AP7" t="s">
        <v>172</v>
      </c>
      <c r="AR7" s="1" t="s">
        <v>123</v>
      </c>
      <c r="CL7" s="1" t="s">
        <v>387</v>
      </c>
      <c r="CM7" t="s">
        <v>388</v>
      </c>
      <c r="CN7" t="s">
        <v>389</v>
      </c>
      <c r="CO7" t="s">
        <v>169</v>
      </c>
      <c r="CP7" t="s">
        <v>169</v>
      </c>
      <c r="CQ7" t="s">
        <v>169</v>
      </c>
      <c r="CR7" t="s">
        <v>169</v>
      </c>
      <c r="CS7" t="s">
        <v>169</v>
      </c>
      <c r="CT7" t="s">
        <v>169</v>
      </c>
      <c r="CU7" t="s">
        <v>390</v>
      </c>
      <c r="CV7" s="1" t="s">
        <v>214</v>
      </c>
      <c r="CW7" t="s">
        <v>388</v>
      </c>
      <c r="CX7" t="s">
        <v>2274</v>
      </c>
      <c r="CY7" t="s">
        <v>169</v>
      </c>
      <c r="CZ7" t="s">
        <v>169</v>
      </c>
      <c r="DA7" t="s">
        <v>169</v>
      </c>
      <c r="DB7" t="s">
        <v>169</v>
      </c>
      <c r="DC7" t="s">
        <v>169</v>
      </c>
      <c r="DD7" t="s">
        <v>169</v>
      </c>
      <c r="DE7" t="s">
        <v>393</v>
      </c>
      <c r="DF7" s="1" t="s">
        <v>174</v>
      </c>
      <c r="DG7" t="s">
        <v>394</v>
      </c>
      <c r="DK7" t="s">
        <v>391</v>
      </c>
      <c r="DL7" t="s">
        <v>169</v>
      </c>
      <c r="DM7" t="s">
        <v>169</v>
      </c>
      <c r="DN7" t="s">
        <v>169</v>
      </c>
      <c r="DO7" t="s">
        <v>169</v>
      </c>
      <c r="DP7" t="s">
        <v>169</v>
      </c>
      <c r="DQ7" t="s">
        <v>169</v>
      </c>
      <c r="DR7" t="s">
        <v>169</v>
      </c>
      <c r="DS7">
        <v>20</v>
      </c>
      <c r="DT7">
        <v>20</v>
      </c>
      <c r="DU7">
        <v>0</v>
      </c>
      <c r="DV7">
        <v>15</v>
      </c>
      <c r="DW7">
        <v>30</v>
      </c>
      <c r="DX7">
        <v>0</v>
      </c>
      <c r="DY7">
        <v>15</v>
      </c>
      <c r="EA7">
        <v>30</v>
      </c>
      <c r="EB7">
        <v>20</v>
      </c>
      <c r="EC7">
        <v>0</v>
      </c>
      <c r="ED7">
        <v>10</v>
      </c>
      <c r="EE7">
        <v>25</v>
      </c>
      <c r="EF7">
        <v>0</v>
      </c>
      <c r="EG7">
        <v>15</v>
      </c>
      <c r="EI7" s="1" t="s">
        <v>123</v>
      </c>
      <c r="EJ7" t="s">
        <v>178</v>
      </c>
      <c r="EK7" t="s">
        <v>132</v>
      </c>
      <c r="FI7" s="1" t="s">
        <v>123</v>
      </c>
      <c r="FJ7" t="s">
        <v>132</v>
      </c>
      <c r="FL7" t="s">
        <v>132</v>
      </c>
      <c r="GQ7" t="s">
        <v>395</v>
      </c>
      <c r="GR7" t="s">
        <v>396</v>
      </c>
      <c r="GS7" t="s">
        <v>397</v>
      </c>
      <c r="GT7" t="s">
        <v>186</v>
      </c>
      <c r="GU7">
        <v>1960</v>
      </c>
      <c r="GV7" t="str">
        <f>VLOOKUP(AnalizaCzyste[[#This Row],[Rok urodzenia]],KategorieWiekowe[],2,1)</f>
        <v>56–65 lat</v>
      </c>
      <c r="GW7" t="s">
        <v>398</v>
      </c>
    </row>
    <row r="8" spans="1:209" x14ac:dyDescent="0.45">
      <c r="A8">
        <v>30</v>
      </c>
      <c r="B8">
        <f>_xlfn.IFNA(VLOOKUP(AnalizaCzyste[[#This Row],[Zakończono wypełnianie]],Zakończone[],2,0),"BRAK")</f>
        <v>21</v>
      </c>
      <c r="C8">
        <f>COUNTA(I8:HA8)</f>
        <v>47</v>
      </c>
      <c r="D8" t="s">
        <v>443</v>
      </c>
      <c r="E8" t="s">
        <v>444</v>
      </c>
      <c r="F8">
        <v>6812</v>
      </c>
      <c r="G8" s="20" t="s">
        <v>2292</v>
      </c>
      <c r="H8" s="20" t="s">
        <v>2472</v>
      </c>
      <c r="I8" s="1" t="s">
        <v>123</v>
      </c>
      <c r="Y8" s="1" t="s">
        <v>124</v>
      </c>
      <c r="Z8" t="s">
        <v>445</v>
      </c>
      <c r="AA8" t="str">
        <f>VLOOKUP(AnalizaCzyste[[#This Row],[Jak się nazywa uczelnia którą ukończyłeś? (proszę o wybranie jednej uczelni podlegającej ocenie)]],KategorieUczelni[],2,0)</f>
        <v>Publiczna</v>
      </c>
      <c r="AB8">
        <v>2019</v>
      </c>
      <c r="AC8" t="s">
        <v>148</v>
      </c>
      <c r="AD8" t="s">
        <v>446</v>
      </c>
      <c r="AE8" t="s">
        <v>150</v>
      </c>
      <c r="AF8" t="s">
        <v>150</v>
      </c>
      <c r="AG8" t="s">
        <v>169</v>
      </c>
      <c r="AH8" t="s">
        <v>169</v>
      </c>
      <c r="AI8" t="s">
        <v>132</v>
      </c>
      <c r="AJ8" t="s">
        <v>237</v>
      </c>
      <c r="AK8" t="s">
        <v>226</v>
      </c>
      <c r="AL8" t="s">
        <v>132</v>
      </c>
      <c r="AM8" t="s">
        <v>447</v>
      </c>
      <c r="AN8" t="s">
        <v>448</v>
      </c>
      <c r="AO8" t="s">
        <v>449</v>
      </c>
      <c r="AP8" t="s">
        <v>157</v>
      </c>
      <c r="AR8" s="1" t="s">
        <v>123</v>
      </c>
      <c r="CL8" s="1" t="s">
        <v>387</v>
      </c>
      <c r="CM8" t="s">
        <v>445</v>
      </c>
      <c r="CN8" t="s">
        <v>450</v>
      </c>
      <c r="CO8" t="s">
        <v>169</v>
      </c>
      <c r="CP8" t="s">
        <v>169</v>
      </c>
      <c r="CQ8" t="s">
        <v>169</v>
      </c>
      <c r="CR8" t="s">
        <v>150</v>
      </c>
      <c r="CS8" t="s">
        <v>150</v>
      </c>
      <c r="CT8" t="s">
        <v>150</v>
      </c>
      <c r="CU8" t="s">
        <v>451</v>
      </c>
      <c r="CV8" s="1" t="s">
        <v>123</v>
      </c>
      <c r="DF8" s="1" t="s">
        <v>123</v>
      </c>
      <c r="EI8" s="1" t="s">
        <v>123</v>
      </c>
      <c r="EJ8" t="s">
        <v>180</v>
      </c>
      <c r="EK8" t="s">
        <v>132</v>
      </c>
      <c r="FI8" s="1" t="s">
        <v>123</v>
      </c>
      <c r="FJ8" t="s">
        <v>132</v>
      </c>
      <c r="FL8" t="s">
        <v>132</v>
      </c>
      <c r="GQ8" t="s">
        <v>452</v>
      </c>
      <c r="GR8" t="s">
        <v>453</v>
      </c>
      <c r="GS8" t="s">
        <v>454</v>
      </c>
      <c r="GT8" t="s">
        <v>140</v>
      </c>
      <c r="GU8">
        <v>1994</v>
      </c>
      <c r="GV8" t="str">
        <f>VLOOKUP(AnalizaCzyste[[#This Row],[Rok urodzenia]],KategorieWiekowe[],2,1)</f>
        <v>26–35 lat</v>
      </c>
      <c r="GW8" t="s">
        <v>220</v>
      </c>
      <c r="GY8" t="s">
        <v>455</v>
      </c>
      <c r="GZ8" t="s">
        <v>456</v>
      </c>
    </row>
    <row r="9" spans="1:209" x14ac:dyDescent="0.45">
      <c r="A9">
        <v>70</v>
      </c>
      <c r="B9">
        <f>_xlfn.IFNA(VLOOKUP(AnalizaCzyste[[#This Row],[Zakończono wypełnianie]],Zakończone[],2,0),"BRAK")</f>
        <v>39</v>
      </c>
      <c r="C9">
        <f>COUNTA(I9:HA9)</f>
        <v>55</v>
      </c>
      <c r="D9" t="s">
        <v>715</v>
      </c>
      <c r="E9" t="s">
        <v>716</v>
      </c>
      <c r="F9">
        <v>1868</v>
      </c>
      <c r="G9" s="20" t="s">
        <v>2292</v>
      </c>
      <c r="H9" s="20" t="s">
        <v>2471</v>
      </c>
      <c r="I9" s="1" t="s">
        <v>123</v>
      </c>
      <c r="Y9" s="1" t="s">
        <v>124</v>
      </c>
      <c r="Z9" t="s">
        <v>191</v>
      </c>
      <c r="AA9" t="str">
        <f>VLOOKUP(AnalizaCzyste[[#This Row],[Jak się nazywa uczelnia którą ukończyłeś? (proszę o wybranie jednej uczelni podlegającej ocenie)]],KategorieUczelni[],2,0)</f>
        <v>Publiczna</v>
      </c>
      <c r="AB9">
        <v>2008</v>
      </c>
      <c r="AC9" t="s">
        <v>126</v>
      </c>
      <c r="AD9" t="s">
        <v>717</v>
      </c>
      <c r="AE9" t="s">
        <v>162</v>
      </c>
      <c r="AF9" t="s">
        <v>151</v>
      </c>
      <c r="AG9" t="s">
        <v>162</v>
      </c>
      <c r="AH9" t="s">
        <v>236</v>
      </c>
      <c r="AI9" t="s">
        <v>236</v>
      </c>
      <c r="AJ9" t="s">
        <v>718</v>
      </c>
      <c r="AK9" t="s">
        <v>131</v>
      </c>
      <c r="AL9" t="s">
        <v>302</v>
      </c>
      <c r="AM9" t="s">
        <v>719</v>
      </c>
      <c r="AN9" t="s">
        <v>720</v>
      </c>
      <c r="AO9" t="s">
        <v>721</v>
      </c>
      <c r="AP9" t="s">
        <v>172</v>
      </c>
      <c r="AR9" s="1" t="s">
        <v>123</v>
      </c>
      <c r="CL9" s="1" t="s">
        <v>123</v>
      </c>
      <c r="CV9" s="1" t="s">
        <v>214</v>
      </c>
      <c r="CW9" t="s">
        <v>2275</v>
      </c>
      <c r="CX9" t="s">
        <v>2276</v>
      </c>
      <c r="CY9" t="s">
        <v>150</v>
      </c>
      <c r="CZ9" t="s">
        <v>162</v>
      </c>
      <c r="DA9" t="s">
        <v>151</v>
      </c>
      <c r="DB9" t="s">
        <v>162</v>
      </c>
      <c r="DC9" t="s">
        <v>128</v>
      </c>
      <c r="DD9" t="s">
        <v>128</v>
      </c>
      <c r="DE9" t="s">
        <v>724</v>
      </c>
      <c r="DF9" s="1" t="s">
        <v>123</v>
      </c>
      <c r="EI9" s="1" t="s">
        <v>177</v>
      </c>
      <c r="EJ9" t="s">
        <v>180</v>
      </c>
      <c r="EK9">
        <v>1</v>
      </c>
      <c r="EL9" t="s">
        <v>722</v>
      </c>
      <c r="EM9" t="s">
        <v>162</v>
      </c>
      <c r="EN9" t="s">
        <v>150</v>
      </c>
      <c r="EO9" t="s">
        <v>236</v>
      </c>
      <c r="EP9" t="s">
        <v>178</v>
      </c>
      <c r="EQ9" t="s">
        <v>725</v>
      </c>
      <c r="ER9" t="s">
        <v>726</v>
      </c>
      <c r="ES9" t="s">
        <v>173</v>
      </c>
      <c r="FI9" s="1" t="s">
        <v>123</v>
      </c>
      <c r="FJ9" t="s">
        <v>132</v>
      </c>
      <c r="FL9" t="s">
        <v>132</v>
      </c>
      <c r="GQ9" t="s">
        <v>727</v>
      </c>
      <c r="GR9" t="s">
        <v>728</v>
      </c>
      <c r="GS9" t="s">
        <v>729</v>
      </c>
      <c r="GT9" t="s">
        <v>186</v>
      </c>
      <c r="GU9">
        <v>1983</v>
      </c>
      <c r="GV9" t="str">
        <f>VLOOKUP(AnalizaCzyste[[#This Row],[Rok urodzenia]],KategorieWiekowe[],2,1)</f>
        <v>36–45 lat</v>
      </c>
      <c r="GW9" t="s">
        <v>141</v>
      </c>
      <c r="GY9" t="s">
        <v>730</v>
      </c>
      <c r="HA9" t="s">
        <v>731</v>
      </c>
    </row>
    <row r="10" spans="1:209" x14ac:dyDescent="0.45">
      <c r="A10">
        <v>74</v>
      </c>
      <c r="B10">
        <f>_xlfn.IFNA(VLOOKUP(AnalizaCzyste[[#This Row],[Zakończono wypełnianie]],Zakończone[],2,0),"BRAK")</f>
        <v>40</v>
      </c>
      <c r="C10">
        <f>COUNTA(I10:HA10)</f>
        <v>47</v>
      </c>
      <c r="D10" t="s">
        <v>740</v>
      </c>
      <c r="E10" t="s">
        <v>741</v>
      </c>
      <c r="F10">
        <v>341</v>
      </c>
      <c r="G10" s="20" t="s">
        <v>2292</v>
      </c>
      <c r="H10" s="20" t="s">
        <v>2477</v>
      </c>
      <c r="I10" s="1" t="s">
        <v>123</v>
      </c>
      <c r="Y10" s="1" t="s">
        <v>124</v>
      </c>
      <c r="Z10" t="s">
        <v>223</v>
      </c>
      <c r="AA10" t="str">
        <f>VLOOKUP(AnalizaCzyste[[#This Row],[Jak się nazywa uczelnia którą ukończyłeś? (proszę o wybranie jednej uczelni podlegającej ocenie)]],KategorieUczelni[],2,0)</f>
        <v>Publiczna</v>
      </c>
      <c r="AB10">
        <v>2007</v>
      </c>
      <c r="AC10" t="s">
        <v>148</v>
      </c>
      <c r="AD10" t="s">
        <v>743</v>
      </c>
      <c r="AE10" t="s">
        <v>236</v>
      </c>
      <c r="AF10" t="s">
        <v>129</v>
      </c>
      <c r="AG10" t="s">
        <v>128</v>
      </c>
      <c r="AH10" t="s">
        <v>162</v>
      </c>
      <c r="AI10" t="s">
        <v>150</v>
      </c>
      <c r="AJ10" t="s">
        <v>237</v>
      </c>
      <c r="AK10" t="s">
        <v>302</v>
      </c>
      <c r="AL10" t="s">
        <v>153</v>
      </c>
      <c r="AM10" t="s">
        <v>744</v>
      </c>
      <c r="AN10" t="s">
        <v>745</v>
      </c>
      <c r="AO10" t="s">
        <v>746</v>
      </c>
      <c r="AP10" t="s">
        <v>172</v>
      </c>
      <c r="AR10" s="1" t="s">
        <v>123</v>
      </c>
      <c r="CL10" s="1" t="s">
        <v>387</v>
      </c>
      <c r="CM10" t="s">
        <v>191</v>
      </c>
      <c r="CN10" t="s">
        <v>748</v>
      </c>
      <c r="CO10" t="s">
        <v>150</v>
      </c>
      <c r="CP10" t="s">
        <v>150</v>
      </c>
      <c r="CQ10" t="s">
        <v>169</v>
      </c>
      <c r="CR10" t="s">
        <v>169</v>
      </c>
      <c r="CS10" t="s">
        <v>150</v>
      </c>
      <c r="CT10" t="s">
        <v>150</v>
      </c>
      <c r="CU10" t="s">
        <v>749</v>
      </c>
      <c r="CV10" s="1" t="s">
        <v>123</v>
      </c>
      <c r="DF10" s="1" t="s">
        <v>123</v>
      </c>
      <c r="EI10" s="1" t="s">
        <v>123</v>
      </c>
      <c r="EJ10" t="s">
        <v>178</v>
      </c>
      <c r="EK10" t="s">
        <v>132</v>
      </c>
      <c r="FI10" s="1" t="s">
        <v>123</v>
      </c>
      <c r="FJ10" t="s">
        <v>132</v>
      </c>
      <c r="FL10" t="s">
        <v>132</v>
      </c>
      <c r="GQ10" t="s">
        <v>750</v>
      </c>
      <c r="GR10" t="s">
        <v>751</v>
      </c>
      <c r="GS10" t="s">
        <v>752</v>
      </c>
      <c r="GT10" t="s">
        <v>186</v>
      </c>
      <c r="GU10">
        <v>1983</v>
      </c>
      <c r="GV10" t="str">
        <f>VLOOKUP(AnalizaCzyste[[#This Row],[Rok urodzenia]],KategorieWiekowe[],2,1)</f>
        <v>36–45 lat</v>
      </c>
      <c r="GW10" t="s">
        <v>398</v>
      </c>
      <c r="GY10" t="s">
        <v>753</v>
      </c>
      <c r="GZ10" t="s">
        <v>532</v>
      </c>
    </row>
    <row r="11" spans="1:209" x14ac:dyDescent="0.45">
      <c r="A11">
        <v>75</v>
      </c>
      <c r="B11">
        <f>_xlfn.IFNA(VLOOKUP(AnalizaCzyste[[#This Row],[Zakończono wypełnianie]],Zakończone[],2,0),"BRAK")</f>
        <v>41</v>
      </c>
      <c r="C11">
        <f>COUNTA(I11:HA11)</f>
        <v>52</v>
      </c>
      <c r="D11" t="s">
        <v>756</v>
      </c>
      <c r="E11" t="s">
        <v>757</v>
      </c>
      <c r="F11">
        <v>487</v>
      </c>
      <c r="G11" s="20" t="s">
        <v>2292</v>
      </c>
      <c r="H11" s="20" t="s">
        <v>2470</v>
      </c>
      <c r="I11" s="1" t="s">
        <v>416</v>
      </c>
      <c r="J11" t="s">
        <v>147</v>
      </c>
      <c r="K11" t="s">
        <v>148</v>
      </c>
      <c r="L11" t="s">
        <v>758</v>
      </c>
      <c r="M11" t="s">
        <v>236</v>
      </c>
      <c r="N11" t="s">
        <v>129</v>
      </c>
      <c r="O11" t="s">
        <v>236</v>
      </c>
      <c r="P11" t="s">
        <v>718</v>
      </c>
      <c r="Q11" t="s">
        <v>759</v>
      </c>
      <c r="R11" t="s">
        <v>194</v>
      </c>
      <c r="S11" t="s">
        <v>760</v>
      </c>
      <c r="T11" t="s">
        <v>761</v>
      </c>
      <c r="U11" t="s">
        <v>762</v>
      </c>
      <c r="V11" t="s">
        <v>157</v>
      </c>
      <c r="X11">
        <v>2</v>
      </c>
      <c r="Y11" s="1" t="s">
        <v>124</v>
      </c>
      <c r="Z11" t="s">
        <v>223</v>
      </c>
      <c r="AA11" t="str">
        <f>VLOOKUP(AnalizaCzyste[[#This Row],[Jak się nazywa uczelnia którą ukończyłeś? (proszę o wybranie jednej uczelni podlegającej ocenie)]],KategorieUczelni[],2,0)</f>
        <v>Publiczna</v>
      </c>
      <c r="AB11">
        <v>2012</v>
      </c>
      <c r="AC11" t="s">
        <v>148</v>
      </c>
      <c r="AD11" t="s">
        <v>764</v>
      </c>
      <c r="AE11" t="s">
        <v>236</v>
      </c>
      <c r="AF11" t="s">
        <v>236</v>
      </c>
      <c r="AG11" t="s">
        <v>236</v>
      </c>
      <c r="AH11" t="s">
        <v>129</v>
      </c>
      <c r="AI11" t="s">
        <v>236</v>
      </c>
      <c r="AJ11" t="s">
        <v>237</v>
      </c>
      <c r="AK11" t="s">
        <v>302</v>
      </c>
      <c r="AL11" t="s">
        <v>153</v>
      </c>
      <c r="AM11" t="s">
        <v>765</v>
      </c>
      <c r="AN11" t="s">
        <v>766</v>
      </c>
      <c r="AO11" t="s">
        <v>767</v>
      </c>
      <c r="AP11" t="s">
        <v>230</v>
      </c>
      <c r="AR11" s="1" t="s">
        <v>123</v>
      </c>
      <c r="CL11" s="1" t="s">
        <v>123</v>
      </c>
      <c r="CV11" s="1" t="s">
        <v>123</v>
      </c>
      <c r="DF11" s="1" t="s">
        <v>123</v>
      </c>
      <c r="EI11" s="1" t="s">
        <v>123</v>
      </c>
      <c r="EJ11" t="s">
        <v>180</v>
      </c>
      <c r="EK11" t="s">
        <v>132</v>
      </c>
      <c r="FI11" s="1" t="s">
        <v>123</v>
      </c>
      <c r="FJ11" t="s">
        <v>132</v>
      </c>
      <c r="FL11" t="s">
        <v>132</v>
      </c>
      <c r="GQ11" t="s">
        <v>768</v>
      </c>
      <c r="GR11" t="s">
        <v>769</v>
      </c>
      <c r="GS11" t="s">
        <v>770</v>
      </c>
      <c r="GT11" t="s">
        <v>186</v>
      </c>
      <c r="GU11">
        <v>1990</v>
      </c>
      <c r="GV11" t="str">
        <f>VLOOKUP(AnalizaCzyste[[#This Row],[Rok urodzenia]],KategorieWiekowe[],2,1)</f>
        <v>26–35 lat</v>
      </c>
      <c r="GW11" t="s">
        <v>141</v>
      </c>
      <c r="GY11" t="s">
        <v>771</v>
      </c>
      <c r="GZ11" t="s">
        <v>772</v>
      </c>
    </row>
    <row r="12" spans="1:209" x14ac:dyDescent="0.45">
      <c r="A12">
        <v>82</v>
      </c>
      <c r="B12">
        <f>_xlfn.IFNA(VLOOKUP(AnalizaCzyste[[#This Row],[Zakończono wypełnianie]],Zakończone[],2,0),"BRAK")</f>
        <v>47</v>
      </c>
      <c r="C12">
        <f>COUNTA(I12:HA12)</f>
        <v>29</v>
      </c>
      <c r="D12" t="s">
        <v>829</v>
      </c>
      <c r="E12" t="s">
        <v>830</v>
      </c>
      <c r="F12">
        <v>3349</v>
      </c>
      <c r="G12" s="20" t="s">
        <v>2292</v>
      </c>
      <c r="H12" s="20" t="s">
        <v>2468</v>
      </c>
      <c r="I12" s="1" t="s">
        <v>123</v>
      </c>
      <c r="Y12" s="1" t="s">
        <v>123</v>
      </c>
      <c r="AA12" t="e">
        <f>VLOOKUP(AnalizaCzyste[[#This Row],[Jak się nazywa uczelnia którą ukończyłeś? (proszę o wybranie jednej uczelni podlegającej ocenie)]],KategorieUczelni[],2,0)</f>
        <v>#N/A</v>
      </c>
      <c r="AR12" s="1" t="s">
        <v>123</v>
      </c>
      <c r="CL12" s="1" t="s">
        <v>123</v>
      </c>
      <c r="CV12" s="1" t="s">
        <v>123</v>
      </c>
      <c r="DF12" s="1" t="s">
        <v>123</v>
      </c>
      <c r="EI12" s="1" t="s">
        <v>177</v>
      </c>
      <c r="EJ12" t="s">
        <v>178</v>
      </c>
      <c r="EK12">
        <v>1</v>
      </c>
      <c r="EL12" t="s">
        <v>191</v>
      </c>
      <c r="EM12" t="s">
        <v>162</v>
      </c>
      <c r="EN12" t="s">
        <v>162</v>
      </c>
      <c r="EO12" t="s">
        <v>128</v>
      </c>
      <c r="EP12" t="s">
        <v>178</v>
      </c>
      <c r="EQ12" t="s">
        <v>831</v>
      </c>
      <c r="ER12" t="s">
        <v>832</v>
      </c>
      <c r="ES12" t="s">
        <v>173</v>
      </c>
      <c r="FI12" s="1" t="s">
        <v>123</v>
      </c>
      <c r="FJ12" t="s">
        <v>132</v>
      </c>
      <c r="FL12" t="s">
        <v>132</v>
      </c>
      <c r="GQ12" t="s">
        <v>833</v>
      </c>
      <c r="GR12" t="s">
        <v>834</v>
      </c>
      <c r="GS12" t="s">
        <v>835</v>
      </c>
      <c r="GT12" t="s">
        <v>140</v>
      </c>
      <c r="GU12">
        <v>1977</v>
      </c>
      <c r="GV12" t="str">
        <f>VLOOKUP(AnalizaCzyste[[#This Row],[Rok urodzenia]],KategorieWiekowe[],2,1)</f>
        <v>36–45 lat</v>
      </c>
      <c r="GW12" t="s">
        <v>398</v>
      </c>
      <c r="GY12" t="s">
        <v>836</v>
      </c>
    </row>
    <row r="13" spans="1:209" x14ac:dyDescent="0.45">
      <c r="A13">
        <v>83</v>
      </c>
      <c r="B13">
        <f>_xlfn.IFNA(VLOOKUP(AnalizaCzyste[[#This Row],[Zakończono wypełnianie]],Zakończone[],2,0),"BRAK")</f>
        <v>48</v>
      </c>
      <c r="C13">
        <f>COUNTA(I13:HA13)</f>
        <v>76</v>
      </c>
      <c r="D13" t="s">
        <v>838</v>
      </c>
      <c r="E13" t="s">
        <v>839</v>
      </c>
      <c r="F13">
        <v>3312</v>
      </c>
      <c r="G13" s="20" t="s">
        <v>2292</v>
      </c>
      <c r="H13" s="20" t="s">
        <v>2482</v>
      </c>
      <c r="I13" s="1" t="s">
        <v>123</v>
      </c>
      <c r="Y13" s="1" t="s">
        <v>124</v>
      </c>
      <c r="Z13" s="20" t="s">
        <v>191</v>
      </c>
      <c r="AA13" s="20" t="str">
        <f>VLOOKUP(AnalizaCzyste[[#This Row],[Jak się nazywa uczelnia którą ukończyłeś? (proszę o wybranie jednej uczelni podlegającej ocenie)]],KategorieUczelni[],2,0)</f>
        <v>Publiczna</v>
      </c>
      <c r="AB13">
        <v>1978</v>
      </c>
      <c r="AC13" t="s">
        <v>126</v>
      </c>
      <c r="AD13" t="s">
        <v>841</v>
      </c>
      <c r="AE13" t="s">
        <v>169</v>
      </c>
      <c r="AF13" t="s">
        <v>169</v>
      </c>
      <c r="AG13" t="s">
        <v>151</v>
      </c>
      <c r="AH13" t="s">
        <v>150</v>
      </c>
      <c r="AI13" t="s">
        <v>150</v>
      </c>
      <c r="AJ13">
        <v>2</v>
      </c>
      <c r="AK13" t="s">
        <v>302</v>
      </c>
      <c r="AL13" t="s">
        <v>226</v>
      </c>
      <c r="AM13" t="s">
        <v>842</v>
      </c>
      <c r="AN13" t="s">
        <v>843</v>
      </c>
      <c r="AO13" t="s">
        <v>386</v>
      </c>
      <c r="AP13" t="s">
        <v>157</v>
      </c>
      <c r="AR13" s="1" t="s">
        <v>159</v>
      </c>
      <c r="AS13">
        <v>2</v>
      </c>
      <c r="AT13" t="s">
        <v>191</v>
      </c>
      <c r="AU13">
        <v>2005</v>
      </c>
      <c r="AV13" t="s">
        <v>126</v>
      </c>
      <c r="AW13" t="s">
        <v>844</v>
      </c>
      <c r="AX13" t="s">
        <v>150</v>
      </c>
      <c r="AY13" t="s">
        <v>150</v>
      </c>
      <c r="AZ13" t="s">
        <v>169</v>
      </c>
      <c r="BA13" t="s">
        <v>162</v>
      </c>
      <c r="BB13" t="s">
        <v>162</v>
      </c>
      <c r="BC13">
        <v>3</v>
      </c>
      <c r="BD13" t="s">
        <v>845</v>
      </c>
      <c r="BE13" t="s">
        <v>157</v>
      </c>
      <c r="BG13" t="s">
        <v>148</v>
      </c>
      <c r="BH13" t="s">
        <v>166</v>
      </c>
      <c r="BI13" t="s">
        <v>191</v>
      </c>
      <c r="BJ13">
        <v>2007</v>
      </c>
      <c r="BK13" t="s">
        <v>126</v>
      </c>
      <c r="BL13" t="s">
        <v>844</v>
      </c>
      <c r="BM13" t="s">
        <v>150</v>
      </c>
      <c r="BN13" t="s">
        <v>150</v>
      </c>
      <c r="BO13" t="s">
        <v>150</v>
      </c>
      <c r="BP13" t="s">
        <v>162</v>
      </c>
      <c r="BQ13" t="s">
        <v>162</v>
      </c>
      <c r="BR13">
        <v>3</v>
      </c>
      <c r="BS13" t="s">
        <v>148</v>
      </c>
      <c r="BT13" t="s">
        <v>157</v>
      </c>
      <c r="BV13" t="s">
        <v>148</v>
      </c>
      <c r="BW13" t="s">
        <v>173</v>
      </c>
      <c r="CL13" s="1" t="s">
        <v>123</v>
      </c>
      <c r="CV13" s="1" t="s">
        <v>214</v>
      </c>
      <c r="CW13" t="s">
        <v>2275</v>
      </c>
      <c r="CX13" t="s">
        <v>2276</v>
      </c>
      <c r="CY13" t="s">
        <v>150</v>
      </c>
      <c r="CZ13" t="s">
        <v>150</v>
      </c>
      <c r="DA13" t="s">
        <v>150</v>
      </c>
      <c r="DB13" t="s">
        <v>150</v>
      </c>
      <c r="DC13" t="s">
        <v>150</v>
      </c>
      <c r="DD13" t="s">
        <v>162</v>
      </c>
      <c r="DE13" t="s">
        <v>848</v>
      </c>
      <c r="DF13" s="1" t="s">
        <v>123</v>
      </c>
      <c r="EI13" s="1" t="s">
        <v>123</v>
      </c>
      <c r="EJ13" t="s">
        <v>180</v>
      </c>
      <c r="EK13" t="s">
        <v>132</v>
      </c>
      <c r="FI13" s="1" t="s">
        <v>123</v>
      </c>
      <c r="FJ13" t="s">
        <v>132</v>
      </c>
      <c r="FL13" t="s">
        <v>132</v>
      </c>
      <c r="GQ13" t="s">
        <v>849</v>
      </c>
      <c r="GR13" t="s">
        <v>850</v>
      </c>
      <c r="GS13" t="s">
        <v>851</v>
      </c>
      <c r="GT13" t="s">
        <v>186</v>
      </c>
      <c r="GU13">
        <v>1954</v>
      </c>
      <c r="GV13" t="str">
        <f>VLOOKUP(AnalizaCzyste[[#This Row],[Rok urodzenia]],KategorieWiekowe[],2,1)</f>
        <v>powyżej 65 lat</v>
      </c>
      <c r="GW13" t="s">
        <v>141</v>
      </c>
      <c r="GY13" t="s">
        <v>852</v>
      </c>
      <c r="GZ13" t="s">
        <v>853</v>
      </c>
    </row>
    <row r="14" spans="1:209" x14ac:dyDescent="0.45">
      <c r="A14">
        <v>84</v>
      </c>
      <c r="B14">
        <f>_xlfn.IFNA(VLOOKUP(AnalizaCzyste[[#This Row],[Zakończono wypełnianie]],Zakończone[],2,0),"BRAK")</f>
        <v>49</v>
      </c>
      <c r="C14">
        <f>COUNTA(I14:HA14)</f>
        <v>50</v>
      </c>
      <c r="D14" t="s">
        <v>855</v>
      </c>
      <c r="E14" t="s">
        <v>856</v>
      </c>
      <c r="F14">
        <v>1349</v>
      </c>
      <c r="G14" s="20" t="s">
        <v>2292</v>
      </c>
      <c r="H14" s="20" t="s">
        <v>2455</v>
      </c>
      <c r="I14" s="1" t="s">
        <v>416</v>
      </c>
      <c r="J14" t="s">
        <v>179</v>
      </c>
      <c r="K14" t="s">
        <v>148</v>
      </c>
      <c r="L14" t="s">
        <v>857</v>
      </c>
      <c r="M14" t="s">
        <v>162</v>
      </c>
      <c r="N14" t="s">
        <v>162</v>
      </c>
      <c r="O14" t="s">
        <v>151</v>
      </c>
      <c r="P14" t="s">
        <v>718</v>
      </c>
      <c r="Q14" t="s">
        <v>152</v>
      </c>
      <c r="R14" t="s">
        <v>759</v>
      </c>
      <c r="S14" t="s">
        <v>858</v>
      </c>
      <c r="T14" t="s">
        <v>859</v>
      </c>
      <c r="U14" t="s">
        <v>860</v>
      </c>
      <c r="W14" t="s">
        <v>861</v>
      </c>
      <c r="X14">
        <v>2</v>
      </c>
      <c r="Y14" s="1" t="s">
        <v>124</v>
      </c>
      <c r="Z14" t="s">
        <v>862</v>
      </c>
      <c r="AA14" t="str">
        <f>VLOOKUP(AnalizaCzyste[[#This Row],[Jak się nazywa uczelnia którą ukończyłeś? (proszę o wybranie jednej uczelni podlegającej ocenie)]],KategorieUczelni[],2,0)</f>
        <v>Publiczna</v>
      </c>
      <c r="AB14">
        <v>2019</v>
      </c>
      <c r="AC14" t="s">
        <v>148</v>
      </c>
      <c r="AD14" t="s">
        <v>863</v>
      </c>
      <c r="AE14" t="s">
        <v>150</v>
      </c>
      <c r="AF14" t="s">
        <v>150</v>
      </c>
      <c r="AG14" t="s">
        <v>169</v>
      </c>
      <c r="AH14" t="s">
        <v>151</v>
      </c>
      <c r="AI14" t="s">
        <v>150</v>
      </c>
      <c r="AJ14" t="s">
        <v>864</v>
      </c>
      <c r="AK14" t="s">
        <v>302</v>
      </c>
      <c r="AL14" t="s">
        <v>759</v>
      </c>
      <c r="AM14" t="s">
        <v>865</v>
      </c>
      <c r="AN14" t="s">
        <v>866</v>
      </c>
      <c r="AO14" t="s">
        <v>867</v>
      </c>
      <c r="AP14" t="s">
        <v>157</v>
      </c>
      <c r="AR14" s="1" t="s">
        <v>123</v>
      </c>
      <c r="CL14" s="1" t="s">
        <v>123</v>
      </c>
      <c r="CV14" s="1" t="s">
        <v>123</v>
      </c>
      <c r="DF14" s="1" t="s">
        <v>123</v>
      </c>
      <c r="EI14" s="1" t="s">
        <v>123</v>
      </c>
      <c r="FI14" s="1" t="s">
        <v>123</v>
      </c>
      <c r="FJ14" t="s">
        <v>132</v>
      </c>
      <c r="GQ14" t="s">
        <v>868</v>
      </c>
      <c r="GR14" t="s">
        <v>869</v>
      </c>
      <c r="GS14" t="s">
        <v>870</v>
      </c>
      <c r="GT14" t="s">
        <v>186</v>
      </c>
      <c r="GU14">
        <v>1991</v>
      </c>
      <c r="GV14" t="str">
        <f>VLOOKUP(AnalizaCzyste[[#This Row],[Rok urodzenia]],KategorieWiekowe[],2,1)</f>
        <v>26–35 lat</v>
      </c>
      <c r="GW14" t="s">
        <v>220</v>
      </c>
      <c r="GX14" t="s">
        <v>871</v>
      </c>
      <c r="GY14" t="s">
        <v>872</v>
      </c>
      <c r="GZ14" t="s">
        <v>386</v>
      </c>
    </row>
    <row r="15" spans="1:209" x14ac:dyDescent="0.45">
      <c r="A15">
        <v>89</v>
      </c>
      <c r="B15">
        <f>_xlfn.IFNA(VLOOKUP(AnalizaCzyste[[#This Row],[Zakończono wypełnianie]],Zakończone[],2,0),"BRAK")</f>
        <v>54</v>
      </c>
      <c r="C15">
        <f>COUNTA(I15:HA15)</f>
        <v>36</v>
      </c>
      <c r="D15" t="s">
        <v>903</v>
      </c>
      <c r="E15" t="s">
        <v>904</v>
      </c>
      <c r="F15">
        <v>255</v>
      </c>
      <c r="G15" s="20" t="s">
        <v>2292</v>
      </c>
      <c r="H15" s="20" t="s">
        <v>2476</v>
      </c>
      <c r="I15" s="1" t="s">
        <v>123</v>
      </c>
      <c r="Y15" s="1" t="s">
        <v>124</v>
      </c>
      <c r="Z15" t="s">
        <v>191</v>
      </c>
      <c r="AA15" t="str">
        <f>VLOOKUP(AnalizaCzyste[[#This Row],[Jak się nazywa uczelnia którą ukończyłeś? (proszę o wybranie jednej uczelni podlegającej ocenie)]],KategorieUczelni[],2,0)</f>
        <v>Publiczna</v>
      </c>
      <c r="AB15">
        <v>2009</v>
      </c>
      <c r="AC15" t="s">
        <v>126</v>
      </c>
      <c r="AD15" t="s">
        <v>906</v>
      </c>
      <c r="AE15" t="s">
        <v>151</v>
      </c>
      <c r="AF15" t="s">
        <v>151</v>
      </c>
      <c r="AG15" t="s">
        <v>150</v>
      </c>
      <c r="AH15" t="s">
        <v>128</v>
      </c>
      <c r="AI15" t="s">
        <v>162</v>
      </c>
      <c r="AJ15" t="s">
        <v>907</v>
      </c>
      <c r="AK15" t="s">
        <v>131</v>
      </c>
      <c r="AL15" t="s">
        <v>759</v>
      </c>
      <c r="AM15" t="s">
        <v>908</v>
      </c>
      <c r="AN15" t="s">
        <v>908</v>
      </c>
      <c r="AO15" t="s">
        <v>909</v>
      </c>
      <c r="AP15" t="s">
        <v>172</v>
      </c>
      <c r="AR15" s="1" t="s">
        <v>123</v>
      </c>
      <c r="CL15" s="1" t="s">
        <v>123</v>
      </c>
      <c r="CV15" s="1" t="s">
        <v>123</v>
      </c>
      <c r="DF15" s="1" t="s">
        <v>123</v>
      </c>
      <c r="EI15" s="1" t="s">
        <v>123</v>
      </c>
      <c r="EJ15" t="s">
        <v>180</v>
      </c>
      <c r="EK15" t="s">
        <v>132</v>
      </c>
      <c r="FI15" s="1" t="s">
        <v>123</v>
      </c>
      <c r="FJ15" t="s">
        <v>132</v>
      </c>
      <c r="FL15" t="s">
        <v>132</v>
      </c>
      <c r="GQ15" t="s">
        <v>910</v>
      </c>
      <c r="GR15" t="s">
        <v>911</v>
      </c>
      <c r="GS15" t="s">
        <v>912</v>
      </c>
      <c r="GT15" t="s">
        <v>186</v>
      </c>
      <c r="GU15">
        <v>1983</v>
      </c>
      <c r="GV15" t="str">
        <f>VLOOKUP(AnalizaCzyste[[#This Row],[Rok urodzenia]],KategorieWiekowe[],2,1)</f>
        <v>36–45 lat</v>
      </c>
      <c r="GW15" t="s">
        <v>141</v>
      </c>
    </row>
    <row r="16" spans="1:209" x14ac:dyDescent="0.45">
      <c r="A16">
        <v>91</v>
      </c>
      <c r="B16">
        <f>_xlfn.IFNA(VLOOKUP(AnalizaCzyste[[#This Row],[Zakończono wypełnianie]],Zakończone[],2,0),"BRAK")</f>
        <v>55</v>
      </c>
      <c r="C16">
        <f>COUNTA(I16:HA16)</f>
        <v>78</v>
      </c>
      <c r="D16" t="s">
        <v>916</v>
      </c>
      <c r="E16" t="s">
        <v>917</v>
      </c>
      <c r="F16">
        <v>76609</v>
      </c>
      <c r="G16" s="20" t="s">
        <v>2292</v>
      </c>
      <c r="H16" s="20" t="s">
        <v>2453</v>
      </c>
      <c r="I16" s="1" t="s">
        <v>123</v>
      </c>
      <c r="Y16" s="1" t="s">
        <v>124</v>
      </c>
      <c r="Z16" t="s">
        <v>223</v>
      </c>
      <c r="AA16" t="str">
        <f>VLOOKUP(AnalizaCzyste[[#This Row],[Jak się nazywa uczelnia którą ukończyłeś? (proszę o wybranie jednej uczelni podlegającej ocenie)]],KategorieUczelni[],2,0)</f>
        <v>Publiczna</v>
      </c>
      <c r="AB16">
        <v>1980</v>
      </c>
      <c r="AC16" t="s">
        <v>148</v>
      </c>
      <c r="AD16" t="s">
        <v>919</v>
      </c>
      <c r="AE16" t="s">
        <v>169</v>
      </c>
      <c r="AF16" t="s">
        <v>169</v>
      </c>
      <c r="AG16" t="s">
        <v>150</v>
      </c>
      <c r="AH16" t="s">
        <v>128</v>
      </c>
      <c r="AI16" t="s">
        <v>128</v>
      </c>
      <c r="AJ16" t="s">
        <v>920</v>
      </c>
      <c r="AK16" t="s">
        <v>302</v>
      </c>
      <c r="AL16" t="s">
        <v>302</v>
      </c>
      <c r="AM16" t="s">
        <v>921</v>
      </c>
      <c r="AN16" t="s">
        <v>922</v>
      </c>
      <c r="AO16" t="s">
        <v>923</v>
      </c>
      <c r="AP16" t="s">
        <v>157</v>
      </c>
      <c r="AR16" s="1" t="s">
        <v>159</v>
      </c>
      <c r="AS16">
        <v>2</v>
      </c>
      <c r="AT16" t="s">
        <v>223</v>
      </c>
      <c r="AU16">
        <v>2009</v>
      </c>
      <c r="AV16" t="s">
        <v>148</v>
      </c>
      <c r="AW16" t="s">
        <v>743</v>
      </c>
      <c r="AX16" t="s">
        <v>169</v>
      </c>
      <c r="AY16" t="s">
        <v>169</v>
      </c>
      <c r="AZ16" t="s">
        <v>169</v>
      </c>
      <c r="BA16" t="s">
        <v>128</v>
      </c>
      <c r="BB16" t="s">
        <v>128</v>
      </c>
      <c r="BC16" t="s">
        <v>925</v>
      </c>
      <c r="BD16" t="s">
        <v>926</v>
      </c>
      <c r="BE16" t="s">
        <v>157</v>
      </c>
      <c r="BG16" t="s">
        <v>927</v>
      </c>
      <c r="BH16" t="s">
        <v>173</v>
      </c>
      <c r="CL16" s="1" t="s">
        <v>387</v>
      </c>
      <c r="CM16" t="s">
        <v>223</v>
      </c>
      <c r="CN16" t="s">
        <v>928</v>
      </c>
      <c r="CO16" t="s">
        <v>169</v>
      </c>
      <c r="CP16" t="s">
        <v>162</v>
      </c>
      <c r="CQ16" t="s">
        <v>128</v>
      </c>
      <c r="CR16" t="s">
        <v>169</v>
      </c>
      <c r="CS16" t="s">
        <v>169</v>
      </c>
      <c r="CT16" t="s">
        <v>169</v>
      </c>
      <c r="CU16" t="s">
        <v>929</v>
      </c>
      <c r="CV16" s="1" t="s">
        <v>214</v>
      </c>
      <c r="CW16" t="s">
        <v>223</v>
      </c>
      <c r="CX16" t="s">
        <v>928</v>
      </c>
      <c r="CY16" t="s">
        <v>169</v>
      </c>
      <c r="CZ16" t="s">
        <v>162</v>
      </c>
      <c r="DA16" t="s">
        <v>128</v>
      </c>
      <c r="DB16" t="s">
        <v>169</v>
      </c>
      <c r="DC16" t="s">
        <v>169</v>
      </c>
      <c r="DD16" t="s">
        <v>150</v>
      </c>
      <c r="DE16" t="s">
        <v>930</v>
      </c>
      <c r="DF16" s="1" t="s">
        <v>123</v>
      </c>
      <c r="EI16" s="1" t="s">
        <v>177</v>
      </c>
      <c r="EJ16" t="s">
        <v>180</v>
      </c>
      <c r="EK16">
        <v>1</v>
      </c>
      <c r="EL16" t="s">
        <v>223</v>
      </c>
      <c r="EM16" t="s">
        <v>169</v>
      </c>
      <c r="EN16" t="s">
        <v>169</v>
      </c>
      <c r="EO16" t="s">
        <v>236</v>
      </c>
      <c r="EP16" t="s">
        <v>180</v>
      </c>
      <c r="EQ16" t="s">
        <v>931</v>
      </c>
      <c r="ER16" t="s">
        <v>932</v>
      </c>
      <c r="ES16" t="s">
        <v>173</v>
      </c>
      <c r="FI16" s="1" t="s">
        <v>123</v>
      </c>
      <c r="FJ16" t="s">
        <v>132</v>
      </c>
      <c r="FL16" t="s">
        <v>132</v>
      </c>
      <c r="GQ16" t="s">
        <v>933</v>
      </c>
      <c r="GR16" t="s">
        <v>934</v>
      </c>
      <c r="GS16" t="s">
        <v>935</v>
      </c>
      <c r="GT16" t="s">
        <v>140</v>
      </c>
      <c r="GU16">
        <v>1957</v>
      </c>
      <c r="GV16" t="str">
        <f>VLOOKUP(AnalizaCzyste[[#This Row],[Rok urodzenia]],KategorieWiekowe[],2,1)</f>
        <v>56–65 lat</v>
      </c>
      <c r="GW16" t="s">
        <v>141</v>
      </c>
      <c r="GY16" t="s">
        <v>936</v>
      </c>
    </row>
    <row r="17" spans="1:209" x14ac:dyDescent="0.45">
      <c r="A17">
        <v>122</v>
      </c>
      <c r="B17">
        <f>_xlfn.IFNA(VLOOKUP(AnalizaCzyste[[#This Row],[Zakończono wypełnianie]],Zakończone[],2,0),"BRAK")</f>
        <v>71</v>
      </c>
      <c r="C17">
        <f>COUNTA(I17:HA17)</f>
        <v>33</v>
      </c>
      <c r="D17" t="s">
        <v>1132</v>
      </c>
      <c r="E17" t="s">
        <v>1133</v>
      </c>
      <c r="F17">
        <v>3215</v>
      </c>
      <c r="G17" s="20" t="s">
        <v>2292</v>
      </c>
      <c r="H17" s="20" t="s">
        <v>2456</v>
      </c>
      <c r="I17" s="1" t="s">
        <v>123</v>
      </c>
      <c r="Y17" s="1" t="s">
        <v>124</v>
      </c>
      <c r="Z17" t="s">
        <v>191</v>
      </c>
      <c r="AA17" t="str">
        <f>VLOOKUP(AnalizaCzyste[[#This Row],[Jak się nazywa uczelnia którą ukończyłeś? (proszę o wybranie jednej uczelni podlegającej ocenie)]],KategorieUczelni[],2,0)</f>
        <v>Publiczna</v>
      </c>
      <c r="AB17">
        <v>2015</v>
      </c>
      <c r="AC17" t="s">
        <v>126</v>
      </c>
      <c r="AD17" t="s">
        <v>1134</v>
      </c>
      <c r="AE17" t="s">
        <v>128</v>
      </c>
      <c r="AF17" t="s">
        <v>151</v>
      </c>
      <c r="AG17" t="s">
        <v>169</v>
      </c>
      <c r="AH17" t="s">
        <v>162</v>
      </c>
      <c r="AI17" t="s">
        <v>150</v>
      </c>
      <c r="AJ17">
        <v>1</v>
      </c>
      <c r="AK17" t="s">
        <v>302</v>
      </c>
      <c r="AL17" t="s">
        <v>226</v>
      </c>
      <c r="AM17" t="s">
        <v>1135</v>
      </c>
      <c r="AN17" t="s">
        <v>1136</v>
      </c>
      <c r="AO17" t="s">
        <v>1137</v>
      </c>
      <c r="AP17" t="s">
        <v>172</v>
      </c>
      <c r="AR17" s="1" t="s">
        <v>123</v>
      </c>
      <c r="CL17" s="1" t="s">
        <v>123</v>
      </c>
      <c r="CV17" s="1" t="s">
        <v>123</v>
      </c>
      <c r="DF17" s="1" t="s">
        <v>123</v>
      </c>
      <c r="EI17" s="1" t="s">
        <v>123</v>
      </c>
      <c r="FI17" s="1" t="s">
        <v>123</v>
      </c>
      <c r="GQ17" t="s">
        <v>1138</v>
      </c>
      <c r="GR17" t="s">
        <v>1139</v>
      </c>
      <c r="GS17" t="s">
        <v>1140</v>
      </c>
      <c r="GT17" t="s">
        <v>186</v>
      </c>
      <c r="GU17">
        <v>1991</v>
      </c>
      <c r="GV17" t="str">
        <f>VLOOKUP(AnalizaCzyste[[#This Row],[Rok urodzenia]],KategorieWiekowe[],2,1)</f>
        <v>26–35 lat</v>
      </c>
      <c r="GW17" t="s">
        <v>141</v>
      </c>
      <c r="GY17" t="s">
        <v>1141</v>
      </c>
    </row>
    <row r="18" spans="1:209" x14ac:dyDescent="0.45">
      <c r="A18">
        <v>124</v>
      </c>
      <c r="B18">
        <f>_xlfn.IFNA(VLOOKUP(AnalizaCzyste[[#This Row],[Zakończono wypełnianie]],Zakończone[],2,0),"BRAK")</f>
        <v>73</v>
      </c>
      <c r="C18">
        <f>COUNTA(I18:HA18)</f>
        <v>35</v>
      </c>
      <c r="D18" t="s">
        <v>1153</v>
      </c>
      <c r="E18" t="s">
        <v>1154</v>
      </c>
      <c r="F18">
        <v>1159</v>
      </c>
      <c r="G18" s="20" t="s">
        <v>2292</v>
      </c>
      <c r="H18" s="20" t="s">
        <v>2457</v>
      </c>
      <c r="I18" s="1" t="s">
        <v>123</v>
      </c>
      <c r="Y18" s="1" t="s">
        <v>124</v>
      </c>
      <c r="Z18" t="s">
        <v>191</v>
      </c>
      <c r="AA18" t="str">
        <f>VLOOKUP(AnalizaCzyste[[#This Row],[Jak się nazywa uczelnia którą ukończyłeś? (proszę o wybranie jednej uczelni podlegającej ocenie)]],KategorieUczelni[],2,0)</f>
        <v>Publiczna</v>
      </c>
      <c r="AB18">
        <v>2018</v>
      </c>
      <c r="AC18" t="s">
        <v>126</v>
      </c>
      <c r="AD18" t="s">
        <v>969</v>
      </c>
      <c r="AE18" t="s">
        <v>150</v>
      </c>
      <c r="AF18" t="s">
        <v>150</v>
      </c>
      <c r="AG18" t="s">
        <v>162</v>
      </c>
      <c r="AH18" t="s">
        <v>128</v>
      </c>
      <c r="AI18" t="s">
        <v>151</v>
      </c>
      <c r="AJ18" t="s">
        <v>530</v>
      </c>
      <c r="AK18" t="s">
        <v>131</v>
      </c>
      <c r="AL18" t="s">
        <v>302</v>
      </c>
      <c r="AM18" t="s">
        <v>1155</v>
      </c>
      <c r="AN18" t="s">
        <v>1156</v>
      </c>
      <c r="AO18" t="s">
        <v>1157</v>
      </c>
      <c r="AP18" t="s">
        <v>230</v>
      </c>
      <c r="AQ18" t="s">
        <v>1158</v>
      </c>
      <c r="AR18" s="1" t="s">
        <v>123</v>
      </c>
      <c r="CL18" s="1" t="s">
        <v>123</v>
      </c>
      <c r="CV18" s="1" t="s">
        <v>123</v>
      </c>
      <c r="DF18" s="1" t="s">
        <v>123</v>
      </c>
      <c r="EI18" s="1" t="s">
        <v>123</v>
      </c>
      <c r="FI18" s="1" t="s">
        <v>123</v>
      </c>
      <c r="GQ18" t="s">
        <v>1159</v>
      </c>
      <c r="GR18" t="s">
        <v>1160</v>
      </c>
      <c r="GS18" t="s">
        <v>1161</v>
      </c>
      <c r="GT18" t="s">
        <v>140</v>
      </c>
      <c r="GU18">
        <v>1991</v>
      </c>
      <c r="GV18" t="str">
        <f>VLOOKUP(AnalizaCzyste[[#This Row],[Rok urodzenia]],KategorieWiekowe[],2,1)</f>
        <v>26–35 lat</v>
      </c>
      <c r="GW18" t="s">
        <v>483</v>
      </c>
      <c r="GY18" t="s">
        <v>1162</v>
      </c>
      <c r="GZ18" t="s">
        <v>142</v>
      </c>
    </row>
    <row r="19" spans="1:209" x14ac:dyDescent="0.45">
      <c r="A19">
        <v>125</v>
      </c>
      <c r="B19">
        <f>_xlfn.IFNA(VLOOKUP(AnalizaCzyste[[#This Row],[Zakończono wypełnianie]],Zakończone[],2,0),"BRAK")</f>
        <v>74</v>
      </c>
      <c r="C19">
        <f>COUNTA(I19:HA19)</f>
        <v>80</v>
      </c>
      <c r="D19" t="s">
        <v>1164</v>
      </c>
      <c r="E19" t="s">
        <v>1165</v>
      </c>
      <c r="F19">
        <v>982</v>
      </c>
      <c r="G19" s="20" t="s">
        <v>2292</v>
      </c>
      <c r="H19" s="20" t="s">
        <v>2459</v>
      </c>
      <c r="I19" s="1" t="s">
        <v>123</v>
      </c>
      <c r="Y19" s="1" t="s">
        <v>124</v>
      </c>
      <c r="Z19" t="s">
        <v>191</v>
      </c>
      <c r="AA19" t="str">
        <f>VLOOKUP(AnalizaCzyste[[#This Row],[Jak się nazywa uczelnia którą ukończyłeś? (proszę o wybranie jednej uczelni podlegającej ocenie)]],KategorieUczelni[],2,0)</f>
        <v>Publiczna</v>
      </c>
      <c r="AB19">
        <v>1978</v>
      </c>
      <c r="AC19" t="s">
        <v>148</v>
      </c>
      <c r="AD19" t="s">
        <v>1167</v>
      </c>
      <c r="AE19" t="s">
        <v>169</v>
      </c>
      <c r="AF19" t="s">
        <v>169</v>
      </c>
      <c r="AG19" t="s">
        <v>169</v>
      </c>
      <c r="AH19" t="s">
        <v>150</v>
      </c>
      <c r="AI19" t="s">
        <v>150</v>
      </c>
      <c r="AJ19" t="s">
        <v>1168</v>
      </c>
      <c r="AK19" t="s">
        <v>132</v>
      </c>
      <c r="AL19" t="s">
        <v>132</v>
      </c>
      <c r="AM19" t="s">
        <v>1169</v>
      </c>
      <c r="AN19" t="s">
        <v>1170</v>
      </c>
      <c r="AO19" t="s">
        <v>132</v>
      </c>
      <c r="AQ19" t="s">
        <v>1171</v>
      </c>
      <c r="AR19" s="1" t="s">
        <v>159</v>
      </c>
      <c r="AS19">
        <v>1</v>
      </c>
      <c r="AT19" t="s">
        <v>1290</v>
      </c>
      <c r="AU19">
        <v>2020</v>
      </c>
      <c r="AV19" t="s">
        <v>148</v>
      </c>
      <c r="AW19" t="s">
        <v>1050</v>
      </c>
      <c r="AX19" t="s">
        <v>132</v>
      </c>
      <c r="AY19" t="s">
        <v>132</v>
      </c>
      <c r="AZ19" t="s">
        <v>132</v>
      </c>
      <c r="BA19" t="s">
        <v>132</v>
      </c>
      <c r="BB19" t="s">
        <v>132</v>
      </c>
      <c r="BC19" t="s">
        <v>1173</v>
      </c>
      <c r="BD19" t="s">
        <v>1174</v>
      </c>
      <c r="BE19" t="s">
        <v>230</v>
      </c>
      <c r="BG19" t="s">
        <v>1175</v>
      </c>
      <c r="BH19" t="s">
        <v>173</v>
      </c>
      <c r="CL19" s="1" t="s">
        <v>123</v>
      </c>
      <c r="CV19" s="1" t="s">
        <v>214</v>
      </c>
      <c r="CW19" t="s">
        <v>191</v>
      </c>
      <c r="CX19" t="s">
        <v>308</v>
      </c>
      <c r="CY19" t="s">
        <v>169</v>
      </c>
      <c r="CZ19" t="s">
        <v>162</v>
      </c>
      <c r="DA19" t="s">
        <v>150</v>
      </c>
      <c r="DB19" t="s">
        <v>169</v>
      </c>
      <c r="DC19" t="s">
        <v>150</v>
      </c>
      <c r="DD19" t="s">
        <v>150</v>
      </c>
      <c r="DE19" t="s">
        <v>1177</v>
      </c>
      <c r="DF19" s="1" t="s">
        <v>174</v>
      </c>
      <c r="DI19" t="s">
        <v>1178</v>
      </c>
      <c r="DK19" t="s">
        <v>747</v>
      </c>
      <c r="DL19" t="s">
        <v>150</v>
      </c>
      <c r="DM19" t="s">
        <v>150</v>
      </c>
      <c r="DN19" t="s">
        <v>150</v>
      </c>
      <c r="DO19" t="s">
        <v>150</v>
      </c>
      <c r="DP19" t="s">
        <v>162</v>
      </c>
      <c r="DQ19" t="s">
        <v>162</v>
      </c>
      <c r="DR19" t="s">
        <v>162</v>
      </c>
      <c r="DS19">
        <v>25</v>
      </c>
      <c r="DT19">
        <v>10</v>
      </c>
      <c r="DU19">
        <v>0</v>
      </c>
      <c r="DV19">
        <v>10</v>
      </c>
      <c r="DW19">
        <v>25</v>
      </c>
      <c r="DX19">
        <v>15</v>
      </c>
      <c r="DY19">
        <v>15</v>
      </c>
      <c r="EA19">
        <v>10</v>
      </c>
      <c r="EB19">
        <v>10</v>
      </c>
      <c r="EC19">
        <v>0</v>
      </c>
      <c r="ED19">
        <v>10</v>
      </c>
      <c r="EE19">
        <v>50</v>
      </c>
      <c r="EF19">
        <v>10</v>
      </c>
      <c r="EG19">
        <v>10</v>
      </c>
      <c r="EI19" s="1" t="s">
        <v>123</v>
      </c>
      <c r="FI19" s="1" t="s">
        <v>123</v>
      </c>
      <c r="GQ19" t="s">
        <v>1179</v>
      </c>
      <c r="GR19" t="s">
        <v>1180</v>
      </c>
      <c r="GS19" t="s">
        <v>1181</v>
      </c>
      <c r="GT19" t="s">
        <v>186</v>
      </c>
      <c r="GU19" s="20" t="s">
        <v>1473</v>
      </c>
      <c r="GV19" s="20" t="e">
        <f>VLOOKUP(AnalizaCzyste[[#This Row],[Rok urodzenia]],KategorieWiekowe[],2,1)</f>
        <v>#N/A</v>
      </c>
      <c r="GW19" t="s">
        <v>141</v>
      </c>
      <c r="GY19" t="s">
        <v>1183</v>
      </c>
    </row>
    <row r="20" spans="1:209" x14ac:dyDescent="0.45">
      <c r="A20">
        <v>126</v>
      </c>
      <c r="B20">
        <f>_xlfn.IFNA(VLOOKUP(AnalizaCzyste[[#This Row],[Zakończono wypełnianie]],Zakończone[],2,0),"BRAK")</f>
        <v>75</v>
      </c>
      <c r="C20">
        <f>COUNTA(I20:HA20)</f>
        <v>32</v>
      </c>
      <c r="D20" t="s">
        <v>1184</v>
      </c>
      <c r="E20" t="s">
        <v>1185</v>
      </c>
      <c r="F20">
        <v>739</v>
      </c>
      <c r="G20" s="20" t="s">
        <v>2292</v>
      </c>
      <c r="H20" s="20" t="s">
        <v>2458</v>
      </c>
      <c r="I20" s="1" t="s">
        <v>123</v>
      </c>
      <c r="Y20" s="1" t="s">
        <v>124</v>
      </c>
      <c r="Z20" t="s">
        <v>191</v>
      </c>
      <c r="AA20" t="str">
        <f>VLOOKUP(AnalizaCzyste[[#This Row],[Jak się nazywa uczelnia którą ukończyłeś? (proszę o wybranie jednej uczelni podlegającej ocenie)]],KategorieUczelni[],2,0)</f>
        <v>Publiczna</v>
      </c>
      <c r="AB20">
        <v>2018</v>
      </c>
      <c r="AC20" t="s">
        <v>126</v>
      </c>
      <c r="AD20" t="s">
        <v>1186</v>
      </c>
      <c r="AE20" t="s">
        <v>151</v>
      </c>
      <c r="AF20" t="s">
        <v>162</v>
      </c>
      <c r="AG20" t="s">
        <v>169</v>
      </c>
      <c r="AH20" t="s">
        <v>150</v>
      </c>
      <c r="AI20" t="s">
        <v>132</v>
      </c>
      <c r="AJ20" t="s">
        <v>959</v>
      </c>
      <c r="AK20" t="s">
        <v>302</v>
      </c>
      <c r="AL20" t="s">
        <v>226</v>
      </c>
      <c r="AM20" t="s">
        <v>1187</v>
      </c>
      <c r="AN20" t="s">
        <v>1188</v>
      </c>
      <c r="AO20" t="s">
        <v>1189</v>
      </c>
      <c r="AP20" t="s">
        <v>172</v>
      </c>
      <c r="AR20" s="1" t="s">
        <v>123</v>
      </c>
      <c r="CL20" s="1" t="s">
        <v>123</v>
      </c>
      <c r="CV20" s="1" t="s">
        <v>123</v>
      </c>
      <c r="DF20" s="1" t="s">
        <v>123</v>
      </c>
      <c r="EI20" s="1" t="s">
        <v>123</v>
      </c>
      <c r="FI20" s="1" t="s">
        <v>123</v>
      </c>
      <c r="GQ20" t="s">
        <v>276</v>
      </c>
      <c r="GR20" t="s">
        <v>1190</v>
      </c>
      <c r="GS20" t="s">
        <v>1191</v>
      </c>
      <c r="GT20" t="s">
        <v>186</v>
      </c>
      <c r="GU20">
        <v>1991</v>
      </c>
      <c r="GV20" t="str">
        <f>VLOOKUP(AnalizaCzyste[[#This Row],[Rok urodzenia]],KategorieWiekowe[],2,1)</f>
        <v>26–35 lat</v>
      </c>
      <c r="GW20" t="s">
        <v>141</v>
      </c>
    </row>
    <row r="21" spans="1:209" x14ac:dyDescent="0.45">
      <c r="A21">
        <v>127</v>
      </c>
      <c r="B21">
        <f>_xlfn.IFNA(VLOOKUP(AnalizaCzyste[[#This Row],[Zakończono wypełnianie]],Zakończone[],2,0),"BRAK")</f>
        <v>76</v>
      </c>
      <c r="C21">
        <f>COUNTA(I21:HA21)</f>
        <v>43</v>
      </c>
      <c r="D21" t="s">
        <v>1193</v>
      </c>
      <c r="E21" t="s">
        <v>1194</v>
      </c>
      <c r="F21">
        <v>1676</v>
      </c>
      <c r="G21" s="20" t="s">
        <v>2292</v>
      </c>
      <c r="H21" s="20" t="s">
        <v>2460</v>
      </c>
      <c r="I21" s="1" t="s">
        <v>123</v>
      </c>
      <c r="Y21" s="1" t="s">
        <v>124</v>
      </c>
      <c r="Z21" t="s">
        <v>223</v>
      </c>
      <c r="AA21" t="str">
        <f>VLOOKUP(AnalizaCzyste[[#This Row],[Jak się nazywa uczelnia którą ukończyłeś? (proszę o wybranie jednej uczelni podlegającej ocenie)]],KategorieUczelni[],2,0)</f>
        <v>Publiczna</v>
      </c>
      <c r="AB21">
        <v>1998</v>
      </c>
      <c r="AC21" t="s">
        <v>148</v>
      </c>
      <c r="AD21" t="s">
        <v>1195</v>
      </c>
      <c r="AE21" t="s">
        <v>162</v>
      </c>
      <c r="AF21" t="s">
        <v>151</v>
      </c>
      <c r="AG21" t="s">
        <v>151</v>
      </c>
      <c r="AH21" t="s">
        <v>236</v>
      </c>
      <c r="AI21" t="s">
        <v>151</v>
      </c>
      <c r="AJ21">
        <v>0</v>
      </c>
      <c r="AK21" t="s">
        <v>131</v>
      </c>
      <c r="AL21" t="s">
        <v>302</v>
      </c>
      <c r="AM21" t="s">
        <v>1196</v>
      </c>
      <c r="AN21" t="s">
        <v>1196</v>
      </c>
      <c r="AO21" t="s">
        <v>1197</v>
      </c>
      <c r="AP21" t="s">
        <v>157</v>
      </c>
      <c r="AR21" s="1" t="s">
        <v>123</v>
      </c>
      <c r="CL21" s="1" t="s">
        <v>123</v>
      </c>
      <c r="CV21" s="1" t="s">
        <v>123</v>
      </c>
      <c r="DF21" s="1" t="s">
        <v>123</v>
      </c>
      <c r="EI21" s="1" t="s">
        <v>177</v>
      </c>
      <c r="EJ21" t="s">
        <v>180</v>
      </c>
      <c r="EK21" t="s">
        <v>132</v>
      </c>
      <c r="EL21" t="s">
        <v>132</v>
      </c>
      <c r="EM21" t="s">
        <v>151</v>
      </c>
      <c r="EN21" t="s">
        <v>151</v>
      </c>
      <c r="EO21" t="s">
        <v>151</v>
      </c>
      <c r="EP21" t="s">
        <v>178</v>
      </c>
      <c r="EQ21" t="s">
        <v>132</v>
      </c>
      <c r="ER21" t="s">
        <v>132</v>
      </c>
      <c r="ES21" t="s">
        <v>173</v>
      </c>
      <c r="FI21" s="1" t="s">
        <v>123</v>
      </c>
      <c r="GQ21" t="s">
        <v>1198</v>
      </c>
      <c r="GR21" t="s">
        <v>1199</v>
      </c>
      <c r="GS21" t="s">
        <v>1198</v>
      </c>
      <c r="GT21" t="s">
        <v>186</v>
      </c>
      <c r="GU21">
        <v>1974</v>
      </c>
      <c r="GV21" t="str">
        <f>VLOOKUP(AnalizaCzyste[[#This Row],[Rok urodzenia]],KategorieWiekowe[],2,1)</f>
        <v>46–55 lat</v>
      </c>
      <c r="GW21" t="s">
        <v>141</v>
      </c>
      <c r="GX21" t="s">
        <v>313</v>
      </c>
    </row>
    <row r="22" spans="1:209" x14ac:dyDescent="0.45">
      <c r="A22">
        <v>128</v>
      </c>
      <c r="B22">
        <f>_xlfn.IFNA(VLOOKUP(AnalizaCzyste[[#This Row],[Zakończono wypełnianie]],Zakończone[],2,0),"BRAK")</f>
        <v>77</v>
      </c>
      <c r="C22">
        <f>COUNTA(I22:HA22)</f>
        <v>44</v>
      </c>
      <c r="D22" t="s">
        <v>1201</v>
      </c>
      <c r="E22" t="s">
        <v>1202</v>
      </c>
      <c r="F22">
        <v>658</v>
      </c>
      <c r="G22" s="20" t="s">
        <v>2292</v>
      </c>
      <c r="H22" s="20" t="s">
        <v>2461</v>
      </c>
      <c r="I22" s="1" t="s">
        <v>123</v>
      </c>
      <c r="Y22" s="1" t="s">
        <v>123</v>
      </c>
      <c r="AA22" t="e">
        <f>VLOOKUP(AnalizaCzyste[[#This Row],[Jak się nazywa uczelnia którą ukończyłeś? (proszę o wybranie jednej uczelni podlegającej ocenie)]],KategorieUczelni[],2,0)</f>
        <v>#N/A</v>
      </c>
      <c r="AR22" s="1" t="s">
        <v>123</v>
      </c>
      <c r="CL22" s="1" t="s">
        <v>123</v>
      </c>
      <c r="CV22" s="1" t="s">
        <v>214</v>
      </c>
      <c r="CW22" t="s">
        <v>191</v>
      </c>
      <c r="CX22" t="s">
        <v>308</v>
      </c>
      <c r="CY22" t="s">
        <v>162</v>
      </c>
      <c r="CZ22" t="s">
        <v>162</v>
      </c>
      <c r="DA22" t="s">
        <v>150</v>
      </c>
      <c r="DB22" t="s">
        <v>150</v>
      </c>
      <c r="DC22" t="s">
        <v>150</v>
      </c>
      <c r="DD22" t="s">
        <v>169</v>
      </c>
      <c r="DE22" t="s">
        <v>1203</v>
      </c>
      <c r="DF22" s="1" t="s">
        <v>123</v>
      </c>
      <c r="EI22" s="1" t="s">
        <v>177</v>
      </c>
      <c r="EJ22" t="s">
        <v>178</v>
      </c>
      <c r="EK22">
        <v>2</v>
      </c>
      <c r="EL22" t="s">
        <v>191</v>
      </c>
      <c r="EM22" t="s">
        <v>169</v>
      </c>
      <c r="EN22" t="s">
        <v>169</v>
      </c>
      <c r="EO22" t="s">
        <v>169</v>
      </c>
      <c r="EP22" t="s">
        <v>178</v>
      </c>
      <c r="EQ22" t="s">
        <v>1204</v>
      </c>
      <c r="ER22" t="s">
        <v>1205</v>
      </c>
      <c r="ES22" t="s">
        <v>1206</v>
      </c>
      <c r="ET22" t="s">
        <v>223</v>
      </c>
      <c r="EU22" t="s">
        <v>128</v>
      </c>
      <c r="EV22" t="s">
        <v>236</v>
      </c>
      <c r="EW22" t="s">
        <v>129</v>
      </c>
      <c r="EX22" t="s">
        <v>178</v>
      </c>
      <c r="EY22" t="s">
        <v>960</v>
      </c>
      <c r="EZ22" t="s">
        <v>1207</v>
      </c>
      <c r="FA22" t="s">
        <v>173</v>
      </c>
      <c r="FI22" s="1" t="s">
        <v>123</v>
      </c>
      <c r="GQ22" t="s">
        <v>1208</v>
      </c>
      <c r="GR22" t="s">
        <v>1209</v>
      </c>
      <c r="GS22" t="s">
        <v>1210</v>
      </c>
      <c r="GT22" t="s">
        <v>186</v>
      </c>
      <c r="GU22">
        <v>1987</v>
      </c>
      <c r="GV22" t="str">
        <f>VLOOKUP(AnalizaCzyste[[#This Row],[Rok urodzenia]],KategorieWiekowe[],2,1)</f>
        <v>26–35 lat</v>
      </c>
      <c r="GW22" t="s">
        <v>141</v>
      </c>
      <c r="GY22" t="s">
        <v>191</v>
      </c>
    </row>
    <row r="23" spans="1:209" x14ac:dyDescent="0.45">
      <c r="A23">
        <v>129</v>
      </c>
      <c r="B23">
        <f>_xlfn.IFNA(VLOOKUP(AnalizaCzyste[[#This Row],[Zakończono wypełnianie]],Zakończone[],2,0),"BRAK")</f>
        <v>78</v>
      </c>
      <c r="C23">
        <f>COUNTA(I23:HA23)</f>
        <v>32</v>
      </c>
      <c r="D23" t="s">
        <v>1212</v>
      </c>
      <c r="E23" t="s">
        <v>1213</v>
      </c>
      <c r="F23">
        <v>808</v>
      </c>
      <c r="G23" s="20" t="s">
        <v>2292</v>
      </c>
      <c r="H23" s="20" t="s">
        <v>2479</v>
      </c>
      <c r="I23" s="1" t="s">
        <v>123</v>
      </c>
      <c r="Y23" s="1" t="s">
        <v>124</v>
      </c>
      <c r="Z23" t="s">
        <v>428</v>
      </c>
      <c r="AA23" t="str">
        <f>VLOOKUP(AnalizaCzyste[[#This Row],[Jak się nazywa uczelnia którą ukończyłeś? (proszę o wybranie jednej uczelni podlegającej ocenie)]],KategorieUczelni[],2,0)</f>
        <v>Publiczna</v>
      </c>
      <c r="AB23">
        <v>1998</v>
      </c>
      <c r="AC23" t="s">
        <v>148</v>
      </c>
      <c r="AD23" t="s">
        <v>1215</v>
      </c>
      <c r="AE23" t="s">
        <v>150</v>
      </c>
      <c r="AF23" t="s">
        <v>150</v>
      </c>
      <c r="AG23" t="s">
        <v>151</v>
      </c>
      <c r="AH23" t="s">
        <v>129</v>
      </c>
      <c r="AI23" t="s">
        <v>128</v>
      </c>
      <c r="AJ23" t="s">
        <v>1216</v>
      </c>
      <c r="AK23" t="s">
        <v>131</v>
      </c>
      <c r="AL23" t="s">
        <v>131</v>
      </c>
      <c r="AM23" t="s">
        <v>1217</v>
      </c>
      <c r="AN23" t="s">
        <v>1218</v>
      </c>
      <c r="AO23" t="s">
        <v>1219</v>
      </c>
      <c r="AQ23" t="s">
        <v>1220</v>
      </c>
      <c r="AR23" s="1" t="s">
        <v>123</v>
      </c>
      <c r="CL23" s="1" t="s">
        <v>123</v>
      </c>
      <c r="CV23" s="1" t="s">
        <v>123</v>
      </c>
      <c r="DF23" s="1" t="s">
        <v>123</v>
      </c>
      <c r="EI23" s="1" t="s">
        <v>123</v>
      </c>
      <c r="FI23" s="1" t="s">
        <v>123</v>
      </c>
      <c r="GQ23" t="s">
        <v>1221</v>
      </c>
      <c r="GR23" t="s">
        <v>1222</v>
      </c>
      <c r="GS23" t="s">
        <v>1223</v>
      </c>
      <c r="GT23" t="s">
        <v>186</v>
      </c>
      <c r="GU23">
        <v>1973</v>
      </c>
      <c r="GV23" t="str">
        <f>VLOOKUP(AnalizaCzyste[[#This Row],[Rok urodzenia]],KategorieWiekowe[],2,1)</f>
        <v>46–55 lat</v>
      </c>
      <c r="GW23" t="s">
        <v>141</v>
      </c>
    </row>
    <row r="24" spans="1:209" x14ac:dyDescent="0.45">
      <c r="A24">
        <v>130</v>
      </c>
      <c r="B24">
        <f>_xlfn.IFNA(VLOOKUP(AnalizaCzyste[[#This Row],[Zakończono wypełnianie]],Zakończone[],2,0),"BRAK")</f>
        <v>79</v>
      </c>
      <c r="C24">
        <f>COUNTA(I24:HA24)</f>
        <v>82</v>
      </c>
      <c r="D24" t="s">
        <v>1225</v>
      </c>
      <c r="E24" t="s">
        <v>1226</v>
      </c>
      <c r="F24">
        <v>4209</v>
      </c>
      <c r="G24" s="20" t="s">
        <v>2292</v>
      </c>
      <c r="H24" s="20" t="s">
        <v>2478</v>
      </c>
      <c r="I24" s="1" t="s">
        <v>123</v>
      </c>
      <c r="Y24" s="1" t="s">
        <v>124</v>
      </c>
      <c r="Z24" t="s">
        <v>2269</v>
      </c>
      <c r="AA24" t="str">
        <f>VLOOKUP(AnalizaCzyste[[#This Row],[Jak się nazywa uczelnia którą ukończyłeś? (proszę o wybranie jednej uczelni podlegającej ocenie)]],KategorieUczelni[],2,0)</f>
        <v>Publiczna</v>
      </c>
      <c r="AB24">
        <v>1985</v>
      </c>
      <c r="AC24" t="s">
        <v>148</v>
      </c>
      <c r="AD24" t="s">
        <v>391</v>
      </c>
      <c r="AE24" t="s">
        <v>150</v>
      </c>
      <c r="AF24" t="s">
        <v>150</v>
      </c>
      <c r="AG24" t="s">
        <v>169</v>
      </c>
      <c r="AH24" t="s">
        <v>236</v>
      </c>
      <c r="AI24" t="s">
        <v>236</v>
      </c>
      <c r="AJ24">
        <v>0</v>
      </c>
      <c r="AK24" t="s">
        <v>152</v>
      </c>
      <c r="AL24" t="s">
        <v>152</v>
      </c>
      <c r="AM24" t="s">
        <v>1228</v>
      </c>
      <c r="AN24" t="s">
        <v>1229</v>
      </c>
      <c r="AO24" t="s">
        <v>1229</v>
      </c>
      <c r="AP24" t="s">
        <v>157</v>
      </c>
      <c r="AR24" s="1" t="s">
        <v>159</v>
      </c>
      <c r="AS24">
        <v>2</v>
      </c>
      <c r="AT24" t="s">
        <v>1230</v>
      </c>
      <c r="AU24">
        <v>2005</v>
      </c>
      <c r="AV24" t="s">
        <v>148</v>
      </c>
      <c r="AW24" t="s">
        <v>1231</v>
      </c>
      <c r="AX24" t="s">
        <v>169</v>
      </c>
      <c r="AY24" t="s">
        <v>169</v>
      </c>
      <c r="AZ24" t="s">
        <v>169</v>
      </c>
      <c r="BA24" t="s">
        <v>236</v>
      </c>
      <c r="BB24" t="s">
        <v>236</v>
      </c>
      <c r="BC24">
        <v>0</v>
      </c>
      <c r="BD24" t="s">
        <v>1232</v>
      </c>
      <c r="BE24" t="s">
        <v>157</v>
      </c>
      <c r="BH24" t="s">
        <v>166</v>
      </c>
      <c r="BI24" t="s">
        <v>1233</v>
      </c>
      <c r="BJ24">
        <v>2008</v>
      </c>
      <c r="BK24" t="s">
        <v>148</v>
      </c>
      <c r="BL24" t="s">
        <v>1234</v>
      </c>
      <c r="BM24" t="s">
        <v>169</v>
      </c>
      <c r="BN24" t="s">
        <v>169</v>
      </c>
      <c r="BO24" t="s">
        <v>169</v>
      </c>
      <c r="BP24" t="s">
        <v>128</v>
      </c>
      <c r="BQ24" t="s">
        <v>162</v>
      </c>
      <c r="BR24" t="s">
        <v>1235</v>
      </c>
      <c r="BS24" t="s">
        <v>1236</v>
      </c>
      <c r="BT24" t="s">
        <v>157</v>
      </c>
      <c r="BW24" t="s">
        <v>173</v>
      </c>
      <c r="CL24" s="1" t="s">
        <v>123</v>
      </c>
      <c r="CV24" s="1" t="s">
        <v>123</v>
      </c>
      <c r="DF24" s="1" t="s">
        <v>174</v>
      </c>
      <c r="DG24" t="s">
        <v>394</v>
      </c>
      <c r="DK24" t="s">
        <v>1230</v>
      </c>
      <c r="DL24" t="s">
        <v>150</v>
      </c>
      <c r="DM24" t="s">
        <v>150</v>
      </c>
      <c r="DN24" t="s">
        <v>150</v>
      </c>
      <c r="DO24" t="s">
        <v>150</v>
      </c>
      <c r="DP24" t="s">
        <v>150</v>
      </c>
      <c r="DQ24" t="s">
        <v>169</v>
      </c>
      <c r="DR24" t="s">
        <v>150</v>
      </c>
      <c r="DS24">
        <v>20</v>
      </c>
      <c r="DT24">
        <v>5</v>
      </c>
      <c r="DU24">
        <v>0</v>
      </c>
      <c r="DV24">
        <v>30</v>
      </c>
      <c r="DW24">
        <v>25</v>
      </c>
      <c r="DX24">
        <v>10</v>
      </c>
      <c r="DY24">
        <v>10</v>
      </c>
      <c r="EA24">
        <v>10</v>
      </c>
      <c r="EB24">
        <v>5</v>
      </c>
      <c r="EC24">
        <v>0</v>
      </c>
      <c r="ED24">
        <v>25</v>
      </c>
      <c r="EE24">
        <v>25</v>
      </c>
      <c r="EF24">
        <v>5</v>
      </c>
      <c r="EG24">
        <v>30</v>
      </c>
      <c r="EI24" s="1" t="s">
        <v>123</v>
      </c>
      <c r="FI24" s="1" t="s">
        <v>123</v>
      </c>
      <c r="GQ24" t="s">
        <v>1237</v>
      </c>
      <c r="GR24" t="s">
        <v>1229</v>
      </c>
      <c r="GS24" t="s">
        <v>1229</v>
      </c>
      <c r="GT24" t="s">
        <v>140</v>
      </c>
      <c r="GU24">
        <v>1958</v>
      </c>
      <c r="GV24" t="str">
        <f>VLOOKUP(AnalizaCzyste[[#This Row],[Rok urodzenia]],KategorieWiekowe[],2,1)</f>
        <v>56–65 lat</v>
      </c>
      <c r="GW24" t="s">
        <v>141</v>
      </c>
    </row>
    <row r="25" spans="1:209" x14ac:dyDescent="0.45">
      <c r="A25">
        <v>131</v>
      </c>
      <c r="B25">
        <f>_xlfn.IFNA(VLOOKUP(AnalizaCzyste[[#This Row],[Zakończono wypełnianie]],Zakończone[],2,0),"BRAK")</f>
        <v>80</v>
      </c>
      <c r="C25">
        <f>COUNTA(I25:HA25)</f>
        <v>36</v>
      </c>
      <c r="D25" t="s">
        <v>1239</v>
      </c>
      <c r="E25" t="s">
        <v>1240</v>
      </c>
      <c r="F25">
        <v>356</v>
      </c>
      <c r="G25" s="20" t="s">
        <v>2292</v>
      </c>
      <c r="H25" s="20" t="s">
        <v>2462</v>
      </c>
      <c r="I25" s="1" t="s">
        <v>123</v>
      </c>
      <c r="Y25" s="1" t="s">
        <v>124</v>
      </c>
      <c r="Z25" t="s">
        <v>223</v>
      </c>
      <c r="AA25" t="str">
        <f>VLOOKUP(AnalizaCzyste[[#This Row],[Jak się nazywa uczelnia którą ukończyłeś? (proszę o wybranie jednej uczelni podlegającej ocenie)]],KategorieUczelni[],2,0)</f>
        <v>Publiczna</v>
      </c>
      <c r="AB25">
        <v>1997</v>
      </c>
      <c r="AC25" t="s">
        <v>148</v>
      </c>
      <c r="AD25" t="s">
        <v>161</v>
      </c>
      <c r="AE25" t="s">
        <v>128</v>
      </c>
      <c r="AF25" t="s">
        <v>128</v>
      </c>
      <c r="AG25" t="s">
        <v>162</v>
      </c>
      <c r="AH25" t="s">
        <v>162</v>
      </c>
      <c r="AI25" t="s">
        <v>162</v>
      </c>
      <c r="AJ25">
        <v>1</v>
      </c>
      <c r="AK25" t="s">
        <v>131</v>
      </c>
      <c r="AL25" t="s">
        <v>131</v>
      </c>
      <c r="AM25" t="s">
        <v>1241</v>
      </c>
      <c r="AN25" t="s">
        <v>1242</v>
      </c>
      <c r="AO25" t="s">
        <v>1243</v>
      </c>
      <c r="AP25" t="s">
        <v>157</v>
      </c>
      <c r="AQ25" t="s">
        <v>1244</v>
      </c>
      <c r="AR25" s="1" t="s">
        <v>123</v>
      </c>
      <c r="CL25" s="1" t="s">
        <v>123</v>
      </c>
      <c r="CV25" s="1" t="s">
        <v>123</v>
      </c>
      <c r="DF25" s="1" t="s">
        <v>123</v>
      </c>
      <c r="EI25" s="1" t="s">
        <v>123</v>
      </c>
      <c r="EJ25" t="s">
        <v>178</v>
      </c>
      <c r="EK25" t="s">
        <v>132</v>
      </c>
      <c r="FI25" s="1" t="s">
        <v>123</v>
      </c>
      <c r="GQ25" t="s">
        <v>1245</v>
      </c>
      <c r="GR25" t="s">
        <v>1246</v>
      </c>
      <c r="GS25" t="s">
        <v>1247</v>
      </c>
      <c r="GT25" t="s">
        <v>186</v>
      </c>
      <c r="GU25">
        <v>1974</v>
      </c>
      <c r="GV25" t="str">
        <f>VLOOKUP(AnalizaCzyste[[#This Row],[Rok urodzenia]],KategorieWiekowe[],2,1)</f>
        <v>46–55 lat</v>
      </c>
      <c r="GW25" t="s">
        <v>398</v>
      </c>
      <c r="GY25" t="s">
        <v>1248</v>
      </c>
    </row>
    <row r="26" spans="1:209" x14ac:dyDescent="0.45">
      <c r="A26">
        <v>133</v>
      </c>
      <c r="B26">
        <f>_xlfn.IFNA(VLOOKUP(AnalizaCzyste[[#This Row],[Zakończono wypełnianie]],Zakończone[],2,0),"BRAK")</f>
        <v>81</v>
      </c>
      <c r="C26">
        <f>COUNTA(I26:HA26)</f>
        <v>42</v>
      </c>
      <c r="D26" t="s">
        <v>1252</v>
      </c>
      <c r="E26" t="s">
        <v>1253</v>
      </c>
      <c r="F26">
        <v>367</v>
      </c>
      <c r="G26" s="20" t="s">
        <v>2292</v>
      </c>
      <c r="H26" s="20" t="s">
        <v>2463</v>
      </c>
      <c r="I26" s="1" t="s">
        <v>123</v>
      </c>
      <c r="Y26" s="1" t="s">
        <v>124</v>
      </c>
      <c r="Z26" t="s">
        <v>223</v>
      </c>
      <c r="AA26" t="str">
        <f>VLOOKUP(AnalizaCzyste[[#This Row],[Jak się nazywa uczelnia którą ukończyłeś? (proszę o wybranie jednej uczelni podlegającej ocenie)]],KategorieUczelni[],2,0)</f>
        <v>Publiczna</v>
      </c>
      <c r="AB26">
        <v>2006</v>
      </c>
      <c r="AC26" t="s">
        <v>148</v>
      </c>
      <c r="AD26" t="s">
        <v>1050</v>
      </c>
      <c r="AE26" t="s">
        <v>162</v>
      </c>
      <c r="AF26" t="s">
        <v>162</v>
      </c>
      <c r="AG26" t="s">
        <v>169</v>
      </c>
      <c r="AH26" t="s">
        <v>236</v>
      </c>
      <c r="AI26" t="s">
        <v>151</v>
      </c>
      <c r="AJ26">
        <v>3</v>
      </c>
      <c r="AK26" t="s">
        <v>131</v>
      </c>
      <c r="AL26" t="s">
        <v>302</v>
      </c>
      <c r="AM26" t="s">
        <v>1254</v>
      </c>
      <c r="AN26" t="s">
        <v>1255</v>
      </c>
      <c r="AO26" t="s">
        <v>1256</v>
      </c>
      <c r="AP26" t="s">
        <v>157</v>
      </c>
      <c r="AQ26" t="s">
        <v>1257</v>
      </c>
      <c r="AR26" s="1" t="s">
        <v>123</v>
      </c>
      <c r="CL26" s="1" t="s">
        <v>123</v>
      </c>
      <c r="CV26" s="1" t="s">
        <v>214</v>
      </c>
      <c r="CW26" t="s">
        <v>191</v>
      </c>
      <c r="CX26" t="s">
        <v>308</v>
      </c>
      <c r="CY26" t="s">
        <v>169</v>
      </c>
      <c r="CZ26" t="s">
        <v>150</v>
      </c>
      <c r="DA26" t="s">
        <v>150</v>
      </c>
      <c r="DB26" t="s">
        <v>169</v>
      </c>
      <c r="DC26" t="s">
        <v>162</v>
      </c>
      <c r="DD26" t="s">
        <v>162</v>
      </c>
      <c r="DE26" t="s">
        <v>1258</v>
      </c>
      <c r="DF26" s="1" t="s">
        <v>123</v>
      </c>
      <c r="EI26" s="1" t="s">
        <v>123</v>
      </c>
      <c r="FI26" s="1" t="s">
        <v>123</v>
      </c>
      <c r="GQ26" t="s">
        <v>1259</v>
      </c>
      <c r="GR26" t="s">
        <v>1260</v>
      </c>
      <c r="GS26" t="s">
        <v>1261</v>
      </c>
      <c r="GT26" t="s">
        <v>186</v>
      </c>
      <c r="GU26">
        <v>1982</v>
      </c>
      <c r="GV26" t="str">
        <f>VLOOKUP(AnalizaCzyste[[#This Row],[Rok urodzenia]],KategorieWiekowe[],2,1)</f>
        <v>36–45 lat</v>
      </c>
      <c r="GW26" t="s">
        <v>141</v>
      </c>
    </row>
    <row r="27" spans="1:209" x14ac:dyDescent="0.45">
      <c r="A27">
        <v>135</v>
      </c>
      <c r="B27">
        <f>_xlfn.IFNA(VLOOKUP(AnalizaCzyste[[#This Row],[Zakończono wypełnianie]],Zakończone[],2,0),"BRAK")</f>
        <v>82</v>
      </c>
      <c r="C27">
        <f>COUNTA(I27:HA27)</f>
        <v>68</v>
      </c>
      <c r="D27" t="s">
        <v>1266</v>
      </c>
      <c r="E27" t="s">
        <v>1267</v>
      </c>
      <c r="F27">
        <v>2127</v>
      </c>
      <c r="G27" s="20" t="s">
        <v>2292</v>
      </c>
      <c r="H27" s="20" t="s">
        <v>2480</v>
      </c>
      <c r="I27" s="1" t="s">
        <v>123</v>
      </c>
      <c r="Y27" s="1" t="s">
        <v>124</v>
      </c>
      <c r="Z27" t="s">
        <v>191</v>
      </c>
      <c r="AA27" t="str">
        <f>VLOOKUP(AnalizaCzyste[[#This Row],[Jak się nazywa uczelnia którą ukończyłeś? (proszę o wybranie jednej uczelni podlegającej ocenie)]],KategorieUczelni[],2,0)</f>
        <v>Publiczna</v>
      </c>
      <c r="AB27">
        <v>1982</v>
      </c>
      <c r="AC27" t="s">
        <v>126</v>
      </c>
      <c r="AD27" t="s">
        <v>1268</v>
      </c>
      <c r="AE27" t="s">
        <v>169</v>
      </c>
      <c r="AF27" t="s">
        <v>169</v>
      </c>
      <c r="AG27" t="s">
        <v>169</v>
      </c>
      <c r="AH27" t="s">
        <v>169</v>
      </c>
      <c r="AI27" t="s">
        <v>169</v>
      </c>
      <c r="AJ27">
        <v>0</v>
      </c>
      <c r="AK27" t="s">
        <v>153</v>
      </c>
      <c r="AL27" t="s">
        <v>759</v>
      </c>
      <c r="AM27" t="s">
        <v>1269</v>
      </c>
      <c r="AN27" t="s">
        <v>1270</v>
      </c>
      <c r="AO27" t="s">
        <v>386</v>
      </c>
      <c r="AQ27" t="s">
        <v>1271</v>
      </c>
      <c r="AR27" s="1" t="s">
        <v>159</v>
      </c>
      <c r="AS27">
        <v>1</v>
      </c>
      <c r="AT27" t="s">
        <v>1290</v>
      </c>
      <c r="AU27">
        <v>2011</v>
      </c>
      <c r="AV27" t="s">
        <v>148</v>
      </c>
      <c r="AW27" t="s">
        <v>1050</v>
      </c>
      <c r="AX27" t="s">
        <v>169</v>
      </c>
      <c r="AY27" t="s">
        <v>169</v>
      </c>
      <c r="AZ27" t="s">
        <v>169</v>
      </c>
      <c r="BA27" t="s">
        <v>169</v>
      </c>
      <c r="BB27" t="s">
        <v>169</v>
      </c>
      <c r="BC27" t="s">
        <v>1273</v>
      </c>
      <c r="BD27" t="s">
        <v>1274</v>
      </c>
      <c r="BE27" t="s">
        <v>157</v>
      </c>
      <c r="BG27" t="s">
        <v>1275</v>
      </c>
      <c r="BH27" t="s">
        <v>173</v>
      </c>
      <c r="CL27" s="1" t="s">
        <v>123</v>
      </c>
      <c r="CV27" s="1" t="s">
        <v>214</v>
      </c>
      <c r="CW27" t="s">
        <v>191</v>
      </c>
      <c r="CX27" t="s">
        <v>1276</v>
      </c>
      <c r="CY27" t="s">
        <v>169</v>
      </c>
      <c r="CZ27" t="s">
        <v>169</v>
      </c>
      <c r="DA27" t="s">
        <v>169</v>
      </c>
      <c r="DB27" t="s">
        <v>150</v>
      </c>
      <c r="DC27" t="s">
        <v>169</v>
      </c>
      <c r="DD27" t="s">
        <v>169</v>
      </c>
      <c r="DE27" t="s">
        <v>1277</v>
      </c>
      <c r="DF27" s="1" t="s">
        <v>123</v>
      </c>
      <c r="EI27" s="1" t="s">
        <v>177</v>
      </c>
      <c r="EJ27" t="s">
        <v>178</v>
      </c>
      <c r="EK27">
        <v>1</v>
      </c>
      <c r="EL27" t="s">
        <v>747</v>
      </c>
      <c r="EM27" t="s">
        <v>169</v>
      </c>
      <c r="EN27" t="s">
        <v>169</v>
      </c>
      <c r="EO27" t="s">
        <v>151</v>
      </c>
      <c r="EP27" t="s">
        <v>178</v>
      </c>
      <c r="EQ27" t="s">
        <v>1278</v>
      </c>
      <c r="ER27" t="s">
        <v>1279</v>
      </c>
      <c r="ES27" t="s">
        <v>173</v>
      </c>
      <c r="FI27" s="1" t="s">
        <v>123</v>
      </c>
      <c r="GQ27" t="s">
        <v>1280</v>
      </c>
      <c r="GR27" t="s">
        <v>1281</v>
      </c>
      <c r="GS27" t="s">
        <v>1282</v>
      </c>
      <c r="GT27" t="s">
        <v>186</v>
      </c>
      <c r="GU27" s="42">
        <v>1956</v>
      </c>
      <c r="GV27" s="42" t="str">
        <f>VLOOKUP(AnalizaCzyste[[#This Row],[Rok urodzenia]],KategorieWiekowe[],2,1)</f>
        <v>56–65 lat</v>
      </c>
      <c r="GW27" t="s">
        <v>398</v>
      </c>
      <c r="GY27" t="s">
        <v>1284</v>
      </c>
      <c r="GZ27" t="s">
        <v>1285</v>
      </c>
    </row>
    <row r="28" spans="1:209" x14ac:dyDescent="0.45">
      <c r="A28">
        <v>137</v>
      </c>
      <c r="B28">
        <f>_xlfn.IFNA(VLOOKUP(AnalizaCzyste[[#This Row],[Zakończono wypełnianie]],Zakończone[],2,0),"BRAK")</f>
        <v>83</v>
      </c>
      <c r="C28">
        <f>COUNTA(I28:HA28)</f>
        <v>44</v>
      </c>
      <c r="D28" t="s">
        <v>1288</v>
      </c>
      <c r="E28" t="s">
        <v>1289</v>
      </c>
      <c r="F28">
        <v>1208727</v>
      </c>
      <c r="G28" s="20" t="s">
        <v>2292</v>
      </c>
      <c r="H28" s="20" t="s">
        <v>2464</v>
      </c>
      <c r="I28" s="1" t="s">
        <v>123</v>
      </c>
      <c r="Y28" s="1" t="s">
        <v>124</v>
      </c>
      <c r="Z28" t="s">
        <v>1290</v>
      </c>
      <c r="AA28" t="str">
        <f>VLOOKUP(AnalizaCzyste[[#This Row],[Jak się nazywa uczelnia którą ukończyłeś? (proszę o wybranie jednej uczelni podlegającej ocenie)]],KategorieUczelni[],2,0)</f>
        <v>Niepubliczna</v>
      </c>
      <c r="AB28">
        <v>2012</v>
      </c>
      <c r="AC28" t="s">
        <v>148</v>
      </c>
      <c r="AD28" t="s">
        <v>1050</v>
      </c>
      <c r="AE28" t="s">
        <v>162</v>
      </c>
      <c r="AF28" t="s">
        <v>151</v>
      </c>
      <c r="AG28" t="s">
        <v>162</v>
      </c>
      <c r="AH28" t="s">
        <v>151</v>
      </c>
      <c r="AI28" t="s">
        <v>128</v>
      </c>
      <c r="AJ28" t="s">
        <v>237</v>
      </c>
      <c r="AK28" t="s">
        <v>132</v>
      </c>
      <c r="AL28" t="s">
        <v>132</v>
      </c>
      <c r="AM28" t="s">
        <v>1291</v>
      </c>
      <c r="AN28" t="s">
        <v>1292</v>
      </c>
      <c r="AO28" t="s">
        <v>1293</v>
      </c>
      <c r="AP28" t="s">
        <v>892</v>
      </c>
      <c r="AR28" s="1" t="s">
        <v>123</v>
      </c>
      <c r="CL28" s="1" t="s">
        <v>123</v>
      </c>
      <c r="CV28" s="1" t="s">
        <v>123</v>
      </c>
      <c r="DF28" s="1" t="s">
        <v>123</v>
      </c>
      <c r="EI28" s="1" t="s">
        <v>177</v>
      </c>
      <c r="EJ28" t="s">
        <v>178</v>
      </c>
      <c r="EK28" t="s">
        <v>132</v>
      </c>
      <c r="EL28" t="s">
        <v>191</v>
      </c>
      <c r="EM28" t="s">
        <v>162</v>
      </c>
      <c r="EN28" t="s">
        <v>151</v>
      </c>
      <c r="EO28" t="s">
        <v>128</v>
      </c>
      <c r="EP28" t="s">
        <v>178</v>
      </c>
      <c r="EQ28" t="s">
        <v>1294</v>
      </c>
      <c r="ER28" t="s">
        <v>1295</v>
      </c>
      <c r="ES28" t="s">
        <v>173</v>
      </c>
      <c r="FI28" s="1" t="s">
        <v>123</v>
      </c>
      <c r="GQ28" t="s">
        <v>1296</v>
      </c>
      <c r="GR28" t="s">
        <v>1297</v>
      </c>
      <c r="GS28" t="s">
        <v>1298</v>
      </c>
      <c r="GT28" t="s">
        <v>186</v>
      </c>
      <c r="GU28">
        <v>1987</v>
      </c>
      <c r="GV28" t="str">
        <f>VLOOKUP(AnalizaCzyste[[#This Row],[Rok urodzenia]],KategorieWiekowe[],2,1)</f>
        <v>26–35 lat</v>
      </c>
      <c r="GW28" t="s">
        <v>246</v>
      </c>
      <c r="GY28" t="s">
        <v>1299</v>
      </c>
      <c r="GZ28" t="s">
        <v>1300</v>
      </c>
    </row>
    <row r="29" spans="1:209" x14ac:dyDescent="0.45">
      <c r="A29">
        <v>257</v>
      </c>
      <c r="B29">
        <f>_xlfn.IFNA(VLOOKUP(AnalizaCzyste[[#This Row],[Zakończono wypełnianie]],Zakończone[],2,0),"BRAK")</f>
        <v>134</v>
      </c>
      <c r="C29">
        <f>COUNTA(I29:HA29)</f>
        <v>62</v>
      </c>
      <c r="D29" t="s">
        <v>2015</v>
      </c>
      <c r="E29" t="s">
        <v>2016</v>
      </c>
      <c r="F29">
        <v>1430</v>
      </c>
      <c r="G29" s="20" t="s">
        <v>2292</v>
      </c>
      <c r="H29" s="20" t="s">
        <v>2483</v>
      </c>
      <c r="I29" s="1" t="s">
        <v>123</v>
      </c>
      <c r="Y29" s="1" t="s">
        <v>124</v>
      </c>
      <c r="Z29" t="s">
        <v>191</v>
      </c>
      <c r="AA29" t="str">
        <f>VLOOKUP(AnalizaCzyste[[#This Row],[Jak się nazywa uczelnia którą ukończyłeś? (proszę o wybranie jednej uczelni podlegającej ocenie)]],KategorieUczelni[],2,0)</f>
        <v>Publiczna</v>
      </c>
      <c r="AB29">
        <v>1989</v>
      </c>
      <c r="AC29" t="s">
        <v>126</v>
      </c>
      <c r="AD29" t="s">
        <v>2017</v>
      </c>
      <c r="AE29" t="s">
        <v>150</v>
      </c>
      <c r="AF29" t="s">
        <v>150</v>
      </c>
      <c r="AG29" t="s">
        <v>162</v>
      </c>
      <c r="AH29" t="s">
        <v>162</v>
      </c>
      <c r="AI29" t="s">
        <v>162</v>
      </c>
      <c r="AJ29">
        <v>0</v>
      </c>
      <c r="AK29" t="s">
        <v>226</v>
      </c>
      <c r="AL29" t="s">
        <v>226</v>
      </c>
      <c r="AM29" t="s">
        <v>2018</v>
      </c>
      <c r="AN29" t="s">
        <v>1229</v>
      </c>
      <c r="AO29" t="s">
        <v>1229</v>
      </c>
      <c r="AP29" t="s">
        <v>157</v>
      </c>
      <c r="AQ29" t="s">
        <v>1271</v>
      </c>
      <c r="AR29" s="1" t="s">
        <v>159</v>
      </c>
      <c r="AS29">
        <v>1</v>
      </c>
      <c r="AT29" t="s">
        <v>191</v>
      </c>
      <c r="AU29">
        <v>2016</v>
      </c>
      <c r="AV29" t="s">
        <v>126</v>
      </c>
      <c r="AW29" t="s">
        <v>2019</v>
      </c>
      <c r="AX29" t="s">
        <v>150</v>
      </c>
      <c r="AY29" t="s">
        <v>150</v>
      </c>
      <c r="AZ29" t="s">
        <v>151</v>
      </c>
      <c r="BA29" t="s">
        <v>128</v>
      </c>
      <c r="BB29" t="s">
        <v>162</v>
      </c>
      <c r="BC29" t="s">
        <v>2020</v>
      </c>
      <c r="BD29" t="s">
        <v>2021</v>
      </c>
      <c r="BE29" t="s">
        <v>157</v>
      </c>
      <c r="BH29" t="s">
        <v>173</v>
      </c>
      <c r="CL29" s="1" t="s">
        <v>123</v>
      </c>
      <c r="CV29" s="1" t="s">
        <v>123</v>
      </c>
      <c r="DF29" s="1" t="s">
        <v>123</v>
      </c>
      <c r="EI29" s="1" t="s">
        <v>123</v>
      </c>
      <c r="FI29" s="1" t="s">
        <v>2022</v>
      </c>
      <c r="FJ29" t="s">
        <v>2023</v>
      </c>
      <c r="FK29" t="s">
        <v>2024</v>
      </c>
      <c r="FL29">
        <v>1</v>
      </c>
      <c r="FM29" t="s">
        <v>191</v>
      </c>
      <c r="FN29" t="s">
        <v>150</v>
      </c>
      <c r="FO29" t="s">
        <v>150</v>
      </c>
      <c r="FP29" t="s">
        <v>150</v>
      </c>
      <c r="FQ29" t="s">
        <v>150</v>
      </c>
      <c r="FR29" t="s">
        <v>150</v>
      </c>
      <c r="FS29" t="s">
        <v>150</v>
      </c>
      <c r="FT29" t="s">
        <v>150</v>
      </c>
      <c r="FV29" t="s">
        <v>2025</v>
      </c>
      <c r="FW29" t="s">
        <v>173</v>
      </c>
      <c r="GQ29" t="s">
        <v>1229</v>
      </c>
      <c r="GR29" t="s">
        <v>1229</v>
      </c>
      <c r="GS29" t="s">
        <v>1229</v>
      </c>
      <c r="GT29" t="s">
        <v>186</v>
      </c>
      <c r="GU29">
        <v>1965</v>
      </c>
      <c r="GV29" t="str">
        <f>VLOOKUP(AnalizaCzyste[[#This Row],[Rok urodzenia]],KategorieWiekowe[],2,1)</f>
        <v>46–55 lat</v>
      </c>
      <c r="GW29" t="s">
        <v>220</v>
      </c>
      <c r="GY29" t="s">
        <v>2026</v>
      </c>
      <c r="HA29" t="s">
        <v>2027</v>
      </c>
    </row>
    <row r="30" spans="1:209" x14ac:dyDescent="0.45">
      <c r="A30">
        <v>258</v>
      </c>
      <c r="B30">
        <f>_xlfn.IFNA(VLOOKUP(AnalizaCzyste[[#This Row],[Zakończono wypełnianie]],Zakończone[],2,0),"BRAK")</f>
        <v>135</v>
      </c>
      <c r="C30">
        <f>COUNTA(I30:HA30)</f>
        <v>56</v>
      </c>
      <c r="D30" t="s">
        <v>2028</v>
      </c>
      <c r="E30" t="s">
        <v>2029</v>
      </c>
      <c r="F30">
        <v>721</v>
      </c>
      <c r="G30" s="20" t="s">
        <v>2292</v>
      </c>
      <c r="H30" s="20" t="s">
        <v>2484</v>
      </c>
      <c r="I30" s="1" t="s">
        <v>123</v>
      </c>
      <c r="Y30" s="1" t="s">
        <v>124</v>
      </c>
      <c r="Z30" t="s">
        <v>234</v>
      </c>
      <c r="AA30" t="str">
        <f>VLOOKUP(AnalizaCzyste[[#This Row],[Jak się nazywa uczelnia którą ukończyłeś? (proszę o wybranie jednej uczelni podlegającej ocenie)]],KategorieUczelni[],2,0)</f>
        <v>Publiczna</v>
      </c>
      <c r="AB30">
        <v>1985</v>
      </c>
      <c r="AC30" t="s">
        <v>148</v>
      </c>
      <c r="AD30" t="s">
        <v>2030</v>
      </c>
      <c r="AE30" t="s">
        <v>169</v>
      </c>
      <c r="AF30" t="s">
        <v>169</v>
      </c>
      <c r="AG30" t="s">
        <v>150</v>
      </c>
      <c r="AH30" t="s">
        <v>128</v>
      </c>
      <c r="AI30" t="s">
        <v>128</v>
      </c>
      <c r="AJ30">
        <v>4</v>
      </c>
      <c r="AK30" t="s">
        <v>131</v>
      </c>
      <c r="AL30" t="s">
        <v>131</v>
      </c>
      <c r="AM30" t="s">
        <v>2031</v>
      </c>
      <c r="AN30" t="s">
        <v>1229</v>
      </c>
      <c r="AO30" t="s">
        <v>1229</v>
      </c>
      <c r="AP30" t="s">
        <v>157</v>
      </c>
      <c r="AQ30" t="s">
        <v>2032</v>
      </c>
      <c r="AR30" s="1" t="s">
        <v>123</v>
      </c>
      <c r="CL30" s="1" t="s">
        <v>123</v>
      </c>
      <c r="CV30" s="1" t="s">
        <v>123</v>
      </c>
      <c r="DF30" s="1" t="s">
        <v>174</v>
      </c>
      <c r="DG30" t="s">
        <v>394</v>
      </c>
      <c r="DK30" t="s">
        <v>234</v>
      </c>
      <c r="DL30" t="s">
        <v>162</v>
      </c>
      <c r="DM30" t="s">
        <v>162</v>
      </c>
      <c r="DN30" t="s">
        <v>162</v>
      </c>
      <c r="DO30" t="s">
        <v>132</v>
      </c>
      <c r="DP30" t="s">
        <v>132</v>
      </c>
      <c r="DQ30" t="s">
        <v>132</v>
      </c>
      <c r="DR30" t="s">
        <v>162</v>
      </c>
      <c r="DS30">
        <v>20</v>
      </c>
      <c r="DT30">
        <v>60</v>
      </c>
      <c r="DU30">
        <v>0</v>
      </c>
      <c r="DV30">
        <v>0</v>
      </c>
      <c r="DW30">
        <v>0</v>
      </c>
      <c r="DX30">
        <v>20</v>
      </c>
      <c r="DY30">
        <v>0</v>
      </c>
      <c r="EA30">
        <v>20</v>
      </c>
      <c r="EB30">
        <v>60</v>
      </c>
      <c r="EC30">
        <v>0</v>
      </c>
      <c r="ED30">
        <v>0</v>
      </c>
      <c r="EE30">
        <v>0</v>
      </c>
      <c r="EF30">
        <v>20</v>
      </c>
      <c r="EG30">
        <v>0</v>
      </c>
      <c r="EI30" s="1" t="s">
        <v>123</v>
      </c>
      <c r="FI30" s="1" t="s">
        <v>123</v>
      </c>
      <c r="GQ30" t="s">
        <v>2033</v>
      </c>
      <c r="GR30" t="s">
        <v>1229</v>
      </c>
      <c r="GS30" t="s">
        <v>1229</v>
      </c>
      <c r="GT30" t="s">
        <v>186</v>
      </c>
      <c r="GU30">
        <v>1961</v>
      </c>
      <c r="GV30" t="str">
        <f>VLOOKUP(AnalizaCzyste[[#This Row],[Rok urodzenia]],KategorieWiekowe[],2,1)</f>
        <v>56–65 lat</v>
      </c>
      <c r="GW30" t="s">
        <v>141</v>
      </c>
    </row>
    <row r="31" spans="1:209" x14ac:dyDescent="0.45">
      <c r="A31">
        <v>259</v>
      </c>
      <c r="B31">
        <f>_xlfn.IFNA(VLOOKUP(AnalizaCzyste[[#This Row],[Zakończono wypełnianie]],Zakończone[],2,0),"BRAK")</f>
        <v>136</v>
      </c>
      <c r="C31">
        <f>COUNTA(I31:HA31)</f>
        <v>73</v>
      </c>
      <c r="D31" t="s">
        <v>2034</v>
      </c>
      <c r="E31" t="s">
        <v>2035</v>
      </c>
      <c r="F31">
        <v>1151</v>
      </c>
      <c r="G31" s="20" t="s">
        <v>2292</v>
      </c>
      <c r="H31" s="20" t="s">
        <v>2467</v>
      </c>
      <c r="I31" s="1" t="s">
        <v>123</v>
      </c>
      <c r="Y31" s="1" t="s">
        <v>124</v>
      </c>
      <c r="Z31" t="s">
        <v>223</v>
      </c>
      <c r="AA31" t="str">
        <f>VLOOKUP(AnalizaCzyste[[#This Row],[Jak się nazywa uczelnia którą ukończyłeś? (proszę o wybranie jednej uczelni podlegającej ocenie)]],KategorieUczelni[],2,0)</f>
        <v>Publiczna</v>
      </c>
      <c r="AB31">
        <v>1987</v>
      </c>
      <c r="AC31" t="s">
        <v>148</v>
      </c>
      <c r="AD31" t="s">
        <v>554</v>
      </c>
      <c r="AE31" t="s">
        <v>132</v>
      </c>
      <c r="AF31" t="s">
        <v>132</v>
      </c>
      <c r="AG31" t="s">
        <v>132</v>
      </c>
      <c r="AH31" t="s">
        <v>132</v>
      </c>
      <c r="AI31" t="s">
        <v>132</v>
      </c>
      <c r="AJ31" t="s">
        <v>2036</v>
      </c>
      <c r="AK31" t="s">
        <v>132</v>
      </c>
      <c r="AL31" t="s">
        <v>132</v>
      </c>
      <c r="AN31" t="s">
        <v>1229</v>
      </c>
      <c r="AO31" t="s">
        <v>1229</v>
      </c>
      <c r="AP31" t="s">
        <v>157</v>
      </c>
      <c r="AQ31" t="s">
        <v>2037</v>
      </c>
      <c r="AR31" s="1" t="s">
        <v>159</v>
      </c>
      <c r="AS31">
        <v>3</v>
      </c>
      <c r="AT31" t="s">
        <v>191</v>
      </c>
      <c r="AU31">
        <v>2020</v>
      </c>
      <c r="AV31" t="s">
        <v>126</v>
      </c>
      <c r="AW31" t="s">
        <v>2038</v>
      </c>
      <c r="AX31" t="s">
        <v>150</v>
      </c>
      <c r="AY31" t="s">
        <v>162</v>
      </c>
      <c r="AZ31" t="s">
        <v>169</v>
      </c>
      <c r="BA31" t="s">
        <v>150</v>
      </c>
      <c r="BB31" t="s">
        <v>132</v>
      </c>
      <c r="BC31" t="s">
        <v>2039</v>
      </c>
      <c r="BD31" t="s">
        <v>2040</v>
      </c>
      <c r="BE31" t="s">
        <v>157</v>
      </c>
      <c r="BH31" t="s">
        <v>166</v>
      </c>
      <c r="BI31" t="s">
        <v>191</v>
      </c>
      <c r="BJ31">
        <v>2013</v>
      </c>
      <c r="BK31" t="s">
        <v>126</v>
      </c>
      <c r="BL31" t="s">
        <v>1867</v>
      </c>
      <c r="BM31" t="s">
        <v>162</v>
      </c>
      <c r="BN31" t="s">
        <v>150</v>
      </c>
      <c r="BO31" t="s">
        <v>162</v>
      </c>
      <c r="BP31" t="s">
        <v>162</v>
      </c>
      <c r="BQ31" t="s">
        <v>162</v>
      </c>
      <c r="BR31" t="s">
        <v>237</v>
      </c>
      <c r="BT31" t="s">
        <v>157</v>
      </c>
      <c r="BV31" t="s">
        <v>2041</v>
      </c>
      <c r="BW31" t="s">
        <v>238</v>
      </c>
      <c r="BX31" t="s">
        <v>191</v>
      </c>
      <c r="BY31">
        <v>2016</v>
      </c>
      <c r="BZ31" t="s">
        <v>126</v>
      </c>
      <c r="CA31" t="s">
        <v>2042</v>
      </c>
      <c r="CB31" t="s">
        <v>151</v>
      </c>
      <c r="CC31" t="s">
        <v>162</v>
      </c>
      <c r="CD31" t="s">
        <v>150</v>
      </c>
      <c r="CE31" t="s">
        <v>169</v>
      </c>
      <c r="CF31" t="s">
        <v>150</v>
      </c>
      <c r="CG31" t="s">
        <v>237</v>
      </c>
      <c r="CH31" t="s">
        <v>2043</v>
      </c>
      <c r="CI31" t="s">
        <v>157</v>
      </c>
      <c r="CL31" s="1" t="s">
        <v>123</v>
      </c>
      <c r="CV31" s="1" t="s">
        <v>123</v>
      </c>
      <c r="DF31" s="1" t="s">
        <v>123</v>
      </c>
      <c r="EI31" s="1" t="s">
        <v>123</v>
      </c>
      <c r="FI31" s="1" t="s">
        <v>123</v>
      </c>
      <c r="GQ31" t="s">
        <v>1229</v>
      </c>
      <c r="GR31" t="s">
        <v>1229</v>
      </c>
      <c r="GS31" t="s">
        <v>1229</v>
      </c>
      <c r="GT31" t="s">
        <v>186</v>
      </c>
      <c r="GU31">
        <v>1962</v>
      </c>
      <c r="GV31" t="str">
        <f>VLOOKUP(AnalizaCzyste[[#This Row],[Rok urodzenia]],KategorieWiekowe[],2,1)</f>
        <v>56–65 lat</v>
      </c>
      <c r="GW31" t="s">
        <v>141</v>
      </c>
      <c r="GZ31" t="s">
        <v>2044</v>
      </c>
      <c r="HA31" t="s">
        <v>2045</v>
      </c>
    </row>
    <row r="32" spans="1:209" x14ac:dyDescent="0.45">
      <c r="A32">
        <v>260</v>
      </c>
      <c r="B32">
        <f>_xlfn.IFNA(VLOOKUP(AnalizaCzyste[[#This Row],[Zakończono wypełnianie]],Zakończone[],2,0),"BRAK")</f>
        <v>137</v>
      </c>
      <c r="C32">
        <f>COUNTA(I32:HA32)</f>
        <v>67</v>
      </c>
      <c r="D32" t="s">
        <v>2046</v>
      </c>
      <c r="E32" t="s">
        <v>2047</v>
      </c>
      <c r="F32">
        <v>707</v>
      </c>
      <c r="G32" s="20" t="s">
        <v>2292</v>
      </c>
      <c r="H32" s="20" t="s">
        <v>2466</v>
      </c>
      <c r="I32" s="1" t="s">
        <v>123</v>
      </c>
      <c r="Y32" s="1" t="s">
        <v>124</v>
      </c>
      <c r="Z32" t="s">
        <v>191</v>
      </c>
      <c r="AA32" t="str">
        <f>VLOOKUP(AnalizaCzyste[[#This Row],[Jak się nazywa uczelnia którą ukończyłeś? (proszę o wybranie jednej uczelni podlegającej ocenie)]],KategorieUczelni[],2,0)</f>
        <v>Publiczna</v>
      </c>
      <c r="AB32">
        <v>1985</v>
      </c>
      <c r="AC32" t="s">
        <v>126</v>
      </c>
      <c r="AD32" t="s">
        <v>2017</v>
      </c>
      <c r="AE32" t="s">
        <v>150</v>
      </c>
      <c r="AF32" t="s">
        <v>150</v>
      </c>
      <c r="AG32" t="s">
        <v>151</v>
      </c>
      <c r="AH32" t="s">
        <v>236</v>
      </c>
      <c r="AI32" t="s">
        <v>150</v>
      </c>
      <c r="AJ32" t="s">
        <v>237</v>
      </c>
      <c r="AK32" t="s">
        <v>152</v>
      </c>
      <c r="AL32" t="s">
        <v>759</v>
      </c>
      <c r="AM32" t="s">
        <v>2048</v>
      </c>
      <c r="AN32" t="s">
        <v>1229</v>
      </c>
      <c r="AO32" t="s">
        <v>1229</v>
      </c>
      <c r="AP32" t="s">
        <v>157</v>
      </c>
      <c r="AQ32" t="s">
        <v>2032</v>
      </c>
      <c r="AR32" s="1" t="s">
        <v>159</v>
      </c>
      <c r="AS32">
        <v>1</v>
      </c>
      <c r="AT32" t="s">
        <v>191</v>
      </c>
      <c r="AU32">
        <v>2018</v>
      </c>
      <c r="AV32" t="s">
        <v>126</v>
      </c>
      <c r="AW32" t="s">
        <v>2049</v>
      </c>
      <c r="AX32" t="s">
        <v>151</v>
      </c>
      <c r="AY32" t="s">
        <v>151</v>
      </c>
      <c r="AZ32" t="s">
        <v>128</v>
      </c>
      <c r="BA32" t="s">
        <v>162</v>
      </c>
      <c r="BB32" t="s">
        <v>132</v>
      </c>
      <c r="BC32">
        <v>12</v>
      </c>
      <c r="BD32" t="s">
        <v>2050</v>
      </c>
      <c r="BE32" t="s">
        <v>157</v>
      </c>
      <c r="BH32" t="s">
        <v>173</v>
      </c>
      <c r="CL32" s="1" t="s">
        <v>123</v>
      </c>
      <c r="CV32" s="1" t="s">
        <v>123</v>
      </c>
      <c r="DF32" s="1" t="s">
        <v>123</v>
      </c>
      <c r="EI32" s="1" t="s">
        <v>177</v>
      </c>
      <c r="EJ32" t="s">
        <v>178</v>
      </c>
      <c r="EK32">
        <v>2</v>
      </c>
      <c r="EL32" t="s">
        <v>191</v>
      </c>
      <c r="EM32" t="s">
        <v>151</v>
      </c>
      <c r="EN32" t="s">
        <v>162</v>
      </c>
      <c r="EO32" t="s">
        <v>151</v>
      </c>
      <c r="EP32" t="s">
        <v>178</v>
      </c>
      <c r="EQ32" t="s">
        <v>2051</v>
      </c>
      <c r="ER32" t="s">
        <v>2052</v>
      </c>
      <c r="ES32" t="s">
        <v>1206</v>
      </c>
      <c r="ET32" t="s">
        <v>223</v>
      </c>
      <c r="EU32" t="s">
        <v>162</v>
      </c>
      <c r="EV32" t="s">
        <v>162</v>
      </c>
      <c r="EW32" t="s">
        <v>151</v>
      </c>
      <c r="EX32" t="s">
        <v>178</v>
      </c>
      <c r="EY32" t="s">
        <v>2053</v>
      </c>
      <c r="EZ32" t="s">
        <v>2054</v>
      </c>
      <c r="FA32" t="s">
        <v>173</v>
      </c>
      <c r="FI32" s="1" t="s">
        <v>123</v>
      </c>
      <c r="GQ32" t="s">
        <v>1229</v>
      </c>
      <c r="GR32" t="s">
        <v>1229</v>
      </c>
      <c r="GS32" t="s">
        <v>1229</v>
      </c>
      <c r="GT32" t="s">
        <v>186</v>
      </c>
      <c r="GU32">
        <v>1959</v>
      </c>
      <c r="GV32" t="str">
        <f>VLOOKUP(AnalizaCzyste[[#This Row],[Rok urodzenia]],KategorieWiekowe[],2,1)</f>
        <v>56–65 lat</v>
      </c>
      <c r="GW32" t="s">
        <v>141</v>
      </c>
      <c r="GY32" t="s">
        <v>2055</v>
      </c>
      <c r="HA32" t="s">
        <v>2056</v>
      </c>
    </row>
    <row r="33" spans="1:209" x14ac:dyDescent="0.45">
      <c r="A33">
        <v>261</v>
      </c>
      <c r="B33">
        <f>_xlfn.IFNA(VLOOKUP(AnalizaCzyste[[#This Row],[Zakończono wypełnianie]],Zakończone[],2,0),"BRAK")</f>
        <v>138</v>
      </c>
      <c r="C33">
        <f>COUNTA(I33:HA33)</f>
        <v>62</v>
      </c>
      <c r="D33" t="s">
        <v>2057</v>
      </c>
      <c r="E33" t="s">
        <v>2058</v>
      </c>
      <c r="F33">
        <v>616</v>
      </c>
      <c r="G33" s="20" t="s">
        <v>2292</v>
      </c>
      <c r="H33" s="20" t="s">
        <v>2465</v>
      </c>
      <c r="I33" s="1" t="s">
        <v>123</v>
      </c>
      <c r="Y33" s="1" t="s">
        <v>124</v>
      </c>
      <c r="Z33" t="s">
        <v>223</v>
      </c>
      <c r="AA33" t="str">
        <f>VLOOKUP(AnalizaCzyste[[#This Row],[Jak się nazywa uczelnia którą ukończyłeś? (proszę o wybranie jednej uczelni podlegającej ocenie)]],KategorieUczelni[],2,0)</f>
        <v>Publiczna</v>
      </c>
      <c r="AB33">
        <v>1992</v>
      </c>
      <c r="AC33" t="s">
        <v>148</v>
      </c>
      <c r="AD33" t="s">
        <v>2059</v>
      </c>
      <c r="AE33" t="s">
        <v>150</v>
      </c>
      <c r="AF33" t="s">
        <v>169</v>
      </c>
      <c r="AG33" t="s">
        <v>150</v>
      </c>
      <c r="AH33" t="s">
        <v>151</v>
      </c>
      <c r="AI33" t="s">
        <v>162</v>
      </c>
      <c r="AJ33">
        <v>0</v>
      </c>
      <c r="AK33" t="s">
        <v>131</v>
      </c>
      <c r="AL33" t="s">
        <v>302</v>
      </c>
      <c r="AM33" t="s">
        <v>2060</v>
      </c>
      <c r="AN33" t="s">
        <v>1229</v>
      </c>
      <c r="AO33" t="s">
        <v>1229</v>
      </c>
      <c r="AP33" t="s">
        <v>157</v>
      </c>
      <c r="AQ33" t="s">
        <v>2032</v>
      </c>
      <c r="AR33" s="1" t="s">
        <v>159</v>
      </c>
      <c r="AS33">
        <v>1</v>
      </c>
      <c r="AT33" t="s">
        <v>445</v>
      </c>
      <c r="AU33">
        <v>2019</v>
      </c>
      <c r="AV33" t="s">
        <v>148</v>
      </c>
      <c r="AW33" t="s">
        <v>461</v>
      </c>
      <c r="AX33" t="s">
        <v>169</v>
      </c>
      <c r="AY33" t="s">
        <v>169</v>
      </c>
      <c r="AZ33" t="s">
        <v>169</v>
      </c>
      <c r="BA33" t="s">
        <v>169</v>
      </c>
      <c r="BB33" t="s">
        <v>132</v>
      </c>
      <c r="BC33" t="s">
        <v>2020</v>
      </c>
      <c r="BD33" t="s">
        <v>2061</v>
      </c>
      <c r="BE33" t="s">
        <v>157</v>
      </c>
      <c r="BG33" t="s">
        <v>2062</v>
      </c>
      <c r="BH33" t="s">
        <v>173</v>
      </c>
      <c r="CL33" s="1" t="s">
        <v>123</v>
      </c>
      <c r="CV33" s="1" t="s">
        <v>123</v>
      </c>
      <c r="DF33" s="1" t="s">
        <v>123</v>
      </c>
      <c r="EI33" s="1" t="s">
        <v>123</v>
      </c>
      <c r="FI33" s="1" t="s">
        <v>2022</v>
      </c>
      <c r="FJ33" t="s">
        <v>2023</v>
      </c>
      <c r="FK33" t="s">
        <v>2063</v>
      </c>
      <c r="FL33">
        <v>1</v>
      </c>
      <c r="FM33" t="s">
        <v>191</v>
      </c>
      <c r="FN33" t="s">
        <v>150</v>
      </c>
      <c r="FO33" t="s">
        <v>150</v>
      </c>
      <c r="FP33" t="s">
        <v>169</v>
      </c>
      <c r="FQ33" t="s">
        <v>169</v>
      </c>
      <c r="FR33" t="s">
        <v>132</v>
      </c>
      <c r="FS33" t="s">
        <v>132</v>
      </c>
      <c r="FT33" t="s">
        <v>169</v>
      </c>
      <c r="FW33" t="s">
        <v>173</v>
      </c>
      <c r="GQ33" t="s">
        <v>1229</v>
      </c>
      <c r="GR33" t="s">
        <v>1229</v>
      </c>
      <c r="GS33" t="s">
        <v>1229</v>
      </c>
      <c r="GT33" t="s">
        <v>186</v>
      </c>
      <c r="GU33">
        <v>1968</v>
      </c>
      <c r="GV33" t="str">
        <f>VLOOKUP(AnalizaCzyste[[#This Row],[Rok urodzenia]],KategorieWiekowe[],2,1)</f>
        <v>46–55 lat</v>
      </c>
      <c r="GW33" t="s">
        <v>220</v>
      </c>
      <c r="GY33" t="s">
        <v>2055</v>
      </c>
      <c r="HA33" t="s">
        <v>2064</v>
      </c>
    </row>
    <row r="34" spans="1:209" hidden="1" x14ac:dyDescent="0.45">
      <c r="A34">
        <v>1</v>
      </c>
      <c r="B34">
        <f>_xlfn.IFNA(VLOOKUP(AnalizaCzyste[[#This Row],[Zakończono wypełnianie]],Zakończone[],2,0),"BRAK")</f>
        <v>1</v>
      </c>
      <c r="C34">
        <f>COUNTA(I34:HA34)</f>
        <v>36</v>
      </c>
      <c r="D34" t="s">
        <v>120</v>
      </c>
      <c r="E34" t="s">
        <v>121</v>
      </c>
      <c r="F34">
        <v>65871</v>
      </c>
      <c r="I34" s="1" t="s">
        <v>123</v>
      </c>
      <c r="Y34" s="1" t="s">
        <v>124</v>
      </c>
      <c r="Z34" s="20" t="s">
        <v>191</v>
      </c>
      <c r="AA34" s="20" t="str">
        <f>VLOOKUP(AnalizaCzyste[[#This Row],[Jak się nazywa uczelnia którą ukończyłeś? (proszę o wybranie jednej uczelni podlegającej ocenie)]],KategorieUczelni[],2,0)</f>
        <v>Publiczna</v>
      </c>
      <c r="AB34" s="42">
        <v>2011</v>
      </c>
      <c r="AC34" t="s">
        <v>126</v>
      </c>
      <c r="AD34" t="s">
        <v>127</v>
      </c>
      <c r="AE34" t="s">
        <v>128</v>
      </c>
      <c r="AF34" t="s">
        <v>128</v>
      </c>
      <c r="AG34" t="s">
        <v>129</v>
      </c>
      <c r="AH34" t="s">
        <v>129</v>
      </c>
      <c r="AI34" t="s">
        <v>129</v>
      </c>
      <c r="AJ34" t="s">
        <v>130</v>
      </c>
      <c r="AK34" t="s">
        <v>131</v>
      </c>
      <c r="AL34" t="s">
        <v>132</v>
      </c>
      <c r="AM34" t="s">
        <v>133</v>
      </c>
      <c r="AN34" t="s">
        <v>134</v>
      </c>
      <c r="AO34" t="s">
        <v>135</v>
      </c>
      <c r="AQ34" t="s">
        <v>136</v>
      </c>
      <c r="AR34" s="1" t="s">
        <v>123</v>
      </c>
      <c r="CL34" s="1" t="s">
        <v>123</v>
      </c>
      <c r="CV34" s="1" t="s">
        <v>123</v>
      </c>
      <c r="DF34" s="1" t="s">
        <v>123</v>
      </c>
      <c r="EI34" s="1" t="s">
        <v>123</v>
      </c>
      <c r="FI34" s="1" t="s">
        <v>123</v>
      </c>
      <c r="FJ34" t="s">
        <v>132</v>
      </c>
      <c r="GQ34" t="s">
        <v>137</v>
      </c>
      <c r="GR34" t="s">
        <v>138</v>
      </c>
      <c r="GS34" t="s">
        <v>139</v>
      </c>
      <c r="GT34" t="s">
        <v>140</v>
      </c>
      <c r="GU34">
        <v>1987</v>
      </c>
      <c r="GV34" t="str">
        <f>VLOOKUP(AnalizaCzyste[[#This Row],[Rok urodzenia]],KategorieWiekowe[],2,1)</f>
        <v>26–35 lat</v>
      </c>
      <c r="GW34" t="s">
        <v>141</v>
      </c>
      <c r="GY34" t="s">
        <v>142</v>
      </c>
      <c r="GZ34" t="s">
        <v>142</v>
      </c>
      <c r="HA34" t="s">
        <v>143</v>
      </c>
    </row>
    <row r="35" spans="1:209" hidden="1" x14ac:dyDescent="0.45">
      <c r="A35">
        <v>3</v>
      </c>
      <c r="B35">
        <f>_xlfn.IFNA(VLOOKUP(AnalizaCzyste[[#This Row],[Zakończono wypełnianie]],Zakończone[],2,0),"BRAK")</f>
        <v>3</v>
      </c>
      <c r="C35">
        <f>COUNTA(I35:HA35)</f>
        <v>34</v>
      </c>
      <c r="D35" t="s">
        <v>189</v>
      </c>
      <c r="E35" t="s">
        <v>190</v>
      </c>
      <c r="F35">
        <v>853</v>
      </c>
      <c r="I35" s="1" t="s">
        <v>123</v>
      </c>
      <c r="Y35" s="1" t="s">
        <v>124</v>
      </c>
      <c r="Z35" t="s">
        <v>191</v>
      </c>
      <c r="AA35" t="str">
        <f>VLOOKUP(AnalizaCzyste[[#This Row],[Jak się nazywa uczelnia którą ukończyłeś? (proszę o wybranie jednej uczelni podlegającej ocenie)]],KategorieUczelni[],2,0)</f>
        <v>Publiczna</v>
      </c>
      <c r="AB35">
        <v>2017</v>
      </c>
      <c r="AC35" t="s">
        <v>126</v>
      </c>
      <c r="AD35" t="s">
        <v>192</v>
      </c>
      <c r="AE35" t="s">
        <v>150</v>
      </c>
      <c r="AF35" t="s">
        <v>150</v>
      </c>
      <c r="AG35" t="s">
        <v>162</v>
      </c>
      <c r="AH35" t="s">
        <v>169</v>
      </c>
      <c r="AI35" t="s">
        <v>169</v>
      </c>
      <c r="AJ35" t="s">
        <v>193</v>
      </c>
      <c r="AK35" t="s">
        <v>194</v>
      </c>
      <c r="AL35" t="s">
        <v>194</v>
      </c>
      <c r="AM35" t="s">
        <v>195</v>
      </c>
      <c r="AN35" t="s">
        <v>196</v>
      </c>
      <c r="AO35" t="s">
        <v>197</v>
      </c>
      <c r="AP35" t="s">
        <v>157</v>
      </c>
      <c r="AR35" s="1" t="s">
        <v>123</v>
      </c>
      <c r="CL35" s="1" t="s">
        <v>123</v>
      </c>
      <c r="CV35" s="1" t="s">
        <v>123</v>
      </c>
      <c r="DF35" s="1" t="s">
        <v>123</v>
      </c>
      <c r="EI35" s="1" t="s">
        <v>123</v>
      </c>
      <c r="FI35" s="1" t="s">
        <v>123</v>
      </c>
      <c r="FJ35" t="s">
        <v>132</v>
      </c>
      <c r="GQ35" t="s">
        <v>198</v>
      </c>
      <c r="GR35" t="s">
        <v>199</v>
      </c>
      <c r="GS35" t="s">
        <v>200</v>
      </c>
      <c r="GT35" t="s">
        <v>186</v>
      </c>
      <c r="GU35">
        <v>1991</v>
      </c>
      <c r="GV35" t="str">
        <f>VLOOKUP(AnalizaCzyste[[#This Row],[Rok urodzenia]],KategorieWiekowe[],2,1)</f>
        <v>26–35 lat</v>
      </c>
      <c r="GW35" t="s">
        <v>141</v>
      </c>
      <c r="GY35" t="s">
        <v>201</v>
      </c>
    </row>
    <row r="36" spans="1:209" hidden="1" x14ac:dyDescent="0.45">
      <c r="A36">
        <v>4</v>
      </c>
      <c r="B36">
        <f>_xlfn.IFNA(VLOOKUP(AnalizaCzyste[[#This Row],[Zakończono wypełnianie]],Zakończone[],2,0),"BRAK")</f>
        <v>4</v>
      </c>
      <c r="C36">
        <f>COUNTA(I36:HA36)</f>
        <v>45</v>
      </c>
      <c r="D36" t="s">
        <v>203</v>
      </c>
      <c r="E36" t="s">
        <v>204</v>
      </c>
      <c r="F36">
        <v>3161</v>
      </c>
      <c r="I36" s="1" t="s">
        <v>123</v>
      </c>
      <c r="Y36" s="1" t="s">
        <v>124</v>
      </c>
      <c r="Z36" t="s">
        <v>234</v>
      </c>
      <c r="AA36" t="str">
        <f>VLOOKUP(AnalizaCzyste[[#This Row],[Jak się nazywa uczelnia którą ukończyłeś? (proszę o wybranie jednej uczelni podlegającej ocenie)]],KategorieUczelni[],2,0)</f>
        <v>Publiczna</v>
      </c>
      <c r="AB36">
        <v>1986</v>
      </c>
      <c r="AC36" t="s">
        <v>148</v>
      </c>
      <c r="AD36" t="s">
        <v>207</v>
      </c>
      <c r="AE36" t="s">
        <v>150</v>
      </c>
      <c r="AF36" t="s">
        <v>150</v>
      </c>
      <c r="AG36" t="s">
        <v>162</v>
      </c>
      <c r="AH36" t="s">
        <v>162</v>
      </c>
      <c r="AI36" t="s">
        <v>162</v>
      </c>
      <c r="AJ36" t="s">
        <v>208</v>
      </c>
      <c r="AK36" t="s">
        <v>209</v>
      </c>
      <c r="AL36" t="s">
        <v>209</v>
      </c>
      <c r="AM36" t="s">
        <v>210</v>
      </c>
      <c r="AN36" t="s">
        <v>211</v>
      </c>
      <c r="AO36" t="s">
        <v>212</v>
      </c>
      <c r="AP36" t="s">
        <v>157</v>
      </c>
      <c r="AQ36" t="s">
        <v>213</v>
      </c>
      <c r="AR36" s="1" t="s">
        <v>123</v>
      </c>
      <c r="CL36" s="1" t="s">
        <v>123</v>
      </c>
      <c r="CV36" s="1" t="s">
        <v>214</v>
      </c>
      <c r="CW36" t="s">
        <v>205</v>
      </c>
      <c r="CX36" t="s">
        <v>215</v>
      </c>
      <c r="CY36" t="s">
        <v>150</v>
      </c>
      <c r="CZ36" t="s">
        <v>169</v>
      </c>
      <c r="DA36" t="s">
        <v>169</v>
      </c>
      <c r="DB36" t="s">
        <v>150</v>
      </c>
      <c r="DC36" t="s">
        <v>151</v>
      </c>
      <c r="DD36" t="s">
        <v>151</v>
      </c>
      <c r="DE36" t="s">
        <v>216</v>
      </c>
      <c r="DF36" s="1" t="s">
        <v>123</v>
      </c>
      <c r="EI36" s="1" t="s">
        <v>123</v>
      </c>
      <c r="EJ36" t="s">
        <v>178</v>
      </c>
      <c r="EK36" t="s">
        <v>132</v>
      </c>
      <c r="FI36" s="1" t="s">
        <v>123</v>
      </c>
      <c r="FJ36" t="s">
        <v>132</v>
      </c>
      <c r="GQ36" t="s">
        <v>217</v>
      </c>
      <c r="GR36" t="s">
        <v>218</v>
      </c>
      <c r="GS36" t="s">
        <v>219</v>
      </c>
      <c r="GT36" t="s">
        <v>140</v>
      </c>
      <c r="GU36">
        <v>1961</v>
      </c>
      <c r="GV36" t="str">
        <f>VLOOKUP(AnalizaCzyste[[#This Row],[Rok urodzenia]],KategorieWiekowe[],2,1)</f>
        <v>56–65 lat</v>
      </c>
      <c r="GW36" t="s">
        <v>220</v>
      </c>
    </row>
    <row r="37" spans="1:209" hidden="1" x14ac:dyDescent="0.45">
      <c r="A37">
        <v>6</v>
      </c>
      <c r="B37">
        <f>_xlfn.IFNA(VLOOKUP(AnalizaCzyste[[#This Row],[Zakończono wypełnianie]],Zakończone[],2,0),"BRAK")</f>
        <v>6</v>
      </c>
      <c r="C37">
        <f>COUNTA(I37:HA37)</f>
        <v>33</v>
      </c>
      <c r="D37" t="s">
        <v>249</v>
      </c>
      <c r="E37" t="s">
        <v>250</v>
      </c>
      <c r="F37">
        <v>902</v>
      </c>
      <c r="I37" s="1" t="s">
        <v>123</v>
      </c>
      <c r="Y37" s="1" t="s">
        <v>124</v>
      </c>
      <c r="Z37" t="s">
        <v>191</v>
      </c>
      <c r="AA37" t="str">
        <f>VLOOKUP(AnalizaCzyste[[#This Row],[Jak się nazywa uczelnia którą ukończyłeś? (proszę o wybranie jednej uczelni podlegającej ocenie)]],KategorieUczelni[],2,0)</f>
        <v>Publiczna</v>
      </c>
      <c r="AB37">
        <v>2013</v>
      </c>
      <c r="AC37" t="s">
        <v>126</v>
      </c>
      <c r="AD37" t="s">
        <v>251</v>
      </c>
      <c r="AE37" t="s">
        <v>162</v>
      </c>
      <c r="AF37" t="s">
        <v>162</v>
      </c>
      <c r="AG37" t="s">
        <v>151</v>
      </c>
      <c r="AH37" t="s">
        <v>132</v>
      </c>
      <c r="AI37" t="s">
        <v>132</v>
      </c>
      <c r="AJ37" t="s">
        <v>252</v>
      </c>
      <c r="AK37" t="s">
        <v>132</v>
      </c>
      <c r="AL37" t="s">
        <v>132</v>
      </c>
      <c r="AM37" t="s">
        <v>253</v>
      </c>
      <c r="AN37" t="s">
        <v>254</v>
      </c>
      <c r="AO37" t="s">
        <v>255</v>
      </c>
      <c r="AP37" t="s">
        <v>157</v>
      </c>
      <c r="AR37" s="1" t="s">
        <v>123</v>
      </c>
      <c r="CL37" s="1" t="s">
        <v>123</v>
      </c>
      <c r="CV37" s="1" t="s">
        <v>123</v>
      </c>
      <c r="DF37" s="1" t="s">
        <v>123</v>
      </c>
      <c r="EI37" s="1" t="s">
        <v>123</v>
      </c>
      <c r="FI37" s="1" t="s">
        <v>123</v>
      </c>
      <c r="FJ37" t="s">
        <v>132</v>
      </c>
      <c r="GQ37" t="s">
        <v>256</v>
      </c>
      <c r="GR37" t="s">
        <v>257</v>
      </c>
      <c r="GS37" t="s">
        <v>258</v>
      </c>
      <c r="GT37" t="s">
        <v>140</v>
      </c>
      <c r="GU37">
        <v>1988</v>
      </c>
      <c r="GV37" t="str">
        <f>VLOOKUP(AnalizaCzyste[[#This Row],[Rok urodzenia]],KategorieWiekowe[],2,1)</f>
        <v>26–35 lat</v>
      </c>
      <c r="GW37" t="s">
        <v>141</v>
      </c>
    </row>
    <row r="38" spans="1:209" hidden="1" x14ac:dyDescent="0.45">
      <c r="A38">
        <v>7</v>
      </c>
      <c r="B38">
        <f>_xlfn.IFNA(VLOOKUP(AnalizaCzyste[[#This Row],[Zakończono wypełnianie]],Zakończone[],2,0),"BRAK")</f>
        <v>7</v>
      </c>
      <c r="C38">
        <f>COUNTA(I38:HA38)</f>
        <v>38</v>
      </c>
      <c r="D38" t="s">
        <v>261</v>
      </c>
      <c r="E38" t="s">
        <v>262</v>
      </c>
      <c r="F38">
        <v>422</v>
      </c>
      <c r="I38" s="1" t="s">
        <v>123</v>
      </c>
      <c r="Y38" s="1" t="s">
        <v>124</v>
      </c>
      <c r="Z38" t="s">
        <v>191</v>
      </c>
      <c r="AA38" t="str">
        <f>VLOOKUP(AnalizaCzyste[[#This Row],[Jak się nazywa uczelnia którą ukończyłeś? (proszę o wybranie jednej uczelni podlegającej ocenie)]],KategorieUczelni[],2,0)</f>
        <v>Publiczna</v>
      </c>
      <c r="AB38">
        <v>2013</v>
      </c>
      <c r="AC38" t="s">
        <v>126</v>
      </c>
      <c r="AD38" t="s">
        <v>263</v>
      </c>
      <c r="AE38" t="s">
        <v>169</v>
      </c>
      <c r="AF38" t="s">
        <v>150</v>
      </c>
      <c r="AG38" t="s">
        <v>169</v>
      </c>
      <c r="AH38" t="s">
        <v>169</v>
      </c>
      <c r="AI38" t="s">
        <v>169</v>
      </c>
      <c r="AJ38">
        <v>4</v>
      </c>
      <c r="AK38" t="s">
        <v>153</v>
      </c>
      <c r="AL38" t="s">
        <v>153</v>
      </c>
      <c r="AM38" t="s">
        <v>264</v>
      </c>
      <c r="AN38" t="s">
        <v>265</v>
      </c>
      <c r="AO38" t="s">
        <v>266</v>
      </c>
      <c r="AP38" t="s">
        <v>157</v>
      </c>
      <c r="AR38" s="1" t="s">
        <v>123</v>
      </c>
      <c r="CL38" s="1" t="s">
        <v>123</v>
      </c>
      <c r="CV38" s="1" t="s">
        <v>123</v>
      </c>
      <c r="DF38" s="1" t="s">
        <v>123</v>
      </c>
      <c r="EI38" s="1" t="s">
        <v>123</v>
      </c>
      <c r="EJ38" t="s">
        <v>180</v>
      </c>
      <c r="EK38" t="s">
        <v>132</v>
      </c>
      <c r="FI38" s="1" t="s">
        <v>123</v>
      </c>
      <c r="FJ38" t="s">
        <v>132</v>
      </c>
      <c r="FL38" t="s">
        <v>132</v>
      </c>
      <c r="GQ38" t="s">
        <v>267</v>
      </c>
      <c r="GR38" t="s">
        <v>267</v>
      </c>
      <c r="GS38" t="s">
        <v>267</v>
      </c>
      <c r="GT38" t="s">
        <v>186</v>
      </c>
      <c r="GU38">
        <v>1988</v>
      </c>
      <c r="GV38" t="str">
        <f>VLOOKUP(AnalizaCzyste[[#This Row],[Rok urodzenia]],KategorieWiekowe[],2,1)</f>
        <v>26–35 lat</v>
      </c>
      <c r="GW38" t="s">
        <v>220</v>
      </c>
      <c r="GY38" t="s">
        <v>268</v>
      </c>
      <c r="GZ38" t="s">
        <v>268</v>
      </c>
    </row>
    <row r="39" spans="1:209" hidden="1" x14ac:dyDescent="0.45">
      <c r="A39">
        <v>8</v>
      </c>
      <c r="B39">
        <f>_xlfn.IFNA(VLOOKUP(AnalizaCzyste[[#This Row],[Zakończono wypełnianie]],Zakończone[],2,0),"BRAK")</f>
        <v>8</v>
      </c>
      <c r="C39">
        <f>COUNTA(I39:HA39)</f>
        <v>59</v>
      </c>
      <c r="D39" t="s">
        <v>270</v>
      </c>
      <c r="E39" t="s">
        <v>271</v>
      </c>
      <c r="F39">
        <v>768</v>
      </c>
      <c r="I39" s="1" t="s">
        <v>123</v>
      </c>
      <c r="Y39" s="1" t="s">
        <v>124</v>
      </c>
      <c r="Z39" t="s">
        <v>160</v>
      </c>
      <c r="AA39" t="str">
        <f>VLOOKUP(AnalizaCzyste[[#This Row],[Jak się nazywa uczelnia którą ukończyłeś? (proszę o wybranie jednej uczelni podlegającej ocenie)]],KategorieUczelni[],2,0)</f>
        <v>Publiczna</v>
      </c>
      <c r="AB39">
        <v>1973</v>
      </c>
      <c r="AC39" t="s">
        <v>148</v>
      </c>
      <c r="AD39" t="s">
        <v>272</v>
      </c>
      <c r="AE39" t="s">
        <v>169</v>
      </c>
      <c r="AF39" s="20" t="s">
        <v>169</v>
      </c>
      <c r="AG39" t="s">
        <v>150</v>
      </c>
      <c r="AH39" t="s">
        <v>129</v>
      </c>
      <c r="AI39" t="s">
        <v>129</v>
      </c>
      <c r="AJ39">
        <v>0</v>
      </c>
      <c r="AK39" t="s">
        <v>152</v>
      </c>
      <c r="AL39" t="s">
        <v>152</v>
      </c>
      <c r="AM39" t="s">
        <v>273</v>
      </c>
      <c r="AN39" t="s">
        <v>274</v>
      </c>
      <c r="AO39" t="s">
        <v>275</v>
      </c>
      <c r="AP39" t="s">
        <v>172</v>
      </c>
      <c r="AR39" s="1" t="s">
        <v>159</v>
      </c>
      <c r="AS39">
        <v>3</v>
      </c>
      <c r="AT39" t="s">
        <v>160</v>
      </c>
      <c r="AU39" t="s">
        <v>276</v>
      </c>
      <c r="AV39" t="s">
        <v>148</v>
      </c>
      <c r="AW39" t="s">
        <v>277</v>
      </c>
      <c r="AX39" t="s">
        <v>169</v>
      </c>
      <c r="AY39" t="s">
        <v>169</v>
      </c>
      <c r="AZ39" t="s">
        <v>236</v>
      </c>
      <c r="BA39" t="s">
        <v>236</v>
      </c>
      <c r="BB39" t="s">
        <v>236</v>
      </c>
      <c r="BC39">
        <v>0</v>
      </c>
      <c r="BD39" t="s">
        <v>278</v>
      </c>
      <c r="BE39" t="s">
        <v>172</v>
      </c>
      <c r="BH39" t="s">
        <v>173</v>
      </c>
      <c r="CL39" s="1" t="s">
        <v>123</v>
      </c>
      <c r="CV39" s="1" t="s">
        <v>214</v>
      </c>
      <c r="CW39" t="s">
        <v>862</v>
      </c>
      <c r="CX39" t="s">
        <v>280</v>
      </c>
      <c r="CY39" t="s">
        <v>150</v>
      </c>
      <c r="CZ39" t="s">
        <v>150</v>
      </c>
      <c r="DA39" t="s">
        <v>150</v>
      </c>
      <c r="DB39" t="s">
        <v>150</v>
      </c>
      <c r="DC39" t="s">
        <v>150</v>
      </c>
      <c r="DD39" t="s">
        <v>150</v>
      </c>
      <c r="DE39" t="s">
        <v>281</v>
      </c>
      <c r="DF39" s="1" t="s">
        <v>123</v>
      </c>
      <c r="EI39" s="1" t="s">
        <v>123</v>
      </c>
      <c r="EJ39" t="s">
        <v>180</v>
      </c>
      <c r="EK39" t="s">
        <v>132</v>
      </c>
      <c r="FI39" s="1" t="s">
        <v>123</v>
      </c>
      <c r="FJ39" t="s">
        <v>132</v>
      </c>
      <c r="FL39" t="s">
        <v>132</v>
      </c>
      <c r="GQ39" t="s">
        <v>282</v>
      </c>
      <c r="GR39" t="s">
        <v>283</v>
      </c>
      <c r="GS39" t="s">
        <v>284</v>
      </c>
      <c r="GT39" t="s">
        <v>186</v>
      </c>
      <c r="GU39">
        <v>1950</v>
      </c>
      <c r="GV39" t="str">
        <f>VLOOKUP(AnalizaCzyste[[#This Row],[Rok urodzenia]],KategorieWiekowe[],2,1)</f>
        <v>powyżej 65 lat</v>
      </c>
      <c r="GW39" t="s">
        <v>141</v>
      </c>
    </row>
    <row r="40" spans="1:209" hidden="1" x14ac:dyDescent="0.45">
      <c r="A40">
        <v>10</v>
      </c>
      <c r="B40">
        <f>_xlfn.IFNA(VLOOKUP(AnalizaCzyste[[#This Row],[Zakończono wypełnianie]],Zakończone[],2,0),"BRAK")</f>
        <v>9</v>
      </c>
      <c r="C40">
        <f>COUNTA(I40:HA40)</f>
        <v>34</v>
      </c>
      <c r="D40" t="s">
        <v>289</v>
      </c>
      <c r="E40" t="s">
        <v>290</v>
      </c>
      <c r="F40">
        <v>4259</v>
      </c>
      <c r="I40" s="1" t="s">
        <v>123</v>
      </c>
      <c r="Y40" s="1" t="s">
        <v>124</v>
      </c>
      <c r="Z40" t="s">
        <v>191</v>
      </c>
      <c r="AA40" t="str">
        <f>VLOOKUP(AnalizaCzyste[[#This Row],[Jak się nazywa uczelnia którą ukończyłeś? (proszę o wybranie jednej uczelni podlegającej ocenie)]],KategorieUczelni[],2,0)</f>
        <v>Publiczna</v>
      </c>
      <c r="AB40">
        <v>2013</v>
      </c>
      <c r="AC40" t="s">
        <v>126</v>
      </c>
      <c r="AD40" t="s">
        <v>291</v>
      </c>
      <c r="AE40" t="s">
        <v>150</v>
      </c>
      <c r="AF40" t="s">
        <v>150</v>
      </c>
      <c r="AG40" t="s">
        <v>169</v>
      </c>
      <c r="AH40" t="s">
        <v>151</v>
      </c>
      <c r="AI40" t="s">
        <v>162</v>
      </c>
      <c r="AJ40">
        <v>1</v>
      </c>
      <c r="AK40" t="s">
        <v>131</v>
      </c>
      <c r="AL40" t="s">
        <v>153</v>
      </c>
      <c r="AM40" t="s">
        <v>292</v>
      </c>
      <c r="AN40" t="s">
        <v>293</v>
      </c>
      <c r="AO40" t="s">
        <v>294</v>
      </c>
      <c r="AP40" t="s">
        <v>157</v>
      </c>
      <c r="AR40" s="1" t="s">
        <v>123</v>
      </c>
      <c r="CL40" s="1" t="s">
        <v>123</v>
      </c>
      <c r="CV40" s="1" t="s">
        <v>123</v>
      </c>
      <c r="DF40" s="1" t="s">
        <v>123</v>
      </c>
      <c r="EI40" s="1" t="s">
        <v>123</v>
      </c>
      <c r="FI40" s="1" t="s">
        <v>123</v>
      </c>
      <c r="FJ40" t="s">
        <v>132</v>
      </c>
      <c r="FL40" t="s">
        <v>132</v>
      </c>
      <c r="GQ40" t="s">
        <v>295</v>
      </c>
      <c r="GR40" t="s">
        <v>296</v>
      </c>
      <c r="GS40" t="s">
        <v>297</v>
      </c>
      <c r="GT40" t="s">
        <v>186</v>
      </c>
      <c r="GU40">
        <v>1988</v>
      </c>
      <c r="GV40" t="str">
        <f>VLOOKUP(AnalizaCzyste[[#This Row],[Rok urodzenia]],KategorieWiekowe[],2,1)</f>
        <v>26–35 lat</v>
      </c>
      <c r="GW40" t="s">
        <v>141</v>
      </c>
    </row>
    <row r="41" spans="1:209" hidden="1" x14ac:dyDescent="0.45">
      <c r="A41">
        <v>12</v>
      </c>
      <c r="B41">
        <f>_xlfn.IFNA(VLOOKUP(AnalizaCzyste[[#This Row],[Zakończono wypełnianie]],Zakończone[],2,0),"BRAK")</f>
        <v>11</v>
      </c>
      <c r="C41">
        <f>COUNTA(I41:HA41)</f>
        <v>36</v>
      </c>
      <c r="D41" t="s">
        <v>317</v>
      </c>
      <c r="E41" t="s">
        <v>318</v>
      </c>
      <c r="F41">
        <v>349</v>
      </c>
      <c r="I41" s="1" t="s">
        <v>123</v>
      </c>
      <c r="Y41" s="1" t="s">
        <v>124</v>
      </c>
      <c r="Z41" t="s">
        <v>191</v>
      </c>
      <c r="AA41" t="str">
        <f>VLOOKUP(AnalizaCzyste[[#This Row],[Jak się nazywa uczelnia którą ukończyłeś? (proszę o wybranie jednej uczelni podlegającej ocenie)]],KategorieUczelni[],2,0)</f>
        <v>Publiczna</v>
      </c>
      <c r="AB41">
        <v>2010</v>
      </c>
      <c r="AC41" t="s">
        <v>126</v>
      </c>
      <c r="AD41" t="s">
        <v>319</v>
      </c>
      <c r="AE41" t="s">
        <v>236</v>
      </c>
      <c r="AF41" t="s">
        <v>128</v>
      </c>
      <c r="AG41" t="s">
        <v>162</v>
      </c>
      <c r="AH41" t="s">
        <v>162</v>
      </c>
      <c r="AI41" t="s">
        <v>162</v>
      </c>
      <c r="AJ41">
        <v>6</v>
      </c>
      <c r="AK41" t="s">
        <v>131</v>
      </c>
      <c r="AL41" t="s">
        <v>302</v>
      </c>
      <c r="AM41" t="s">
        <v>320</v>
      </c>
      <c r="AN41" t="s">
        <v>321</v>
      </c>
      <c r="AO41" t="s">
        <v>322</v>
      </c>
      <c r="AP41" t="s">
        <v>157</v>
      </c>
      <c r="AR41" s="1" t="s">
        <v>123</v>
      </c>
      <c r="CL41" s="1" t="s">
        <v>123</v>
      </c>
      <c r="CV41" s="1" t="s">
        <v>123</v>
      </c>
      <c r="DF41" s="1" t="s">
        <v>123</v>
      </c>
      <c r="EI41" s="1" t="s">
        <v>123</v>
      </c>
      <c r="EJ41" t="s">
        <v>180</v>
      </c>
      <c r="EK41" t="s">
        <v>132</v>
      </c>
      <c r="FI41" s="1" t="s">
        <v>123</v>
      </c>
      <c r="FJ41" t="s">
        <v>132</v>
      </c>
      <c r="FL41" t="s">
        <v>132</v>
      </c>
      <c r="GQ41" t="s">
        <v>323</v>
      </c>
      <c r="GR41" t="s">
        <v>324</v>
      </c>
      <c r="GS41" t="s">
        <v>325</v>
      </c>
      <c r="GT41" t="s">
        <v>186</v>
      </c>
      <c r="GU41">
        <v>1985</v>
      </c>
      <c r="GV41" t="str">
        <f>VLOOKUP(AnalizaCzyste[[#This Row],[Rok urodzenia]],KategorieWiekowe[],2,1)</f>
        <v>26–35 lat</v>
      </c>
      <c r="GW41" t="s">
        <v>141</v>
      </c>
    </row>
    <row r="42" spans="1:209" hidden="1" x14ac:dyDescent="0.45">
      <c r="A42">
        <v>16</v>
      </c>
      <c r="B42">
        <f>_xlfn.IFNA(VLOOKUP(AnalizaCzyste[[#This Row],[Zakończono wypełnianie]],Zakończone[],2,0),"BRAK")</f>
        <v>15</v>
      </c>
      <c r="C42">
        <f>COUNTA(I42:HA42)</f>
        <v>35</v>
      </c>
      <c r="D42" t="s">
        <v>348</v>
      </c>
      <c r="E42" t="s">
        <v>349</v>
      </c>
      <c r="F42">
        <v>781</v>
      </c>
      <c r="I42" s="1" t="s">
        <v>123</v>
      </c>
      <c r="Y42" s="1" t="s">
        <v>124</v>
      </c>
      <c r="Z42" t="s">
        <v>191</v>
      </c>
      <c r="AA42" t="str">
        <f>VLOOKUP(AnalizaCzyste[[#This Row],[Jak się nazywa uczelnia którą ukończyłeś? (proszę o wybranie jednej uczelni podlegającej ocenie)]],KategorieUczelni[],2,0)</f>
        <v>Publiczna</v>
      </c>
      <c r="AB42">
        <v>2010</v>
      </c>
      <c r="AC42" t="s">
        <v>126</v>
      </c>
      <c r="AD42" t="s">
        <v>127</v>
      </c>
      <c r="AE42" t="s">
        <v>150</v>
      </c>
      <c r="AF42" t="s">
        <v>128</v>
      </c>
      <c r="AG42" t="s">
        <v>151</v>
      </c>
      <c r="AH42" t="s">
        <v>162</v>
      </c>
      <c r="AI42" t="s">
        <v>162</v>
      </c>
      <c r="AJ42" t="s">
        <v>350</v>
      </c>
      <c r="AK42" t="s">
        <v>302</v>
      </c>
      <c r="AL42" t="s">
        <v>302</v>
      </c>
      <c r="AM42" t="s">
        <v>351</v>
      </c>
      <c r="AN42" t="s">
        <v>352</v>
      </c>
      <c r="AO42" t="s">
        <v>353</v>
      </c>
      <c r="AP42" t="s">
        <v>157</v>
      </c>
      <c r="AR42" s="1" t="s">
        <v>123</v>
      </c>
      <c r="CL42" s="1" t="s">
        <v>123</v>
      </c>
      <c r="CV42" s="1" t="s">
        <v>123</v>
      </c>
      <c r="DF42" s="1" t="s">
        <v>123</v>
      </c>
      <c r="EI42" s="1" t="s">
        <v>123</v>
      </c>
      <c r="EK42" t="s">
        <v>132</v>
      </c>
      <c r="FI42" s="1" t="s">
        <v>123</v>
      </c>
      <c r="FJ42" t="s">
        <v>132</v>
      </c>
      <c r="GQ42" t="s">
        <v>354</v>
      </c>
      <c r="GR42" t="s">
        <v>355</v>
      </c>
      <c r="GS42" t="s">
        <v>356</v>
      </c>
      <c r="GT42" t="s">
        <v>140</v>
      </c>
      <c r="GU42">
        <v>1986</v>
      </c>
      <c r="GV42" t="str">
        <f>VLOOKUP(AnalizaCzyste[[#This Row],[Rok urodzenia]],KategorieWiekowe[],2,1)</f>
        <v>26–35 lat</v>
      </c>
      <c r="GW42" t="s">
        <v>141</v>
      </c>
      <c r="GY42" t="s">
        <v>357</v>
      </c>
    </row>
    <row r="43" spans="1:209" hidden="1" x14ac:dyDescent="0.45">
      <c r="A43">
        <v>17</v>
      </c>
      <c r="B43">
        <f>_xlfn.IFNA(VLOOKUP(AnalizaCzyste[[#This Row],[Zakończono wypełnianie]],Zakończone[],2,0),"BRAK")</f>
        <v>16</v>
      </c>
      <c r="C43">
        <f>COUNTA(I43:HA43)</f>
        <v>34</v>
      </c>
      <c r="D43" t="s">
        <v>360</v>
      </c>
      <c r="E43" t="s">
        <v>361</v>
      </c>
      <c r="F43">
        <v>1534</v>
      </c>
      <c r="I43" s="1" t="s">
        <v>123</v>
      </c>
      <c r="Y43" s="1" t="s">
        <v>124</v>
      </c>
      <c r="Z43" t="s">
        <v>223</v>
      </c>
      <c r="AA43" t="str">
        <f>VLOOKUP(AnalizaCzyste[[#This Row],[Jak się nazywa uczelnia którą ukończyłeś? (proszę o wybranie jednej uczelni podlegającej ocenie)]],KategorieUczelni[],2,0)</f>
        <v>Publiczna</v>
      </c>
      <c r="AB43">
        <v>2011</v>
      </c>
      <c r="AC43" t="s">
        <v>148</v>
      </c>
      <c r="AD43" t="s">
        <v>362</v>
      </c>
      <c r="AE43" t="s">
        <v>151</v>
      </c>
      <c r="AF43" t="s">
        <v>236</v>
      </c>
      <c r="AG43" t="s">
        <v>129</v>
      </c>
      <c r="AH43" t="s">
        <v>129</v>
      </c>
      <c r="AI43" t="s">
        <v>129</v>
      </c>
      <c r="AJ43">
        <v>4</v>
      </c>
      <c r="AK43" t="s">
        <v>131</v>
      </c>
      <c r="AL43" t="s">
        <v>131</v>
      </c>
      <c r="AM43" t="s">
        <v>363</v>
      </c>
      <c r="AN43" t="s">
        <v>364</v>
      </c>
      <c r="AO43" t="s">
        <v>365</v>
      </c>
      <c r="AP43" t="s">
        <v>157</v>
      </c>
      <c r="AR43" s="1" t="s">
        <v>123</v>
      </c>
      <c r="CL43" s="1" t="s">
        <v>123</v>
      </c>
      <c r="CV43" s="1" t="s">
        <v>123</v>
      </c>
      <c r="DF43" s="1" t="s">
        <v>123</v>
      </c>
      <c r="EI43" s="1" t="s">
        <v>123</v>
      </c>
      <c r="FI43" s="1" t="s">
        <v>123</v>
      </c>
      <c r="FJ43" t="s">
        <v>132</v>
      </c>
      <c r="GQ43" t="s">
        <v>366</v>
      </c>
      <c r="GR43" t="s">
        <v>367</v>
      </c>
      <c r="GS43" t="s">
        <v>368</v>
      </c>
      <c r="GT43" t="s">
        <v>140</v>
      </c>
      <c r="GU43">
        <v>1987</v>
      </c>
      <c r="GV43" t="str">
        <f>VLOOKUP(AnalizaCzyste[[#This Row],[Rok urodzenia]],KategorieWiekowe[],2,1)</f>
        <v>26–35 lat</v>
      </c>
      <c r="GW43" t="s">
        <v>141</v>
      </c>
      <c r="GY43" t="s">
        <v>369</v>
      </c>
    </row>
    <row r="44" spans="1:209" hidden="1" x14ac:dyDescent="0.45">
      <c r="A44">
        <v>22</v>
      </c>
      <c r="B44">
        <f>_xlfn.IFNA(VLOOKUP(AnalizaCzyste[[#This Row],[Zakończono wypełnianie]],Zakończone[],2,0),"BRAK")</f>
        <v>19</v>
      </c>
      <c r="C44">
        <f>COUNTA(I44:HA44)</f>
        <v>37</v>
      </c>
      <c r="D44" t="s">
        <v>401</v>
      </c>
      <c r="E44" t="s">
        <v>402</v>
      </c>
      <c r="F44">
        <v>1075</v>
      </c>
      <c r="I44" s="1" t="s">
        <v>123</v>
      </c>
      <c r="Y44" s="1" t="s">
        <v>124</v>
      </c>
      <c r="Z44" t="s">
        <v>2272</v>
      </c>
      <c r="AA44" t="str">
        <f>VLOOKUP(AnalizaCzyste[[#This Row],[Jak się nazywa uczelnia którą ukończyłeś? (proszę o wybranie jednej uczelni podlegającej ocenie)]],KategorieUczelni[],2,0)</f>
        <v>Publiczna</v>
      </c>
      <c r="AB44">
        <v>2010</v>
      </c>
      <c r="AC44" t="s">
        <v>148</v>
      </c>
      <c r="AD44" t="s">
        <v>404</v>
      </c>
      <c r="AE44" t="s">
        <v>151</v>
      </c>
      <c r="AF44" t="s">
        <v>150</v>
      </c>
      <c r="AG44" t="s">
        <v>162</v>
      </c>
      <c r="AH44" t="s">
        <v>150</v>
      </c>
      <c r="AI44" t="s">
        <v>150</v>
      </c>
      <c r="AJ44" t="s">
        <v>405</v>
      </c>
      <c r="AK44" t="s">
        <v>131</v>
      </c>
      <c r="AL44" t="s">
        <v>302</v>
      </c>
      <c r="AM44" t="s">
        <v>406</v>
      </c>
      <c r="AN44" t="s">
        <v>407</v>
      </c>
      <c r="AO44" t="s">
        <v>408</v>
      </c>
      <c r="AP44" t="s">
        <v>230</v>
      </c>
      <c r="AR44" s="1" t="s">
        <v>123</v>
      </c>
      <c r="CL44" s="1" t="s">
        <v>123</v>
      </c>
      <c r="CV44" s="1" t="s">
        <v>123</v>
      </c>
      <c r="DF44" s="1" t="s">
        <v>123</v>
      </c>
      <c r="EI44" s="1" t="s">
        <v>123</v>
      </c>
      <c r="EJ44" t="s">
        <v>180</v>
      </c>
      <c r="EK44" t="s">
        <v>132</v>
      </c>
      <c r="FI44" s="1" t="s">
        <v>123</v>
      </c>
      <c r="FJ44" t="s">
        <v>132</v>
      </c>
      <c r="FL44" t="s">
        <v>132</v>
      </c>
      <c r="GQ44" t="s">
        <v>409</v>
      </c>
      <c r="GR44" t="s">
        <v>410</v>
      </c>
      <c r="GS44" t="s">
        <v>411</v>
      </c>
      <c r="GT44" t="s">
        <v>140</v>
      </c>
      <c r="GU44">
        <v>1985</v>
      </c>
      <c r="GV44" t="str">
        <f>VLOOKUP(AnalizaCzyste[[#This Row],[Rok urodzenia]],KategorieWiekowe[],2,1)</f>
        <v>26–35 lat</v>
      </c>
      <c r="GW44" t="s">
        <v>398</v>
      </c>
      <c r="GY44" t="s">
        <v>412</v>
      </c>
    </row>
    <row r="45" spans="1:209" hidden="1" x14ac:dyDescent="0.45">
      <c r="A45">
        <v>26</v>
      </c>
      <c r="B45">
        <f>_xlfn.IFNA(VLOOKUP(AnalizaCzyste[[#This Row],[Zakończono wypełnianie]],Zakończone[],2,0),"BRAK")</f>
        <v>20</v>
      </c>
      <c r="C45">
        <f>COUNTA(I45:HA45)</f>
        <v>36</v>
      </c>
      <c r="D45" t="s">
        <v>426</v>
      </c>
      <c r="E45" t="s">
        <v>427</v>
      </c>
      <c r="F45">
        <v>1039</v>
      </c>
      <c r="G45" s="20"/>
      <c r="H45" s="20"/>
      <c r="I45" s="1" t="s">
        <v>123</v>
      </c>
      <c r="Y45" s="1" t="s">
        <v>124</v>
      </c>
      <c r="Z45" t="s">
        <v>428</v>
      </c>
      <c r="AA45" t="str">
        <f>VLOOKUP(AnalizaCzyste[[#This Row],[Jak się nazywa uczelnia którą ukończyłeś? (proszę o wybranie jednej uczelni podlegającej ocenie)]],KategorieUczelni[],2,0)</f>
        <v>Publiczna</v>
      </c>
      <c r="AB45">
        <v>2011</v>
      </c>
      <c r="AC45" t="s">
        <v>148</v>
      </c>
      <c r="AD45" t="s">
        <v>429</v>
      </c>
      <c r="AE45" t="s">
        <v>162</v>
      </c>
      <c r="AF45" t="s">
        <v>162</v>
      </c>
      <c r="AG45" t="s">
        <v>128</v>
      </c>
      <c r="AH45" t="s">
        <v>128</v>
      </c>
      <c r="AI45" t="s">
        <v>128</v>
      </c>
      <c r="AJ45">
        <v>2</v>
      </c>
      <c r="AK45" t="s">
        <v>131</v>
      </c>
      <c r="AL45" t="s">
        <v>302</v>
      </c>
      <c r="AM45" t="s">
        <v>430</v>
      </c>
      <c r="AN45" t="s">
        <v>431</v>
      </c>
      <c r="AO45" t="s">
        <v>432</v>
      </c>
      <c r="AP45" t="s">
        <v>157</v>
      </c>
      <c r="AR45" s="1" t="s">
        <v>123</v>
      </c>
      <c r="CL45" s="1" t="s">
        <v>123</v>
      </c>
      <c r="CV45" s="1" t="s">
        <v>123</v>
      </c>
      <c r="DF45" s="1" t="s">
        <v>123</v>
      </c>
      <c r="EI45" s="1" t="s">
        <v>123</v>
      </c>
      <c r="EJ45" t="s">
        <v>180</v>
      </c>
      <c r="EK45" t="s">
        <v>132</v>
      </c>
      <c r="FI45" s="1" t="s">
        <v>123</v>
      </c>
      <c r="FJ45" t="s">
        <v>132</v>
      </c>
      <c r="FL45" t="s">
        <v>132</v>
      </c>
      <c r="GQ45" t="s">
        <v>433</v>
      </c>
      <c r="GR45" t="s">
        <v>434</v>
      </c>
      <c r="GS45" t="s">
        <v>435</v>
      </c>
      <c r="GT45" t="s">
        <v>140</v>
      </c>
      <c r="GU45">
        <v>1987</v>
      </c>
      <c r="GV45" t="str">
        <f>VLOOKUP(AnalizaCzyste[[#This Row],[Rok urodzenia]],KategorieWiekowe[],2,1)</f>
        <v>26–35 lat</v>
      </c>
      <c r="GW45" t="s">
        <v>141</v>
      </c>
    </row>
    <row r="46" spans="1:209" hidden="1" x14ac:dyDescent="0.45">
      <c r="A46">
        <v>32</v>
      </c>
      <c r="B46">
        <f>_xlfn.IFNA(VLOOKUP(AnalizaCzyste[[#This Row],[Zakończono wypełnianie]],Zakończone[],2,0),"BRAK")</f>
        <v>22</v>
      </c>
      <c r="C46">
        <f>COUNTA(I46:HA46)</f>
        <v>37</v>
      </c>
      <c r="D46" t="s">
        <v>459</v>
      </c>
      <c r="E46" t="s">
        <v>460</v>
      </c>
      <c r="F46">
        <v>490</v>
      </c>
      <c r="I46" s="1" t="s">
        <v>416</v>
      </c>
      <c r="J46" t="s">
        <v>445</v>
      </c>
      <c r="K46" t="s">
        <v>148</v>
      </c>
      <c r="L46" t="s">
        <v>461</v>
      </c>
      <c r="M46" t="s">
        <v>169</v>
      </c>
      <c r="N46" t="s">
        <v>169</v>
      </c>
      <c r="O46" t="s">
        <v>169</v>
      </c>
      <c r="P46" t="s">
        <v>462</v>
      </c>
      <c r="Q46" t="s">
        <v>302</v>
      </c>
      <c r="R46" t="s">
        <v>302</v>
      </c>
      <c r="S46" t="s">
        <v>463</v>
      </c>
      <c r="T46" t="s">
        <v>464</v>
      </c>
      <c r="U46" t="s">
        <v>465</v>
      </c>
      <c r="V46" t="s">
        <v>157</v>
      </c>
      <c r="W46" t="s">
        <v>466</v>
      </c>
      <c r="X46">
        <v>10</v>
      </c>
      <c r="Y46" s="1" t="s">
        <v>123</v>
      </c>
      <c r="AA46" t="e">
        <f>VLOOKUP(AnalizaCzyste[[#This Row],[Jak się nazywa uczelnia którą ukończyłeś? (proszę o wybranie jednej uczelni podlegającej ocenie)]],KategorieUczelni[],2,0)</f>
        <v>#N/A</v>
      </c>
      <c r="AR46" s="1" t="s">
        <v>123</v>
      </c>
      <c r="CL46" s="1" t="s">
        <v>123</v>
      </c>
      <c r="CV46" s="1" t="s">
        <v>123</v>
      </c>
      <c r="DF46" s="1" t="s">
        <v>123</v>
      </c>
      <c r="EI46" s="1" t="s">
        <v>123</v>
      </c>
      <c r="EJ46" t="s">
        <v>180</v>
      </c>
      <c r="EK46" t="s">
        <v>132</v>
      </c>
      <c r="FI46" s="1" t="s">
        <v>123</v>
      </c>
      <c r="FJ46" t="s">
        <v>132</v>
      </c>
      <c r="FL46" t="s">
        <v>132</v>
      </c>
      <c r="GQ46" t="s">
        <v>468</v>
      </c>
      <c r="GR46" t="s">
        <v>469</v>
      </c>
      <c r="GS46" t="s">
        <v>142</v>
      </c>
      <c r="GT46" t="s">
        <v>140</v>
      </c>
      <c r="GU46">
        <v>1996</v>
      </c>
      <c r="GV46" t="str">
        <f>VLOOKUP(AnalizaCzyste[[#This Row],[Rok urodzenia]],KategorieWiekowe[],2,1)</f>
        <v>poniżej 26 lat</v>
      </c>
      <c r="GW46" t="s">
        <v>141</v>
      </c>
      <c r="GY46" t="s">
        <v>470</v>
      </c>
      <c r="GZ46" t="s">
        <v>471</v>
      </c>
    </row>
    <row r="47" spans="1:209" hidden="1" x14ac:dyDescent="0.45">
      <c r="A47">
        <v>33</v>
      </c>
      <c r="B47">
        <f>_xlfn.IFNA(VLOOKUP(AnalizaCzyste[[#This Row],[Zakończono wypełnianie]],Zakończone[],2,0),"BRAK")</f>
        <v>23</v>
      </c>
      <c r="C47">
        <f>COUNTA(I47:HA47)</f>
        <v>30</v>
      </c>
      <c r="D47" t="s">
        <v>473</v>
      </c>
      <c r="E47" t="s">
        <v>474</v>
      </c>
      <c r="F47">
        <v>2507</v>
      </c>
      <c r="I47" s="1" t="s">
        <v>416</v>
      </c>
      <c r="J47" t="s">
        <v>445</v>
      </c>
      <c r="K47" t="s">
        <v>148</v>
      </c>
      <c r="L47" t="s">
        <v>475</v>
      </c>
      <c r="M47" t="s">
        <v>169</v>
      </c>
      <c r="N47" t="s">
        <v>169</v>
      </c>
      <c r="O47" t="s">
        <v>151</v>
      </c>
      <c r="P47" t="s">
        <v>476</v>
      </c>
      <c r="Q47" t="s">
        <v>302</v>
      </c>
      <c r="R47" t="s">
        <v>302</v>
      </c>
      <c r="T47" t="s">
        <v>477</v>
      </c>
      <c r="U47" t="s">
        <v>478</v>
      </c>
      <c r="V47" t="s">
        <v>157</v>
      </c>
      <c r="X47">
        <v>10</v>
      </c>
      <c r="Y47" s="1" t="s">
        <v>123</v>
      </c>
      <c r="AA47" t="e">
        <f>VLOOKUP(AnalizaCzyste[[#This Row],[Jak się nazywa uczelnia którą ukończyłeś? (proszę o wybranie jednej uczelni podlegającej ocenie)]],KategorieUczelni[],2,0)</f>
        <v>#N/A</v>
      </c>
      <c r="AR47" s="1" t="s">
        <v>123</v>
      </c>
      <c r="CL47" s="1" t="s">
        <v>123</v>
      </c>
      <c r="CV47" s="1" t="s">
        <v>123</v>
      </c>
      <c r="DF47" s="1" t="s">
        <v>123</v>
      </c>
      <c r="EI47" s="1" t="s">
        <v>123</v>
      </c>
      <c r="FI47" s="1" t="s">
        <v>123</v>
      </c>
      <c r="FJ47" t="s">
        <v>132</v>
      </c>
      <c r="GQ47" t="s">
        <v>480</v>
      </c>
      <c r="GR47" t="s">
        <v>481</v>
      </c>
      <c r="GS47" t="s">
        <v>482</v>
      </c>
      <c r="GT47" t="s">
        <v>140</v>
      </c>
      <c r="GU47">
        <v>1996</v>
      </c>
      <c r="GV47" t="str">
        <f>VLOOKUP(AnalizaCzyste[[#This Row],[Rok urodzenia]],KategorieWiekowe[],2,1)</f>
        <v>poniżej 26 lat</v>
      </c>
      <c r="GW47" t="s">
        <v>483</v>
      </c>
    </row>
    <row r="48" spans="1:209" hidden="1" x14ac:dyDescent="0.45">
      <c r="A48">
        <v>34</v>
      </c>
      <c r="B48">
        <f>_xlfn.IFNA(VLOOKUP(AnalizaCzyste[[#This Row],[Zakończono wypełnianie]],Zakończone[],2,0),"BRAK")</f>
        <v>24</v>
      </c>
      <c r="C48">
        <f>COUNTA(I48:HA48)</f>
        <v>37</v>
      </c>
      <c r="D48" t="s">
        <v>485</v>
      </c>
      <c r="E48" t="s">
        <v>486</v>
      </c>
      <c r="F48">
        <v>709</v>
      </c>
      <c r="I48" s="1" t="s">
        <v>123</v>
      </c>
      <c r="Y48" s="1" t="s">
        <v>124</v>
      </c>
      <c r="Z48" t="s">
        <v>445</v>
      </c>
      <c r="AA48" t="str">
        <f>VLOOKUP(AnalizaCzyste[[#This Row],[Jak się nazywa uczelnia którą ukończyłeś? (proszę o wybranie jednej uczelni podlegającej ocenie)]],KategorieUczelni[],2,0)</f>
        <v>Publiczna</v>
      </c>
      <c r="AB48">
        <v>2018</v>
      </c>
      <c r="AC48" t="s">
        <v>148</v>
      </c>
      <c r="AD48" t="s">
        <v>487</v>
      </c>
      <c r="AE48" t="s">
        <v>162</v>
      </c>
      <c r="AF48" t="s">
        <v>162</v>
      </c>
      <c r="AG48" t="s">
        <v>151</v>
      </c>
      <c r="AH48" t="s">
        <v>129</v>
      </c>
      <c r="AI48" t="s">
        <v>151</v>
      </c>
      <c r="AJ48">
        <v>2</v>
      </c>
      <c r="AK48" t="s">
        <v>131</v>
      </c>
      <c r="AL48" t="s">
        <v>153</v>
      </c>
      <c r="AM48" t="s">
        <v>488</v>
      </c>
      <c r="AN48" t="s">
        <v>489</v>
      </c>
      <c r="AO48" t="s">
        <v>490</v>
      </c>
      <c r="AP48" t="s">
        <v>157</v>
      </c>
      <c r="AR48" s="1" t="s">
        <v>123</v>
      </c>
      <c r="CL48" s="1" t="s">
        <v>123</v>
      </c>
      <c r="CV48" s="1" t="s">
        <v>123</v>
      </c>
      <c r="DF48" s="1" t="s">
        <v>123</v>
      </c>
      <c r="EI48" s="1" t="s">
        <v>123</v>
      </c>
      <c r="EJ48" t="s">
        <v>180</v>
      </c>
      <c r="FI48" s="1" t="s">
        <v>123</v>
      </c>
      <c r="FJ48" t="s">
        <v>132</v>
      </c>
      <c r="FL48" t="s">
        <v>132</v>
      </c>
      <c r="GQ48" t="s">
        <v>491</v>
      </c>
      <c r="GR48" t="s">
        <v>492</v>
      </c>
      <c r="GS48" t="s">
        <v>493</v>
      </c>
      <c r="GT48" t="s">
        <v>186</v>
      </c>
      <c r="GU48">
        <v>1994</v>
      </c>
      <c r="GV48" t="str">
        <f>VLOOKUP(AnalizaCzyste[[#This Row],[Rok urodzenia]],KategorieWiekowe[],2,1)</f>
        <v>26–35 lat</v>
      </c>
      <c r="GW48" t="s">
        <v>483</v>
      </c>
      <c r="GY48" t="s">
        <v>494</v>
      </c>
      <c r="GZ48" t="s">
        <v>495</v>
      </c>
    </row>
    <row r="49" spans="1:209" hidden="1" x14ac:dyDescent="0.45">
      <c r="A49">
        <v>37</v>
      </c>
      <c r="B49">
        <f>_xlfn.IFNA(VLOOKUP(AnalizaCzyste[[#This Row],[Zakończono wypełnianie]],Zakończone[],2,0),"BRAK")</f>
        <v>25</v>
      </c>
      <c r="C49">
        <f>COUNTA(I49:HA49)</f>
        <v>38</v>
      </c>
      <c r="D49" t="s">
        <v>499</v>
      </c>
      <c r="E49" t="s">
        <v>501</v>
      </c>
      <c r="F49">
        <v>394</v>
      </c>
      <c r="I49" s="1" t="s">
        <v>123</v>
      </c>
      <c r="Y49" s="1" t="s">
        <v>124</v>
      </c>
      <c r="Z49" t="s">
        <v>445</v>
      </c>
      <c r="AA49" t="str">
        <f>VLOOKUP(AnalizaCzyste[[#This Row],[Jak się nazywa uczelnia którą ukończyłeś? (proszę o wybranie jednej uczelni podlegającej ocenie)]],KategorieUczelni[],2,0)</f>
        <v>Publiczna</v>
      </c>
      <c r="AB49">
        <v>2019</v>
      </c>
      <c r="AC49" t="s">
        <v>148</v>
      </c>
      <c r="AD49" t="s">
        <v>502</v>
      </c>
      <c r="AE49" t="s">
        <v>162</v>
      </c>
      <c r="AF49" t="s">
        <v>162</v>
      </c>
      <c r="AG49" t="s">
        <v>162</v>
      </c>
      <c r="AH49" t="s">
        <v>150</v>
      </c>
      <c r="AI49" t="s">
        <v>132</v>
      </c>
      <c r="AJ49">
        <v>0</v>
      </c>
      <c r="AK49" t="s">
        <v>153</v>
      </c>
      <c r="AL49" t="s">
        <v>132</v>
      </c>
      <c r="AM49" t="s">
        <v>503</v>
      </c>
      <c r="AN49" t="s">
        <v>504</v>
      </c>
      <c r="AO49" t="s">
        <v>505</v>
      </c>
      <c r="AP49" t="s">
        <v>157</v>
      </c>
      <c r="AR49" s="1" t="s">
        <v>123</v>
      </c>
      <c r="CL49" s="1" t="s">
        <v>123</v>
      </c>
      <c r="CV49" s="1" t="s">
        <v>123</v>
      </c>
      <c r="DF49" s="1" t="s">
        <v>123</v>
      </c>
      <c r="EI49" s="1" t="s">
        <v>123</v>
      </c>
      <c r="EJ49" t="s">
        <v>180</v>
      </c>
      <c r="EK49" t="s">
        <v>132</v>
      </c>
      <c r="FI49" s="1" t="s">
        <v>123</v>
      </c>
      <c r="FJ49" t="s">
        <v>132</v>
      </c>
      <c r="FL49" t="s">
        <v>132</v>
      </c>
      <c r="GQ49" t="s">
        <v>506</v>
      </c>
      <c r="GR49" t="s">
        <v>507</v>
      </c>
      <c r="GS49" t="s">
        <v>508</v>
      </c>
      <c r="GT49" t="s">
        <v>140</v>
      </c>
      <c r="GU49">
        <v>1994</v>
      </c>
      <c r="GV49" t="str">
        <f>VLOOKUP(AnalizaCzyste[[#This Row],[Rok urodzenia]],KategorieWiekowe[],2,1)</f>
        <v>26–35 lat</v>
      </c>
      <c r="GW49" t="s">
        <v>220</v>
      </c>
      <c r="GY49" t="s">
        <v>509</v>
      </c>
      <c r="GZ49" t="s">
        <v>510</v>
      </c>
    </row>
    <row r="50" spans="1:209" hidden="1" x14ac:dyDescent="0.45">
      <c r="A50">
        <v>38</v>
      </c>
      <c r="B50">
        <f>_xlfn.IFNA(VLOOKUP(AnalizaCzyste[[#This Row],[Zakończono wypełnianie]],Zakończone[],2,0),"BRAK")</f>
        <v>26</v>
      </c>
      <c r="C50">
        <f>COUNTA(I50:HA50)</f>
        <v>45</v>
      </c>
      <c r="D50" t="s">
        <v>512</v>
      </c>
      <c r="E50" t="s">
        <v>513</v>
      </c>
      <c r="F50">
        <v>424</v>
      </c>
      <c r="I50" s="1" t="s">
        <v>123</v>
      </c>
      <c r="Y50" s="1" t="s">
        <v>124</v>
      </c>
      <c r="Z50" t="s">
        <v>445</v>
      </c>
      <c r="AA50" t="str">
        <f>VLOOKUP(AnalizaCzyste[[#This Row],[Jak się nazywa uczelnia którą ukończyłeś? (proszę o wybranie jednej uczelni podlegającej ocenie)]],KategorieUczelni[],2,0)</f>
        <v>Publiczna</v>
      </c>
      <c r="AB50">
        <v>2018</v>
      </c>
      <c r="AC50" t="s">
        <v>148</v>
      </c>
      <c r="AD50" t="s">
        <v>514</v>
      </c>
      <c r="AE50" t="s">
        <v>150</v>
      </c>
      <c r="AF50" t="s">
        <v>169</v>
      </c>
      <c r="AG50" t="s">
        <v>169</v>
      </c>
      <c r="AH50" t="s">
        <v>150</v>
      </c>
      <c r="AI50" t="s">
        <v>132</v>
      </c>
      <c r="AJ50" t="s">
        <v>515</v>
      </c>
      <c r="AK50" t="s">
        <v>302</v>
      </c>
      <c r="AL50" t="s">
        <v>132</v>
      </c>
      <c r="AM50" t="s">
        <v>516</v>
      </c>
      <c r="AN50" t="s">
        <v>517</v>
      </c>
      <c r="AO50" t="s">
        <v>142</v>
      </c>
      <c r="AP50" t="s">
        <v>157</v>
      </c>
      <c r="AR50" s="1" t="s">
        <v>123</v>
      </c>
      <c r="CL50" s="1" t="s">
        <v>123</v>
      </c>
      <c r="CV50" s="1" t="s">
        <v>214</v>
      </c>
      <c r="CW50" t="s">
        <v>445</v>
      </c>
      <c r="CX50" t="s">
        <v>518</v>
      </c>
      <c r="CY50" t="s">
        <v>169</v>
      </c>
      <c r="CZ50" t="s">
        <v>150</v>
      </c>
      <c r="DA50" t="s">
        <v>162</v>
      </c>
      <c r="DB50" t="s">
        <v>150</v>
      </c>
      <c r="DC50" t="s">
        <v>150</v>
      </c>
      <c r="DD50" t="s">
        <v>151</v>
      </c>
      <c r="DF50" s="1" t="s">
        <v>123</v>
      </c>
      <c r="EI50" s="1" t="s">
        <v>123</v>
      </c>
      <c r="EJ50" t="s">
        <v>180</v>
      </c>
      <c r="EK50" t="s">
        <v>132</v>
      </c>
      <c r="FI50" s="1" t="s">
        <v>123</v>
      </c>
      <c r="FJ50" t="s">
        <v>132</v>
      </c>
      <c r="FL50" t="s">
        <v>132</v>
      </c>
      <c r="GQ50" t="s">
        <v>519</v>
      </c>
      <c r="GR50" t="s">
        <v>520</v>
      </c>
      <c r="GS50" t="s">
        <v>142</v>
      </c>
      <c r="GT50" t="s">
        <v>186</v>
      </c>
      <c r="GU50">
        <v>1994</v>
      </c>
      <c r="GV50" t="str">
        <f>VLOOKUP(AnalizaCzyste[[#This Row],[Rok urodzenia]],KategorieWiekowe[],2,1)</f>
        <v>26–35 lat</v>
      </c>
      <c r="GW50" t="s">
        <v>141</v>
      </c>
      <c r="GZ50" t="s">
        <v>521</v>
      </c>
    </row>
    <row r="51" spans="1:209" hidden="1" x14ac:dyDescent="0.45">
      <c r="A51">
        <v>41</v>
      </c>
      <c r="B51">
        <f>_xlfn.IFNA(VLOOKUP(AnalizaCzyste[[#This Row],[Zakończono wypełnianie]],Zakończone[],2,0),"BRAK")</f>
        <v>27</v>
      </c>
      <c r="C51">
        <f>COUNTA(I51:HA51)</f>
        <v>32</v>
      </c>
      <c r="D51" t="s">
        <v>528</v>
      </c>
      <c r="E51" t="s">
        <v>529</v>
      </c>
      <c r="F51">
        <v>283</v>
      </c>
      <c r="I51" s="1" t="s">
        <v>416</v>
      </c>
      <c r="J51" t="s">
        <v>445</v>
      </c>
      <c r="K51" t="s">
        <v>148</v>
      </c>
      <c r="L51" t="s">
        <v>461</v>
      </c>
      <c r="M51" t="s">
        <v>169</v>
      </c>
      <c r="N51" t="s">
        <v>162</v>
      </c>
      <c r="O51" t="s">
        <v>162</v>
      </c>
      <c r="P51" t="s">
        <v>530</v>
      </c>
      <c r="Q51" t="s">
        <v>131</v>
      </c>
      <c r="R51" t="s">
        <v>153</v>
      </c>
      <c r="T51" t="s">
        <v>531</v>
      </c>
      <c r="U51" t="s">
        <v>532</v>
      </c>
      <c r="V51" t="s">
        <v>172</v>
      </c>
      <c r="X51">
        <v>6</v>
      </c>
      <c r="Y51" s="1" t="s">
        <v>123</v>
      </c>
      <c r="AA51" t="e">
        <f>VLOOKUP(AnalizaCzyste[[#This Row],[Jak się nazywa uczelnia którą ukończyłeś? (proszę o wybranie jednej uczelni podlegającej ocenie)]],KategorieUczelni[],2,0)</f>
        <v>#N/A</v>
      </c>
      <c r="AR51" s="1" t="s">
        <v>123</v>
      </c>
      <c r="CL51" s="1" t="s">
        <v>123</v>
      </c>
      <c r="CV51" s="1" t="s">
        <v>123</v>
      </c>
      <c r="DF51" s="1" t="s">
        <v>123</v>
      </c>
      <c r="EI51" s="1" t="s">
        <v>123</v>
      </c>
      <c r="FI51" s="1" t="s">
        <v>123</v>
      </c>
      <c r="FJ51" t="s">
        <v>132</v>
      </c>
      <c r="GQ51" t="s">
        <v>534</v>
      </c>
      <c r="GR51" t="s">
        <v>535</v>
      </c>
      <c r="GS51" t="s">
        <v>532</v>
      </c>
      <c r="GT51" t="s">
        <v>140</v>
      </c>
      <c r="GU51">
        <v>1996</v>
      </c>
      <c r="GV51" t="str">
        <f>VLOOKUP(AnalizaCzyste[[#This Row],[Rok urodzenia]],KategorieWiekowe[],2,1)</f>
        <v>poniżej 26 lat</v>
      </c>
      <c r="GW51" t="s">
        <v>483</v>
      </c>
      <c r="GY51" t="s">
        <v>536</v>
      </c>
      <c r="GZ51" t="s">
        <v>537</v>
      </c>
    </row>
    <row r="52" spans="1:209" hidden="1" x14ac:dyDescent="0.45">
      <c r="A52">
        <v>45</v>
      </c>
      <c r="B52">
        <f>_xlfn.IFNA(VLOOKUP(AnalizaCzyste[[#This Row],[Zakończono wypełnianie]],Zakończone[],2,0),"BRAK")</f>
        <v>28</v>
      </c>
      <c r="C52">
        <f>COUNTA(I52:HA52)</f>
        <v>35</v>
      </c>
      <c r="D52" t="s">
        <v>551</v>
      </c>
      <c r="E52" t="s">
        <v>552</v>
      </c>
      <c r="F52">
        <v>836</v>
      </c>
      <c r="I52" s="1" t="s">
        <v>123</v>
      </c>
      <c r="Y52" s="1" t="s">
        <v>124</v>
      </c>
      <c r="Z52" t="s">
        <v>553</v>
      </c>
      <c r="AA52" t="str">
        <f>VLOOKUP(AnalizaCzyste[[#This Row],[Jak się nazywa uczelnia którą ukończyłeś? (proszę o wybranie jednej uczelni podlegającej ocenie)]],KategorieUczelni[],2,0)</f>
        <v>Publiczna</v>
      </c>
      <c r="AB52">
        <v>2019</v>
      </c>
      <c r="AC52" t="s">
        <v>148</v>
      </c>
      <c r="AD52" t="s">
        <v>554</v>
      </c>
      <c r="AE52" t="s">
        <v>162</v>
      </c>
      <c r="AF52" t="s">
        <v>162</v>
      </c>
      <c r="AG52" t="s">
        <v>236</v>
      </c>
      <c r="AH52" t="s">
        <v>151</v>
      </c>
      <c r="AI52" t="s">
        <v>162</v>
      </c>
      <c r="AJ52" t="s">
        <v>237</v>
      </c>
      <c r="AK52" t="s">
        <v>132</v>
      </c>
      <c r="AL52" t="s">
        <v>132</v>
      </c>
      <c r="AM52" t="s">
        <v>555</v>
      </c>
      <c r="AN52" t="s">
        <v>556</v>
      </c>
      <c r="AO52" t="s">
        <v>557</v>
      </c>
      <c r="AP52" t="s">
        <v>230</v>
      </c>
      <c r="AR52" s="1" t="s">
        <v>123</v>
      </c>
      <c r="CL52" s="1" t="s">
        <v>123</v>
      </c>
      <c r="CV52" s="1" t="s">
        <v>123</v>
      </c>
      <c r="DF52" s="1" t="s">
        <v>123</v>
      </c>
      <c r="EI52" s="1" t="s">
        <v>123</v>
      </c>
      <c r="FI52" s="1" t="s">
        <v>123</v>
      </c>
      <c r="FJ52" t="s">
        <v>132</v>
      </c>
      <c r="GQ52" t="s">
        <v>558</v>
      </c>
      <c r="GR52" t="s">
        <v>559</v>
      </c>
      <c r="GS52" t="s">
        <v>560</v>
      </c>
      <c r="GT52" t="s">
        <v>140</v>
      </c>
      <c r="GU52">
        <v>1994</v>
      </c>
      <c r="GV52" t="str">
        <f>VLOOKUP(AnalizaCzyste[[#This Row],[Rok urodzenia]],KategorieWiekowe[],2,1)</f>
        <v>26–35 lat</v>
      </c>
      <c r="GW52" t="s">
        <v>483</v>
      </c>
      <c r="GY52" t="s">
        <v>561</v>
      </c>
      <c r="GZ52" t="s">
        <v>386</v>
      </c>
    </row>
    <row r="53" spans="1:209" hidden="1" x14ac:dyDescent="0.45">
      <c r="A53">
        <v>47</v>
      </c>
      <c r="B53">
        <f>_xlfn.IFNA(VLOOKUP(AnalizaCzyste[[#This Row],[Zakończono wypełnianie]],Zakończone[],2,0),"BRAK")</f>
        <v>29</v>
      </c>
      <c r="C53">
        <f>COUNTA(I53:HA53)</f>
        <v>33</v>
      </c>
      <c r="D53" t="s">
        <v>571</v>
      </c>
      <c r="E53" t="s">
        <v>572</v>
      </c>
      <c r="F53">
        <v>751</v>
      </c>
      <c r="I53" s="1" t="s">
        <v>416</v>
      </c>
      <c r="J53" t="s">
        <v>445</v>
      </c>
      <c r="K53" t="s">
        <v>148</v>
      </c>
      <c r="L53" t="s">
        <v>573</v>
      </c>
      <c r="M53" t="s">
        <v>162</v>
      </c>
      <c r="N53" t="s">
        <v>128</v>
      </c>
      <c r="O53" t="s">
        <v>151</v>
      </c>
      <c r="P53" t="s">
        <v>237</v>
      </c>
      <c r="Q53" t="s">
        <v>302</v>
      </c>
      <c r="R53" t="s">
        <v>153</v>
      </c>
      <c r="S53" t="s">
        <v>574</v>
      </c>
      <c r="T53" t="s">
        <v>575</v>
      </c>
      <c r="U53" t="s">
        <v>576</v>
      </c>
      <c r="V53" t="s">
        <v>172</v>
      </c>
      <c r="X53">
        <v>6</v>
      </c>
      <c r="Y53" s="1" t="s">
        <v>123</v>
      </c>
      <c r="AA53" t="e">
        <f>VLOOKUP(AnalizaCzyste[[#This Row],[Jak się nazywa uczelnia którą ukończyłeś? (proszę o wybranie jednej uczelni podlegającej ocenie)]],KategorieUczelni[],2,0)</f>
        <v>#N/A</v>
      </c>
      <c r="AR53" s="1" t="s">
        <v>123</v>
      </c>
      <c r="CL53" s="1" t="s">
        <v>123</v>
      </c>
      <c r="CV53" s="1" t="s">
        <v>123</v>
      </c>
      <c r="DF53" s="1" t="s">
        <v>123</v>
      </c>
      <c r="EI53" s="1" t="s">
        <v>123</v>
      </c>
      <c r="FI53" s="1" t="s">
        <v>123</v>
      </c>
      <c r="FJ53" t="s">
        <v>132</v>
      </c>
      <c r="FL53" t="s">
        <v>132</v>
      </c>
      <c r="GQ53" t="s">
        <v>578</v>
      </c>
      <c r="GR53" t="s">
        <v>579</v>
      </c>
      <c r="GS53" t="s">
        <v>580</v>
      </c>
      <c r="GT53" t="s">
        <v>186</v>
      </c>
      <c r="GU53">
        <v>1997</v>
      </c>
      <c r="GV53" t="str">
        <f>VLOOKUP(AnalizaCzyste[[#This Row],[Rok urodzenia]],KategorieWiekowe[],2,1)</f>
        <v>poniżej 26 lat</v>
      </c>
      <c r="GW53" t="s">
        <v>483</v>
      </c>
      <c r="GY53" t="s">
        <v>532</v>
      </c>
    </row>
    <row r="54" spans="1:209" hidden="1" x14ac:dyDescent="0.45">
      <c r="A54">
        <v>50</v>
      </c>
      <c r="B54">
        <f>_xlfn.IFNA(VLOOKUP(AnalizaCzyste[[#This Row],[Zakończono wypełnianie]],Zakończone[],2,0),"BRAK")</f>
        <v>30</v>
      </c>
      <c r="C54">
        <f>COUNTA(I54:HA54)</f>
        <v>31</v>
      </c>
      <c r="D54" t="s">
        <v>586</v>
      </c>
      <c r="E54" t="s">
        <v>587</v>
      </c>
      <c r="F54">
        <v>387</v>
      </c>
      <c r="I54" s="1" t="s">
        <v>416</v>
      </c>
      <c r="J54" t="s">
        <v>445</v>
      </c>
      <c r="K54" t="s">
        <v>148</v>
      </c>
      <c r="L54" t="s">
        <v>588</v>
      </c>
      <c r="M54" t="s">
        <v>162</v>
      </c>
      <c r="N54" t="s">
        <v>150</v>
      </c>
      <c r="O54" t="s">
        <v>162</v>
      </c>
      <c r="P54" t="s">
        <v>589</v>
      </c>
      <c r="Q54" t="s">
        <v>302</v>
      </c>
      <c r="R54" t="s">
        <v>153</v>
      </c>
      <c r="T54" t="s">
        <v>590</v>
      </c>
      <c r="U54" t="s">
        <v>591</v>
      </c>
      <c r="V54" t="s">
        <v>172</v>
      </c>
      <c r="X54">
        <v>6</v>
      </c>
      <c r="Y54" s="1" t="s">
        <v>123</v>
      </c>
      <c r="AA54" t="e">
        <f>VLOOKUP(AnalizaCzyste[[#This Row],[Jak się nazywa uczelnia którą ukończyłeś? (proszę o wybranie jednej uczelni podlegającej ocenie)]],KategorieUczelni[],2,0)</f>
        <v>#N/A</v>
      </c>
      <c r="AR54" s="1" t="s">
        <v>123</v>
      </c>
      <c r="CL54" s="1" t="s">
        <v>123</v>
      </c>
      <c r="CV54" s="1" t="s">
        <v>123</v>
      </c>
      <c r="DF54" s="1" t="s">
        <v>123</v>
      </c>
      <c r="EI54" s="1" t="s">
        <v>123</v>
      </c>
      <c r="FI54" s="1" t="s">
        <v>123</v>
      </c>
      <c r="FJ54" t="s">
        <v>132</v>
      </c>
      <c r="GQ54" t="s">
        <v>592</v>
      </c>
      <c r="GR54" t="s">
        <v>593</v>
      </c>
      <c r="GS54" t="s">
        <v>594</v>
      </c>
      <c r="GT54" t="s">
        <v>140</v>
      </c>
      <c r="GU54">
        <v>1997</v>
      </c>
      <c r="GV54" t="str">
        <f>VLOOKUP(AnalizaCzyste[[#This Row],[Rok urodzenia]],KategorieWiekowe[],2,1)</f>
        <v>poniżej 26 lat</v>
      </c>
      <c r="GW54" t="s">
        <v>141</v>
      </c>
      <c r="GY54" t="s">
        <v>595</v>
      </c>
    </row>
    <row r="55" spans="1:209" hidden="1" x14ac:dyDescent="0.45">
      <c r="A55">
        <v>52</v>
      </c>
      <c r="B55">
        <f>_xlfn.IFNA(VLOOKUP(AnalizaCzyste[[#This Row],[Zakończono wypełnianie]],Zakończone[],2,0),"BRAK")</f>
        <v>31</v>
      </c>
      <c r="C55">
        <f>COUNTA(I55:HA55)</f>
        <v>37</v>
      </c>
      <c r="D55" t="s">
        <v>599</v>
      </c>
      <c r="E55" t="s">
        <v>600</v>
      </c>
      <c r="F55">
        <v>61362</v>
      </c>
      <c r="I55" s="1" t="s">
        <v>123</v>
      </c>
      <c r="Y55" s="1" t="s">
        <v>124</v>
      </c>
      <c r="Z55" t="s">
        <v>445</v>
      </c>
      <c r="AA55" t="str">
        <f>VLOOKUP(AnalizaCzyste[[#This Row],[Jak się nazywa uczelnia którą ukończyłeś? (proszę o wybranie jednej uczelni podlegającej ocenie)]],KategorieUczelni[],2,0)</f>
        <v>Publiczna</v>
      </c>
      <c r="AB55">
        <v>2018</v>
      </c>
      <c r="AC55" t="s">
        <v>148</v>
      </c>
      <c r="AD55" t="s">
        <v>601</v>
      </c>
      <c r="AE55" t="s">
        <v>150</v>
      </c>
      <c r="AF55" t="s">
        <v>162</v>
      </c>
      <c r="AG55" t="s">
        <v>128</v>
      </c>
      <c r="AH55" t="s">
        <v>129</v>
      </c>
      <c r="AI55" t="s">
        <v>132</v>
      </c>
      <c r="AJ55" t="s">
        <v>602</v>
      </c>
      <c r="AK55" t="s">
        <v>131</v>
      </c>
      <c r="AL55" t="s">
        <v>132</v>
      </c>
      <c r="AN55" t="s">
        <v>603</v>
      </c>
      <c r="AO55" t="s">
        <v>604</v>
      </c>
      <c r="AP55" t="s">
        <v>157</v>
      </c>
      <c r="AR55" s="1" t="s">
        <v>123</v>
      </c>
      <c r="CL55" s="1" t="s">
        <v>123</v>
      </c>
      <c r="CV55" s="1" t="s">
        <v>123</v>
      </c>
      <c r="DF55" s="1" t="s">
        <v>123</v>
      </c>
      <c r="EI55" s="1" t="s">
        <v>123</v>
      </c>
      <c r="EJ55" t="s">
        <v>180</v>
      </c>
      <c r="EK55" t="s">
        <v>132</v>
      </c>
      <c r="FI55" s="1" t="s">
        <v>123</v>
      </c>
      <c r="FJ55" t="s">
        <v>132</v>
      </c>
      <c r="FL55" t="s">
        <v>132</v>
      </c>
      <c r="GQ55" t="s">
        <v>605</v>
      </c>
      <c r="GR55" t="s">
        <v>606</v>
      </c>
      <c r="GS55" t="s">
        <v>607</v>
      </c>
      <c r="GT55" t="s">
        <v>140</v>
      </c>
      <c r="GU55">
        <v>1994</v>
      </c>
      <c r="GV55" t="str">
        <f>VLOOKUP(AnalizaCzyste[[#This Row],[Rok urodzenia]],KategorieWiekowe[],2,1)</f>
        <v>26–35 lat</v>
      </c>
      <c r="GW55" t="s">
        <v>483</v>
      </c>
      <c r="GY55" t="s">
        <v>608</v>
      </c>
      <c r="GZ55" t="s">
        <v>609</v>
      </c>
    </row>
    <row r="56" spans="1:209" hidden="1" x14ac:dyDescent="0.45">
      <c r="A56">
        <v>53</v>
      </c>
      <c r="B56">
        <f>_xlfn.IFNA(VLOOKUP(AnalizaCzyste[[#This Row],[Zakończono wypełnianie]],Zakończone[],2,0),"BRAK")</f>
        <v>32</v>
      </c>
      <c r="C56">
        <f>COUNTA(I56:HA56)</f>
        <v>32</v>
      </c>
      <c r="D56" t="s">
        <v>611</v>
      </c>
      <c r="E56" t="s">
        <v>612</v>
      </c>
      <c r="F56">
        <v>551</v>
      </c>
      <c r="I56" s="1" t="s">
        <v>416</v>
      </c>
      <c r="J56" t="s">
        <v>445</v>
      </c>
      <c r="K56" t="s">
        <v>148</v>
      </c>
      <c r="L56" t="s">
        <v>613</v>
      </c>
      <c r="M56" t="s">
        <v>150</v>
      </c>
      <c r="N56" t="s">
        <v>150</v>
      </c>
      <c r="O56" t="s">
        <v>151</v>
      </c>
      <c r="P56" t="s">
        <v>530</v>
      </c>
      <c r="Q56" t="s">
        <v>131</v>
      </c>
      <c r="R56" t="s">
        <v>302</v>
      </c>
      <c r="S56" t="s">
        <v>614</v>
      </c>
      <c r="T56" t="s">
        <v>615</v>
      </c>
      <c r="U56" t="s">
        <v>616</v>
      </c>
      <c r="V56" t="s">
        <v>172</v>
      </c>
      <c r="X56">
        <v>6</v>
      </c>
      <c r="Y56" s="1" t="s">
        <v>123</v>
      </c>
      <c r="AA56" t="e">
        <f>VLOOKUP(AnalizaCzyste[[#This Row],[Jak się nazywa uczelnia którą ukończyłeś? (proszę o wybranie jednej uczelni podlegającej ocenie)]],KategorieUczelni[],2,0)</f>
        <v>#N/A</v>
      </c>
      <c r="AR56" s="1" t="s">
        <v>123</v>
      </c>
      <c r="CL56" s="1" t="s">
        <v>123</v>
      </c>
      <c r="CV56" s="1" t="s">
        <v>123</v>
      </c>
      <c r="DF56" s="1" t="s">
        <v>123</v>
      </c>
      <c r="EI56" s="1" t="s">
        <v>123</v>
      </c>
      <c r="FI56" s="1" t="s">
        <v>123</v>
      </c>
      <c r="FJ56" t="s">
        <v>132</v>
      </c>
      <c r="GQ56" t="s">
        <v>617</v>
      </c>
      <c r="GR56" t="s">
        <v>618</v>
      </c>
      <c r="GS56" t="s">
        <v>619</v>
      </c>
      <c r="GT56" t="s">
        <v>140</v>
      </c>
      <c r="GU56">
        <v>1998</v>
      </c>
      <c r="GV56" t="str">
        <f>VLOOKUP(AnalizaCzyste[[#This Row],[Rok urodzenia]],KategorieWiekowe[],2,1)</f>
        <v>poniżej 26 lat</v>
      </c>
      <c r="GW56" t="s">
        <v>398</v>
      </c>
      <c r="GY56" t="s">
        <v>620</v>
      </c>
    </row>
    <row r="57" spans="1:209" hidden="1" x14ac:dyDescent="0.45">
      <c r="A57">
        <v>54</v>
      </c>
      <c r="B57">
        <f>_xlfn.IFNA(VLOOKUP(AnalizaCzyste[[#This Row],[Zakończono wypełnianie]],Zakończone[],2,0),"BRAK")</f>
        <v>33</v>
      </c>
      <c r="C57">
        <f>COUNTA(I57:HA57)</f>
        <v>32</v>
      </c>
      <c r="D57" t="s">
        <v>622</v>
      </c>
      <c r="E57" t="s">
        <v>623</v>
      </c>
      <c r="F57">
        <v>595</v>
      </c>
      <c r="I57" s="1" t="s">
        <v>416</v>
      </c>
      <c r="J57" t="s">
        <v>445</v>
      </c>
      <c r="K57" t="s">
        <v>148</v>
      </c>
      <c r="L57" t="s">
        <v>624</v>
      </c>
      <c r="M57" t="s">
        <v>150</v>
      </c>
      <c r="N57" t="s">
        <v>150</v>
      </c>
      <c r="O57" t="s">
        <v>169</v>
      </c>
      <c r="P57">
        <v>12</v>
      </c>
      <c r="Q57" t="s">
        <v>302</v>
      </c>
      <c r="R57" t="s">
        <v>226</v>
      </c>
      <c r="T57" t="s">
        <v>625</v>
      </c>
      <c r="U57" t="s">
        <v>626</v>
      </c>
      <c r="V57" t="s">
        <v>172</v>
      </c>
      <c r="X57">
        <v>4</v>
      </c>
      <c r="Y57" s="1" t="s">
        <v>123</v>
      </c>
      <c r="AA57" t="e">
        <f>VLOOKUP(AnalizaCzyste[[#This Row],[Jak się nazywa uczelnia którą ukończyłeś? (proszę o wybranie jednej uczelni podlegającej ocenie)]],KategorieUczelni[],2,0)</f>
        <v>#N/A</v>
      </c>
      <c r="AR57" s="1" t="s">
        <v>123</v>
      </c>
      <c r="CL57" s="1" t="s">
        <v>123</v>
      </c>
      <c r="CV57" s="1" t="s">
        <v>123</v>
      </c>
      <c r="DF57" s="1" t="s">
        <v>123</v>
      </c>
      <c r="EI57" s="1" t="s">
        <v>123</v>
      </c>
      <c r="FI57" s="1" t="s">
        <v>123</v>
      </c>
      <c r="FJ57" t="s">
        <v>132</v>
      </c>
      <c r="GQ57" t="s">
        <v>627</v>
      </c>
      <c r="GR57" t="s">
        <v>628</v>
      </c>
      <c r="GS57" t="s">
        <v>629</v>
      </c>
      <c r="GT57" t="s">
        <v>186</v>
      </c>
      <c r="GU57" t="s">
        <v>630</v>
      </c>
      <c r="GV57" t="e">
        <f>VLOOKUP(AnalizaCzyste[[#This Row],[Rok urodzenia]],KategorieWiekowe[],2,1)</f>
        <v>#N/A</v>
      </c>
      <c r="GW57" t="s">
        <v>398</v>
      </c>
      <c r="GY57" t="s">
        <v>631</v>
      </c>
      <c r="GZ57" t="s">
        <v>632</v>
      </c>
    </row>
    <row r="58" spans="1:209" hidden="1" x14ac:dyDescent="0.45">
      <c r="A58">
        <v>58</v>
      </c>
      <c r="B58">
        <f>_xlfn.IFNA(VLOOKUP(AnalizaCzyste[[#This Row],[Zakończono wypełnianie]],Zakończone[],2,0),"BRAK")</f>
        <v>34</v>
      </c>
      <c r="C58">
        <f>COUNTA(I58:HA58)</f>
        <v>30</v>
      </c>
      <c r="D58" t="s">
        <v>646</v>
      </c>
      <c r="E58" t="s">
        <v>647</v>
      </c>
      <c r="F58">
        <v>551</v>
      </c>
      <c r="I58" s="1" t="s">
        <v>416</v>
      </c>
      <c r="J58" t="s">
        <v>160</v>
      </c>
      <c r="K58" t="s">
        <v>148</v>
      </c>
      <c r="L58" t="s">
        <v>648</v>
      </c>
      <c r="M58" t="s">
        <v>128</v>
      </c>
      <c r="N58" t="s">
        <v>162</v>
      </c>
      <c r="O58" t="s">
        <v>162</v>
      </c>
      <c r="P58" t="s">
        <v>237</v>
      </c>
      <c r="Q58" t="s">
        <v>302</v>
      </c>
      <c r="R58" t="s">
        <v>153</v>
      </c>
      <c r="T58" t="s">
        <v>649</v>
      </c>
      <c r="U58" t="s">
        <v>650</v>
      </c>
      <c r="V58" t="s">
        <v>157</v>
      </c>
      <c r="X58">
        <v>8</v>
      </c>
      <c r="Y58" s="1" t="s">
        <v>123</v>
      </c>
      <c r="AA58" t="e">
        <f>VLOOKUP(AnalizaCzyste[[#This Row],[Jak się nazywa uczelnia którą ukończyłeś? (proszę o wybranie jednej uczelni podlegającej ocenie)]],KategorieUczelni[],2,0)</f>
        <v>#N/A</v>
      </c>
      <c r="AR58" s="1" t="s">
        <v>123</v>
      </c>
      <c r="CL58" s="1" t="s">
        <v>123</v>
      </c>
      <c r="CV58" s="1" t="s">
        <v>123</v>
      </c>
      <c r="DF58" s="1" t="s">
        <v>123</v>
      </c>
      <c r="EI58" s="1" t="s">
        <v>123</v>
      </c>
      <c r="FI58" s="1" t="s">
        <v>123</v>
      </c>
      <c r="FJ58" t="s">
        <v>132</v>
      </c>
      <c r="GQ58" t="s">
        <v>651</v>
      </c>
      <c r="GR58" t="s">
        <v>652</v>
      </c>
      <c r="GS58" t="s">
        <v>653</v>
      </c>
      <c r="GT58" t="s">
        <v>140</v>
      </c>
      <c r="GU58">
        <v>1998</v>
      </c>
      <c r="GV58" t="str">
        <f>VLOOKUP(AnalizaCzyste[[#This Row],[Rok urodzenia]],KategorieWiekowe[],2,1)</f>
        <v>poniżej 26 lat</v>
      </c>
      <c r="GW58" t="s">
        <v>141</v>
      </c>
    </row>
    <row r="59" spans="1:209" hidden="1" x14ac:dyDescent="0.45">
      <c r="A59">
        <v>60</v>
      </c>
      <c r="B59">
        <f>_xlfn.IFNA(VLOOKUP(AnalizaCzyste[[#This Row],[Zakończono wypełnianie]],Zakończone[],2,0),"BRAK")</f>
        <v>35</v>
      </c>
      <c r="C59">
        <f>COUNTA(I59:HA59)</f>
        <v>41</v>
      </c>
      <c r="D59" t="s">
        <v>657</v>
      </c>
      <c r="E59" t="s">
        <v>658</v>
      </c>
      <c r="F59">
        <v>770</v>
      </c>
      <c r="I59" s="1" t="s">
        <v>123</v>
      </c>
      <c r="Y59" s="1" t="s">
        <v>124</v>
      </c>
      <c r="Z59" t="s">
        <v>445</v>
      </c>
      <c r="AA59" t="str">
        <f>VLOOKUP(AnalizaCzyste[[#This Row],[Jak się nazywa uczelnia którą ukończyłeś? (proszę o wybranie jednej uczelni podlegającej ocenie)]],KategorieUczelni[],2,0)</f>
        <v>Publiczna</v>
      </c>
      <c r="AB59" t="s">
        <v>659</v>
      </c>
      <c r="AC59" t="s">
        <v>148</v>
      </c>
      <c r="AD59" t="s">
        <v>660</v>
      </c>
      <c r="AE59" t="s">
        <v>169</v>
      </c>
      <c r="AF59" t="s">
        <v>169</v>
      </c>
      <c r="AG59" t="s">
        <v>169</v>
      </c>
      <c r="AH59" t="s">
        <v>150</v>
      </c>
      <c r="AI59" t="s">
        <v>132</v>
      </c>
      <c r="AJ59" t="s">
        <v>661</v>
      </c>
      <c r="AK59" t="s">
        <v>302</v>
      </c>
      <c r="AL59" t="s">
        <v>132</v>
      </c>
      <c r="AN59" t="s">
        <v>662</v>
      </c>
      <c r="AO59" t="s">
        <v>663</v>
      </c>
      <c r="AP59" t="s">
        <v>157</v>
      </c>
      <c r="AQ59" t="s">
        <v>664</v>
      </c>
      <c r="AR59" s="1" t="s">
        <v>123</v>
      </c>
      <c r="CL59" s="1" t="s">
        <v>123</v>
      </c>
      <c r="CV59" s="1" t="s">
        <v>214</v>
      </c>
      <c r="CW59" t="s">
        <v>445</v>
      </c>
      <c r="CX59" t="s">
        <v>518</v>
      </c>
      <c r="CY59" t="s">
        <v>169</v>
      </c>
      <c r="CZ59" t="s">
        <v>169</v>
      </c>
      <c r="DA59" t="s">
        <v>169</v>
      </c>
      <c r="DB59" t="s">
        <v>169</v>
      </c>
      <c r="DC59" t="s">
        <v>169</v>
      </c>
      <c r="DD59" t="s">
        <v>150</v>
      </c>
      <c r="DF59" s="1" t="s">
        <v>123</v>
      </c>
      <c r="EI59" s="1" t="s">
        <v>123</v>
      </c>
      <c r="FI59" s="1" t="s">
        <v>123</v>
      </c>
      <c r="FJ59" t="s">
        <v>132</v>
      </c>
      <c r="GQ59" t="s">
        <v>665</v>
      </c>
      <c r="GR59" t="s">
        <v>666</v>
      </c>
      <c r="GS59" t="s">
        <v>667</v>
      </c>
      <c r="GT59" t="s">
        <v>140</v>
      </c>
      <c r="GU59">
        <v>1989</v>
      </c>
      <c r="GV59" t="str">
        <f>VLOOKUP(AnalizaCzyste[[#This Row],[Rok urodzenia]],KategorieWiekowe[],2,1)</f>
        <v>26–35 lat</v>
      </c>
      <c r="GW59" t="s">
        <v>141</v>
      </c>
    </row>
    <row r="60" spans="1:209" hidden="1" x14ac:dyDescent="0.45">
      <c r="A60">
        <v>61</v>
      </c>
      <c r="B60">
        <f>_xlfn.IFNA(VLOOKUP(AnalizaCzyste[[#This Row],[Zakończono wypełnianie]],Zakończone[],2,0),"BRAK")</f>
        <v>36</v>
      </c>
      <c r="C60">
        <f>COUNTA(I60:HA60)</f>
        <v>36</v>
      </c>
      <c r="D60" t="s">
        <v>669</v>
      </c>
      <c r="E60" t="s">
        <v>670</v>
      </c>
      <c r="F60">
        <v>463</v>
      </c>
      <c r="I60" s="1" t="s">
        <v>123</v>
      </c>
      <c r="Y60" s="1" t="s">
        <v>124</v>
      </c>
      <c r="Z60" t="s">
        <v>445</v>
      </c>
      <c r="AA60" t="str">
        <f>VLOOKUP(AnalizaCzyste[[#This Row],[Jak się nazywa uczelnia którą ukończyłeś? (proszę o wybranie jednej uczelni podlegającej ocenie)]],KategorieUczelni[],2,0)</f>
        <v>Publiczna</v>
      </c>
      <c r="AB60">
        <v>2019</v>
      </c>
      <c r="AC60" t="s">
        <v>148</v>
      </c>
      <c r="AD60" t="s">
        <v>601</v>
      </c>
      <c r="AE60" t="s">
        <v>162</v>
      </c>
      <c r="AF60" t="s">
        <v>162</v>
      </c>
      <c r="AG60" t="s">
        <v>129</v>
      </c>
      <c r="AH60" t="s">
        <v>129</v>
      </c>
      <c r="AI60" t="s">
        <v>129</v>
      </c>
      <c r="AJ60">
        <v>4</v>
      </c>
      <c r="AK60" t="s">
        <v>152</v>
      </c>
      <c r="AL60" t="s">
        <v>131</v>
      </c>
      <c r="AM60" t="s">
        <v>671</v>
      </c>
      <c r="AN60" t="s">
        <v>672</v>
      </c>
      <c r="AO60" t="s">
        <v>673</v>
      </c>
      <c r="AP60" t="s">
        <v>157</v>
      </c>
      <c r="AR60" s="1" t="s">
        <v>123</v>
      </c>
      <c r="CL60" s="1" t="s">
        <v>123</v>
      </c>
      <c r="CV60" s="1" t="s">
        <v>123</v>
      </c>
      <c r="DF60" s="1" t="s">
        <v>123</v>
      </c>
      <c r="EI60" s="1" t="s">
        <v>123</v>
      </c>
      <c r="EJ60" t="s">
        <v>180</v>
      </c>
      <c r="EK60" t="s">
        <v>132</v>
      </c>
      <c r="FI60" s="1" t="s">
        <v>123</v>
      </c>
      <c r="FJ60" t="s">
        <v>132</v>
      </c>
      <c r="FL60" t="s">
        <v>132</v>
      </c>
      <c r="GQ60" t="s">
        <v>674</v>
      </c>
      <c r="GR60" t="s">
        <v>675</v>
      </c>
      <c r="GS60" t="s">
        <v>676</v>
      </c>
      <c r="GT60" t="s">
        <v>140</v>
      </c>
      <c r="GU60">
        <v>1994</v>
      </c>
      <c r="GV60" t="str">
        <f>VLOOKUP(AnalizaCzyste[[#This Row],[Rok urodzenia]],KategorieWiekowe[],2,1)</f>
        <v>26–35 lat</v>
      </c>
      <c r="GW60" t="s">
        <v>483</v>
      </c>
    </row>
    <row r="61" spans="1:209" hidden="1" x14ac:dyDescent="0.45">
      <c r="A61">
        <v>63</v>
      </c>
      <c r="B61">
        <f>_xlfn.IFNA(VLOOKUP(AnalizaCzyste[[#This Row],[Zakończono wypełnianie]],Zakończone[],2,0),"BRAK")</f>
        <v>37</v>
      </c>
      <c r="C61">
        <f>COUNTA(I61:HA61)</f>
        <v>38</v>
      </c>
      <c r="D61" t="s">
        <v>680</v>
      </c>
      <c r="E61" t="s">
        <v>681</v>
      </c>
      <c r="F61">
        <v>770</v>
      </c>
      <c r="I61" s="1" t="s">
        <v>123</v>
      </c>
      <c r="Y61" s="1" t="s">
        <v>124</v>
      </c>
      <c r="Z61" s="20" t="s">
        <v>445</v>
      </c>
      <c r="AA61" s="20" t="str">
        <f>VLOOKUP(AnalizaCzyste[[#This Row],[Jak się nazywa uczelnia którą ukończyłeś? (proszę o wybranie jednej uczelni podlegającej ocenie)]],KategorieUczelni[],2,0)</f>
        <v>Publiczna</v>
      </c>
      <c r="AB61">
        <v>2017</v>
      </c>
      <c r="AC61" t="s">
        <v>148</v>
      </c>
      <c r="AD61" t="s">
        <v>601</v>
      </c>
      <c r="AE61" t="s">
        <v>169</v>
      </c>
      <c r="AF61" t="s">
        <v>169</v>
      </c>
      <c r="AG61" t="s">
        <v>150</v>
      </c>
      <c r="AH61" t="s">
        <v>236</v>
      </c>
      <c r="AI61" t="s">
        <v>169</v>
      </c>
      <c r="AJ61" t="s">
        <v>683</v>
      </c>
      <c r="AK61" t="s">
        <v>131</v>
      </c>
      <c r="AL61" t="s">
        <v>153</v>
      </c>
      <c r="AM61" t="s">
        <v>684</v>
      </c>
      <c r="AN61" t="s">
        <v>685</v>
      </c>
      <c r="AO61" t="s">
        <v>686</v>
      </c>
      <c r="AP61" t="s">
        <v>157</v>
      </c>
      <c r="AR61" s="1" t="s">
        <v>123</v>
      </c>
      <c r="CL61" s="1" t="s">
        <v>123</v>
      </c>
      <c r="CV61" s="1" t="s">
        <v>123</v>
      </c>
      <c r="DF61" s="1" t="s">
        <v>123</v>
      </c>
      <c r="EI61" s="1" t="s">
        <v>123</v>
      </c>
      <c r="EJ61" t="s">
        <v>180</v>
      </c>
      <c r="EK61" t="s">
        <v>132</v>
      </c>
      <c r="FI61" s="1" t="s">
        <v>123</v>
      </c>
      <c r="FJ61" t="s">
        <v>132</v>
      </c>
      <c r="FL61" t="s">
        <v>132</v>
      </c>
      <c r="GQ61" t="s">
        <v>687</v>
      </c>
      <c r="GR61" t="s">
        <v>688</v>
      </c>
      <c r="GS61" t="s">
        <v>689</v>
      </c>
      <c r="GT61" t="s">
        <v>140</v>
      </c>
      <c r="GU61">
        <v>1994</v>
      </c>
      <c r="GV61" t="str">
        <f>VLOOKUP(AnalizaCzyste[[#This Row],[Rok urodzenia]],KategorieWiekowe[],2,1)</f>
        <v>26–35 lat</v>
      </c>
      <c r="GW61" t="s">
        <v>246</v>
      </c>
      <c r="GY61" t="s">
        <v>142</v>
      </c>
      <c r="GZ61" t="s">
        <v>142</v>
      </c>
    </row>
    <row r="62" spans="1:209" hidden="1" x14ac:dyDescent="0.45">
      <c r="A62">
        <v>67</v>
      </c>
      <c r="B62">
        <f>_xlfn.IFNA(VLOOKUP(AnalizaCzyste[[#This Row],[Zakończono wypełnianie]],Zakończone[],2,0),"BRAK")</f>
        <v>38</v>
      </c>
      <c r="C62">
        <f>COUNTA(I62:HA62)</f>
        <v>36</v>
      </c>
      <c r="D62" t="s">
        <v>699</v>
      </c>
      <c r="E62" t="s">
        <v>700</v>
      </c>
      <c r="F62">
        <v>1910</v>
      </c>
      <c r="G62" s="20"/>
      <c r="H62" s="20"/>
      <c r="I62" s="1" t="s">
        <v>123</v>
      </c>
      <c r="Y62" s="1" t="s">
        <v>124</v>
      </c>
      <c r="Z62" t="s">
        <v>701</v>
      </c>
      <c r="AA62" t="str">
        <f>VLOOKUP(AnalizaCzyste[[#This Row],[Jak się nazywa uczelnia którą ukończyłeś? (proszę o wybranie jednej uczelni podlegającej ocenie)]],KategorieUczelni[],2,0)</f>
        <v>Publiczna</v>
      </c>
      <c r="AB62">
        <v>2020</v>
      </c>
      <c r="AC62" t="s">
        <v>148</v>
      </c>
      <c r="AD62" t="s">
        <v>702</v>
      </c>
      <c r="AE62" t="s">
        <v>162</v>
      </c>
      <c r="AF62" t="s">
        <v>162</v>
      </c>
      <c r="AG62" t="s">
        <v>236</v>
      </c>
      <c r="AH62" t="s">
        <v>236</v>
      </c>
      <c r="AI62" t="s">
        <v>132</v>
      </c>
      <c r="AJ62" t="s">
        <v>703</v>
      </c>
      <c r="AK62" t="s">
        <v>131</v>
      </c>
      <c r="AL62" t="s">
        <v>132</v>
      </c>
      <c r="AM62" t="s">
        <v>704</v>
      </c>
      <c r="AN62" t="s">
        <v>705</v>
      </c>
      <c r="AO62" t="s">
        <v>706</v>
      </c>
      <c r="AP62" t="s">
        <v>157</v>
      </c>
      <c r="AR62" s="1" t="s">
        <v>123</v>
      </c>
      <c r="CL62" s="1" t="s">
        <v>123</v>
      </c>
      <c r="CV62" s="1" t="s">
        <v>123</v>
      </c>
      <c r="DF62" s="1" t="s">
        <v>123</v>
      </c>
      <c r="EI62" s="1" t="s">
        <v>123</v>
      </c>
      <c r="EJ62" t="s">
        <v>180</v>
      </c>
      <c r="EK62" t="s">
        <v>132</v>
      </c>
      <c r="FI62" s="1" t="s">
        <v>123</v>
      </c>
      <c r="FJ62" t="s">
        <v>132</v>
      </c>
      <c r="FL62" t="s">
        <v>132</v>
      </c>
      <c r="GQ62" t="s">
        <v>707</v>
      </c>
      <c r="GR62" t="s">
        <v>708</v>
      </c>
      <c r="GS62" t="s">
        <v>709</v>
      </c>
      <c r="GT62" t="s">
        <v>140</v>
      </c>
      <c r="GU62">
        <v>1994</v>
      </c>
      <c r="GV62" t="str">
        <f>VLOOKUP(AnalizaCzyste[[#This Row],[Rok urodzenia]],KategorieWiekowe[],2,1)</f>
        <v>26–35 lat</v>
      </c>
      <c r="GW62" t="s">
        <v>220</v>
      </c>
    </row>
    <row r="63" spans="1:209" hidden="1" x14ac:dyDescent="0.45">
      <c r="A63">
        <v>76</v>
      </c>
      <c r="B63">
        <f>_xlfn.IFNA(VLOOKUP(AnalizaCzyste[[#This Row],[Zakończono wypełnianie]],Zakończone[],2,0),"BRAK")</f>
        <v>42</v>
      </c>
      <c r="C63">
        <f>COUNTA(I63:HA63)</f>
        <v>54</v>
      </c>
      <c r="D63" t="s">
        <v>775</v>
      </c>
      <c r="E63" t="s">
        <v>776</v>
      </c>
      <c r="F63">
        <v>1636</v>
      </c>
      <c r="I63" s="1" t="s">
        <v>123</v>
      </c>
      <c r="Y63" s="1" t="s">
        <v>124</v>
      </c>
      <c r="Z63" t="s">
        <v>1461</v>
      </c>
      <c r="AA63" t="str">
        <f>VLOOKUP(AnalizaCzyste[[#This Row],[Jak się nazywa uczelnia którą ukończyłeś? (proszę o wybranie jednej uczelni podlegającej ocenie)]],KategorieUczelni[],2,0)</f>
        <v>Publiczna</v>
      </c>
      <c r="AB63">
        <v>2013</v>
      </c>
      <c r="AC63" t="s">
        <v>148</v>
      </c>
      <c r="AD63" t="s">
        <v>429</v>
      </c>
      <c r="AE63" t="s">
        <v>128</v>
      </c>
      <c r="AF63" t="s">
        <v>151</v>
      </c>
      <c r="AG63" t="s">
        <v>162</v>
      </c>
      <c r="AH63" t="s">
        <v>129</v>
      </c>
      <c r="AI63" t="s">
        <v>236</v>
      </c>
      <c r="AJ63">
        <v>0</v>
      </c>
      <c r="AK63" t="s">
        <v>131</v>
      </c>
      <c r="AL63" t="s">
        <v>131</v>
      </c>
      <c r="AM63" t="s">
        <v>778</v>
      </c>
      <c r="AN63" t="s">
        <v>779</v>
      </c>
      <c r="AO63" t="s">
        <v>780</v>
      </c>
      <c r="AP63" t="s">
        <v>157</v>
      </c>
      <c r="AR63" s="1" t="s">
        <v>123</v>
      </c>
      <c r="CL63" s="1" t="s">
        <v>123</v>
      </c>
      <c r="CV63" s="1" t="s">
        <v>214</v>
      </c>
      <c r="CW63" t="s">
        <v>1461</v>
      </c>
      <c r="CX63" t="s">
        <v>781</v>
      </c>
      <c r="CY63" t="s">
        <v>129</v>
      </c>
      <c r="CZ63" t="s">
        <v>150</v>
      </c>
      <c r="DA63" t="s">
        <v>129</v>
      </c>
      <c r="DB63" t="s">
        <v>236</v>
      </c>
      <c r="DC63" t="s">
        <v>151</v>
      </c>
      <c r="DD63" t="s">
        <v>151</v>
      </c>
      <c r="DE63" t="s">
        <v>782</v>
      </c>
      <c r="DF63" s="1" t="s">
        <v>123</v>
      </c>
      <c r="EI63" s="1" t="s">
        <v>177</v>
      </c>
      <c r="EJ63" t="s">
        <v>180</v>
      </c>
      <c r="EK63">
        <v>1</v>
      </c>
      <c r="EL63" t="s">
        <v>783</v>
      </c>
      <c r="EM63" t="s">
        <v>150</v>
      </c>
      <c r="EN63" t="s">
        <v>150</v>
      </c>
      <c r="EO63" t="s">
        <v>236</v>
      </c>
      <c r="EP63" t="s">
        <v>178</v>
      </c>
      <c r="EQ63" t="s">
        <v>784</v>
      </c>
      <c r="ER63" t="s">
        <v>785</v>
      </c>
      <c r="ES63" t="s">
        <v>173</v>
      </c>
      <c r="FI63" s="1" t="s">
        <v>123</v>
      </c>
      <c r="FJ63" t="s">
        <v>132</v>
      </c>
      <c r="GQ63" t="s">
        <v>786</v>
      </c>
      <c r="GR63" t="s">
        <v>787</v>
      </c>
      <c r="GS63" t="s">
        <v>788</v>
      </c>
      <c r="GT63" t="s">
        <v>140</v>
      </c>
      <c r="GU63">
        <v>1988</v>
      </c>
      <c r="GV63" t="str">
        <f>VLOOKUP(AnalizaCzyste[[#This Row],[Rok urodzenia]],KategorieWiekowe[],2,1)</f>
        <v>26–35 lat</v>
      </c>
      <c r="GW63" t="s">
        <v>246</v>
      </c>
      <c r="GY63" t="s">
        <v>789</v>
      </c>
      <c r="HA63" t="s">
        <v>790</v>
      </c>
    </row>
    <row r="64" spans="1:209" hidden="1" x14ac:dyDescent="0.45">
      <c r="A64">
        <v>77</v>
      </c>
      <c r="B64">
        <f>_xlfn.IFNA(VLOOKUP(AnalizaCzyste[[#This Row],[Zakończono wypełnianie]],Zakończone[],2,0),"BRAK")</f>
        <v>43</v>
      </c>
      <c r="C64">
        <f>COUNTA(I64:HA64)</f>
        <v>34</v>
      </c>
      <c r="D64" t="s">
        <v>791</v>
      </c>
      <c r="E64" t="s">
        <v>792</v>
      </c>
      <c r="F64">
        <v>333</v>
      </c>
      <c r="I64" s="1" t="s">
        <v>123</v>
      </c>
      <c r="Y64" s="1" t="s">
        <v>124</v>
      </c>
      <c r="Z64" t="s">
        <v>223</v>
      </c>
      <c r="AA64" t="str">
        <f>VLOOKUP(AnalizaCzyste[[#This Row],[Jak się nazywa uczelnia którą ukończyłeś? (proszę o wybranie jednej uczelni podlegającej ocenie)]],KategorieUczelni[],2,0)</f>
        <v>Publiczna</v>
      </c>
      <c r="AB64">
        <v>2012</v>
      </c>
      <c r="AC64" t="s">
        <v>148</v>
      </c>
      <c r="AD64" t="s">
        <v>793</v>
      </c>
      <c r="AE64" t="s">
        <v>151</v>
      </c>
      <c r="AF64" t="s">
        <v>151</v>
      </c>
      <c r="AG64" t="s">
        <v>129</v>
      </c>
      <c r="AH64" t="s">
        <v>129</v>
      </c>
      <c r="AI64" t="s">
        <v>128</v>
      </c>
      <c r="AJ64">
        <v>3</v>
      </c>
      <c r="AK64" t="s">
        <v>131</v>
      </c>
      <c r="AL64" t="s">
        <v>302</v>
      </c>
      <c r="AM64" t="s">
        <v>386</v>
      </c>
      <c r="AN64" t="s">
        <v>794</v>
      </c>
      <c r="AO64" t="s">
        <v>780</v>
      </c>
      <c r="AP64" t="s">
        <v>157</v>
      </c>
      <c r="AR64" s="1" t="s">
        <v>123</v>
      </c>
      <c r="CL64" s="1" t="s">
        <v>123</v>
      </c>
      <c r="CV64" s="1" t="s">
        <v>123</v>
      </c>
      <c r="DF64" s="1" t="s">
        <v>123</v>
      </c>
      <c r="EI64" s="1" t="s">
        <v>123</v>
      </c>
      <c r="FI64" s="1" t="s">
        <v>123</v>
      </c>
      <c r="FJ64" t="s">
        <v>132</v>
      </c>
      <c r="GQ64" t="s">
        <v>786</v>
      </c>
      <c r="GR64" t="s">
        <v>787</v>
      </c>
      <c r="GS64" t="s">
        <v>788</v>
      </c>
      <c r="GT64" t="s">
        <v>186</v>
      </c>
      <c r="GU64">
        <v>1987</v>
      </c>
      <c r="GV64" t="str">
        <f>VLOOKUP(AnalizaCzyste[[#This Row],[Rok urodzenia]],KategorieWiekowe[],2,1)</f>
        <v>26–35 lat</v>
      </c>
      <c r="GW64" t="s">
        <v>141</v>
      </c>
      <c r="GY64" t="s">
        <v>795</v>
      </c>
    </row>
    <row r="65" spans="1:208" hidden="1" x14ac:dyDescent="0.45">
      <c r="A65">
        <v>78</v>
      </c>
      <c r="B65">
        <f>_xlfn.IFNA(VLOOKUP(AnalizaCzyste[[#This Row],[Zakończono wypełnianie]],Zakończone[],2,0),"BRAK")</f>
        <v>44</v>
      </c>
      <c r="C65">
        <f>COUNTA(I65:HA65)</f>
        <v>35</v>
      </c>
      <c r="D65" t="s">
        <v>798</v>
      </c>
      <c r="E65" t="s">
        <v>799</v>
      </c>
      <c r="F65">
        <v>2364</v>
      </c>
      <c r="I65" s="1" t="s">
        <v>123</v>
      </c>
      <c r="Y65" s="1" t="s">
        <v>124</v>
      </c>
      <c r="Z65" t="s">
        <v>800</v>
      </c>
      <c r="AA65" t="str">
        <f>VLOOKUP(AnalizaCzyste[[#This Row],[Jak się nazywa uczelnia którą ukończyłeś? (proszę o wybranie jednej uczelni podlegającej ocenie)]],KategorieUczelni[],2,0)</f>
        <v>Publiczna</v>
      </c>
      <c r="AB65">
        <v>2002</v>
      </c>
      <c r="AC65" t="s">
        <v>126</v>
      </c>
      <c r="AD65" t="s">
        <v>801</v>
      </c>
      <c r="AE65" t="s">
        <v>150</v>
      </c>
      <c r="AF65" t="s">
        <v>162</v>
      </c>
      <c r="AG65" t="s">
        <v>151</v>
      </c>
      <c r="AH65" t="s">
        <v>129</v>
      </c>
      <c r="AI65" t="s">
        <v>236</v>
      </c>
      <c r="AJ65">
        <v>3</v>
      </c>
      <c r="AK65" t="s">
        <v>152</v>
      </c>
      <c r="AL65" t="s">
        <v>152</v>
      </c>
      <c r="AM65" t="s">
        <v>802</v>
      </c>
      <c r="AN65" t="s">
        <v>803</v>
      </c>
      <c r="AO65" t="s">
        <v>804</v>
      </c>
      <c r="AP65" t="s">
        <v>157</v>
      </c>
      <c r="AR65" s="1" t="s">
        <v>123</v>
      </c>
      <c r="CL65" s="1" t="s">
        <v>123</v>
      </c>
      <c r="CV65" s="1" t="s">
        <v>123</v>
      </c>
      <c r="DF65" s="1" t="s">
        <v>123</v>
      </c>
      <c r="EI65" s="1" t="s">
        <v>123</v>
      </c>
      <c r="FI65" s="1" t="s">
        <v>123</v>
      </c>
      <c r="FJ65" t="s">
        <v>132</v>
      </c>
      <c r="GQ65" t="s">
        <v>805</v>
      </c>
      <c r="GR65" t="s">
        <v>806</v>
      </c>
      <c r="GS65" t="s">
        <v>807</v>
      </c>
      <c r="GT65" t="s">
        <v>140</v>
      </c>
      <c r="GU65">
        <v>1978</v>
      </c>
      <c r="GV65" t="str">
        <f>VLOOKUP(AnalizaCzyste[[#This Row],[Rok urodzenia]],KategorieWiekowe[],2,1)</f>
        <v>36–45 lat</v>
      </c>
      <c r="GW65" t="s">
        <v>141</v>
      </c>
      <c r="GY65" t="s">
        <v>386</v>
      </c>
      <c r="GZ65" t="s">
        <v>386</v>
      </c>
    </row>
    <row r="66" spans="1:208" hidden="1" x14ac:dyDescent="0.45">
      <c r="A66">
        <v>80</v>
      </c>
      <c r="B66">
        <f>_xlfn.IFNA(VLOOKUP(AnalizaCzyste[[#This Row],[Zakończono wypełnianie]],Zakończone[],2,0),"BRAK")</f>
        <v>45</v>
      </c>
      <c r="C66">
        <f>COUNTA(I66:HA66)</f>
        <v>36</v>
      </c>
      <c r="D66" t="s">
        <v>811</v>
      </c>
      <c r="E66" t="s">
        <v>812</v>
      </c>
      <c r="F66">
        <v>1671</v>
      </c>
      <c r="I66" s="1" t="s">
        <v>123</v>
      </c>
      <c r="Y66" s="1" t="s">
        <v>124</v>
      </c>
      <c r="Z66" t="s">
        <v>813</v>
      </c>
      <c r="AA66" t="str">
        <f>VLOOKUP(AnalizaCzyste[[#This Row],[Jak się nazywa uczelnia którą ukończyłeś? (proszę o wybranie jednej uczelni podlegającej ocenie)]],KategorieUczelni[],2,0)</f>
        <v>Publiczna</v>
      </c>
      <c r="AB66">
        <v>1956</v>
      </c>
      <c r="AC66" t="s">
        <v>148</v>
      </c>
      <c r="AD66" t="s">
        <v>601</v>
      </c>
      <c r="AE66" t="s">
        <v>162</v>
      </c>
      <c r="AF66" t="s">
        <v>162</v>
      </c>
      <c r="AG66" t="s">
        <v>150</v>
      </c>
      <c r="AH66" t="s">
        <v>236</v>
      </c>
      <c r="AI66" t="s">
        <v>236</v>
      </c>
      <c r="AJ66" t="s">
        <v>814</v>
      </c>
      <c r="AK66" t="s">
        <v>131</v>
      </c>
      <c r="AL66" t="s">
        <v>131</v>
      </c>
      <c r="AN66" t="s">
        <v>815</v>
      </c>
      <c r="AO66" t="s">
        <v>816</v>
      </c>
      <c r="AP66" t="s">
        <v>172</v>
      </c>
      <c r="AQ66" t="s">
        <v>817</v>
      </c>
      <c r="AR66" s="1" t="s">
        <v>123</v>
      </c>
      <c r="CL66" s="1" t="s">
        <v>123</v>
      </c>
      <c r="CV66" s="1" t="s">
        <v>123</v>
      </c>
      <c r="DF66" s="1" t="s">
        <v>123</v>
      </c>
      <c r="EI66" s="1" t="s">
        <v>123</v>
      </c>
      <c r="EJ66" t="s">
        <v>180</v>
      </c>
      <c r="EK66" t="s">
        <v>132</v>
      </c>
      <c r="FI66" s="1" t="s">
        <v>123</v>
      </c>
      <c r="FJ66" t="s">
        <v>132</v>
      </c>
      <c r="FL66" t="s">
        <v>132</v>
      </c>
      <c r="GQ66" t="s">
        <v>818</v>
      </c>
      <c r="GR66" t="s">
        <v>819</v>
      </c>
      <c r="GS66" t="s">
        <v>820</v>
      </c>
      <c r="GT66" t="s">
        <v>140</v>
      </c>
      <c r="GU66">
        <v>1933</v>
      </c>
      <c r="GV66" t="str">
        <f>VLOOKUP(AnalizaCzyste[[#This Row],[Rok urodzenia]],KategorieWiekowe[],2,1)</f>
        <v>powyżej 65 lat</v>
      </c>
      <c r="GW66" t="s">
        <v>220</v>
      </c>
    </row>
    <row r="67" spans="1:208" hidden="1" x14ac:dyDescent="0.45">
      <c r="A67">
        <v>81</v>
      </c>
      <c r="B67">
        <f>_xlfn.IFNA(VLOOKUP(AnalizaCzyste[[#This Row],[Zakończono wypełnianie]],Zakończone[],2,0),"BRAK")</f>
        <v>46</v>
      </c>
      <c r="C67">
        <f>COUNTA(I67:HA67)</f>
        <v>32</v>
      </c>
      <c r="D67" t="s">
        <v>821</v>
      </c>
      <c r="E67" t="s">
        <v>822</v>
      </c>
      <c r="F67">
        <v>3447</v>
      </c>
      <c r="I67" s="1" t="s">
        <v>123</v>
      </c>
      <c r="Y67" s="1" t="s">
        <v>124</v>
      </c>
      <c r="Z67" t="s">
        <v>813</v>
      </c>
      <c r="AA67" t="str">
        <f>VLOOKUP(AnalizaCzyste[[#This Row],[Jak się nazywa uczelnia którą ukończyłeś? (proszę o wybranie jednej uczelni podlegającej ocenie)]],KategorieUczelni[],2,0)</f>
        <v>Publiczna</v>
      </c>
      <c r="AB67">
        <v>1960</v>
      </c>
      <c r="AC67" t="s">
        <v>148</v>
      </c>
      <c r="AD67" t="s">
        <v>823</v>
      </c>
      <c r="AE67" t="s">
        <v>150</v>
      </c>
      <c r="AF67" t="s">
        <v>150</v>
      </c>
      <c r="AG67" t="s">
        <v>151</v>
      </c>
      <c r="AH67" t="s">
        <v>236</v>
      </c>
      <c r="AI67" t="s">
        <v>236</v>
      </c>
      <c r="AJ67" t="s">
        <v>814</v>
      </c>
      <c r="AK67" t="s">
        <v>131</v>
      </c>
      <c r="AL67" t="s">
        <v>131</v>
      </c>
      <c r="AN67" t="s">
        <v>824</v>
      </c>
      <c r="AO67" t="s">
        <v>825</v>
      </c>
      <c r="AP67" t="s">
        <v>157</v>
      </c>
      <c r="AR67" s="1" t="s">
        <v>123</v>
      </c>
      <c r="CL67" s="1" t="s">
        <v>123</v>
      </c>
      <c r="CV67" s="1" t="s">
        <v>123</v>
      </c>
      <c r="DF67" s="1" t="s">
        <v>123</v>
      </c>
      <c r="EI67" s="1" t="s">
        <v>123</v>
      </c>
      <c r="FI67" s="1" t="s">
        <v>123</v>
      </c>
      <c r="FJ67" t="s">
        <v>132</v>
      </c>
      <c r="GQ67" t="s">
        <v>826</v>
      </c>
      <c r="GR67" t="s">
        <v>824</v>
      </c>
      <c r="GS67" t="s">
        <v>827</v>
      </c>
      <c r="GT67" t="s">
        <v>186</v>
      </c>
      <c r="GU67">
        <v>1934</v>
      </c>
      <c r="GV67" t="str">
        <f>VLOOKUP(AnalizaCzyste[[#This Row],[Rok urodzenia]],KategorieWiekowe[],2,1)</f>
        <v>powyżej 65 lat</v>
      </c>
      <c r="GW67" t="s">
        <v>220</v>
      </c>
    </row>
    <row r="68" spans="1:208" hidden="1" x14ac:dyDescent="0.45">
      <c r="A68">
        <v>85</v>
      </c>
      <c r="B68">
        <f>_xlfn.IFNA(VLOOKUP(AnalizaCzyste[[#This Row],[Zakończono wypełnianie]],Zakończone[],2,0),"BRAK")</f>
        <v>50</v>
      </c>
      <c r="C68">
        <f>COUNTA(I68:HA68)</f>
        <v>35</v>
      </c>
      <c r="D68" t="s">
        <v>874</v>
      </c>
      <c r="E68" t="s">
        <v>875</v>
      </c>
      <c r="F68">
        <v>1971</v>
      </c>
      <c r="I68" s="1" t="s">
        <v>123</v>
      </c>
      <c r="Y68" s="1" t="s">
        <v>124</v>
      </c>
      <c r="Z68" t="s">
        <v>223</v>
      </c>
      <c r="AA68" t="str">
        <f>VLOOKUP(AnalizaCzyste[[#This Row],[Jak się nazywa uczelnia którą ukończyłeś? (proszę o wybranie jednej uczelni podlegającej ocenie)]],KategorieUczelni[],2,0)</f>
        <v>Publiczna</v>
      </c>
      <c r="AB68">
        <v>2012</v>
      </c>
      <c r="AC68" t="s">
        <v>148</v>
      </c>
      <c r="AD68" t="s">
        <v>876</v>
      </c>
      <c r="AE68" t="s">
        <v>150</v>
      </c>
      <c r="AF68" t="s">
        <v>162</v>
      </c>
      <c r="AG68" t="s">
        <v>128</v>
      </c>
      <c r="AH68" t="s">
        <v>236</v>
      </c>
      <c r="AI68" t="s">
        <v>151</v>
      </c>
      <c r="AJ68">
        <v>2</v>
      </c>
      <c r="AK68" t="s">
        <v>131</v>
      </c>
      <c r="AL68" t="s">
        <v>153</v>
      </c>
      <c r="AM68" t="s">
        <v>877</v>
      </c>
      <c r="AN68" t="s">
        <v>532</v>
      </c>
      <c r="AO68" t="s">
        <v>532</v>
      </c>
      <c r="AP68" t="s">
        <v>157</v>
      </c>
      <c r="AQ68" t="s">
        <v>878</v>
      </c>
      <c r="AR68" s="1" t="s">
        <v>123</v>
      </c>
      <c r="CL68" s="1" t="s">
        <v>123</v>
      </c>
      <c r="CV68" s="1" t="s">
        <v>123</v>
      </c>
      <c r="DF68" s="1" t="s">
        <v>123</v>
      </c>
      <c r="EI68" s="1" t="s">
        <v>123</v>
      </c>
      <c r="FI68" s="1" t="s">
        <v>123</v>
      </c>
      <c r="FJ68" t="s">
        <v>132</v>
      </c>
      <c r="GQ68" t="s">
        <v>532</v>
      </c>
      <c r="GR68" t="s">
        <v>532</v>
      </c>
      <c r="GS68" t="s">
        <v>532</v>
      </c>
      <c r="GT68" t="s">
        <v>186</v>
      </c>
      <c r="GU68">
        <v>1988</v>
      </c>
      <c r="GV68" t="str">
        <f>VLOOKUP(AnalizaCzyste[[#This Row],[Rok urodzenia]],KategorieWiekowe[],2,1)</f>
        <v>26–35 lat</v>
      </c>
      <c r="GW68" t="s">
        <v>246</v>
      </c>
      <c r="GZ68" t="s">
        <v>879</v>
      </c>
    </row>
    <row r="69" spans="1:208" hidden="1" x14ac:dyDescent="0.45">
      <c r="A69">
        <v>86</v>
      </c>
      <c r="B69">
        <f>_xlfn.IFNA(VLOOKUP(AnalizaCzyste[[#This Row],[Zakończono wypełnianie]],Zakończone[],2,0),"BRAK")</f>
        <v>51</v>
      </c>
      <c r="C69">
        <f>COUNTA(I69:HA69)</f>
        <v>44</v>
      </c>
      <c r="D69" t="s">
        <v>880</v>
      </c>
      <c r="E69" t="s">
        <v>881</v>
      </c>
      <c r="F69">
        <v>2138</v>
      </c>
      <c r="I69" s="1" t="s">
        <v>123</v>
      </c>
      <c r="Y69" s="1" t="s">
        <v>124</v>
      </c>
      <c r="Z69" t="s">
        <v>191</v>
      </c>
      <c r="AA69" t="str">
        <f>VLOOKUP(AnalizaCzyste[[#This Row],[Jak się nazywa uczelnia którą ukończyłeś? (proszę o wybranie jednej uczelni podlegającej ocenie)]],KategorieUczelni[],2,0)</f>
        <v>Publiczna</v>
      </c>
      <c r="AB69">
        <v>2005</v>
      </c>
      <c r="AC69" t="s">
        <v>126</v>
      </c>
      <c r="AD69" t="s">
        <v>882</v>
      </c>
      <c r="AE69" t="s">
        <v>162</v>
      </c>
      <c r="AF69" t="s">
        <v>162</v>
      </c>
      <c r="AG69" t="s">
        <v>162</v>
      </c>
      <c r="AH69" t="s">
        <v>236</v>
      </c>
      <c r="AI69" t="s">
        <v>128</v>
      </c>
      <c r="AJ69" t="s">
        <v>883</v>
      </c>
      <c r="AK69" t="s">
        <v>131</v>
      </c>
      <c r="AL69" t="s">
        <v>302</v>
      </c>
      <c r="AM69" t="s">
        <v>884</v>
      </c>
      <c r="AN69" t="s">
        <v>532</v>
      </c>
      <c r="AO69" t="s">
        <v>532</v>
      </c>
      <c r="AP69" t="s">
        <v>157</v>
      </c>
      <c r="AQ69" t="s">
        <v>878</v>
      </c>
      <c r="AR69" s="1" t="s">
        <v>123</v>
      </c>
      <c r="CL69" s="1" t="s">
        <v>123</v>
      </c>
      <c r="CV69" s="1" t="s">
        <v>123</v>
      </c>
      <c r="DF69" s="1" t="s">
        <v>123</v>
      </c>
      <c r="EI69" s="1" t="s">
        <v>177</v>
      </c>
      <c r="EJ69" t="s">
        <v>178</v>
      </c>
      <c r="EK69">
        <v>1</v>
      </c>
      <c r="EL69" t="s">
        <v>747</v>
      </c>
      <c r="EM69" t="s">
        <v>162</v>
      </c>
      <c r="EN69" t="s">
        <v>162</v>
      </c>
      <c r="EO69" t="s">
        <v>151</v>
      </c>
      <c r="EP69" t="s">
        <v>178</v>
      </c>
      <c r="EQ69" t="s">
        <v>885</v>
      </c>
      <c r="ER69" t="s">
        <v>886</v>
      </c>
      <c r="ES69" t="s">
        <v>173</v>
      </c>
      <c r="FI69" s="1" t="s">
        <v>123</v>
      </c>
      <c r="FJ69" t="s">
        <v>132</v>
      </c>
      <c r="GQ69" t="s">
        <v>887</v>
      </c>
      <c r="GR69" t="s">
        <v>532</v>
      </c>
      <c r="GS69" t="s">
        <v>532</v>
      </c>
      <c r="GT69" t="s">
        <v>140</v>
      </c>
      <c r="GU69">
        <v>1981</v>
      </c>
      <c r="GV69" t="str">
        <f>VLOOKUP(AnalizaCzyste[[#This Row],[Rok urodzenia]],KategorieWiekowe[],2,1)</f>
        <v>36–45 lat</v>
      </c>
      <c r="GW69" t="s">
        <v>141</v>
      </c>
    </row>
    <row r="70" spans="1:208" hidden="1" x14ac:dyDescent="0.45">
      <c r="A70">
        <v>87</v>
      </c>
      <c r="B70">
        <f>_xlfn.IFNA(VLOOKUP(AnalizaCzyste[[#This Row],[Zakończono wypełnianie]],Zakończone[],2,0),"BRAK")</f>
        <v>52</v>
      </c>
      <c r="C70">
        <f>COUNTA(I70:HA70)</f>
        <v>46</v>
      </c>
      <c r="D70" t="s">
        <v>888</v>
      </c>
      <c r="E70" t="s">
        <v>889</v>
      </c>
      <c r="F70">
        <v>1595</v>
      </c>
      <c r="I70" s="1" t="s">
        <v>123</v>
      </c>
      <c r="Y70" s="1" t="s">
        <v>124</v>
      </c>
      <c r="Z70" s="20" t="s">
        <v>191</v>
      </c>
      <c r="AA70" s="20" t="str">
        <f>VLOOKUP(AnalizaCzyste[[#This Row],[Jak się nazywa uczelnia którą ukończyłeś? (proszę o wybranie jednej uczelni podlegającej ocenie)]],KategorieUczelni[],2,0)</f>
        <v>Publiczna</v>
      </c>
      <c r="AB70">
        <v>1975</v>
      </c>
      <c r="AC70" t="s">
        <v>126</v>
      </c>
      <c r="AD70" t="s">
        <v>890</v>
      </c>
      <c r="AE70" t="s">
        <v>150</v>
      </c>
      <c r="AF70" t="s">
        <v>162</v>
      </c>
      <c r="AG70" t="s">
        <v>128</v>
      </c>
      <c r="AH70" t="s">
        <v>169</v>
      </c>
      <c r="AI70" t="s">
        <v>169</v>
      </c>
      <c r="AJ70" t="s">
        <v>883</v>
      </c>
      <c r="AK70" t="s">
        <v>194</v>
      </c>
      <c r="AL70" t="s">
        <v>194</v>
      </c>
      <c r="AM70" t="s">
        <v>891</v>
      </c>
      <c r="AN70" t="s">
        <v>532</v>
      </c>
      <c r="AO70" t="s">
        <v>532</v>
      </c>
      <c r="AP70" t="s">
        <v>892</v>
      </c>
      <c r="AR70" s="1" t="s">
        <v>159</v>
      </c>
      <c r="AS70">
        <v>1</v>
      </c>
      <c r="AT70" t="s">
        <v>893</v>
      </c>
      <c r="AU70">
        <v>2002</v>
      </c>
      <c r="AV70" t="s">
        <v>126</v>
      </c>
      <c r="AW70" t="s">
        <v>801</v>
      </c>
      <c r="AX70" t="s">
        <v>150</v>
      </c>
      <c r="AY70" t="s">
        <v>150</v>
      </c>
      <c r="AZ70" t="s">
        <v>150</v>
      </c>
      <c r="BA70" t="s">
        <v>236</v>
      </c>
      <c r="BB70" t="s">
        <v>128</v>
      </c>
      <c r="BC70">
        <v>3</v>
      </c>
      <c r="BE70" t="s">
        <v>157</v>
      </c>
      <c r="BH70" t="s">
        <v>173</v>
      </c>
      <c r="CL70" s="1" t="s">
        <v>123</v>
      </c>
      <c r="CV70" s="1" t="s">
        <v>123</v>
      </c>
      <c r="DF70" s="1" t="s">
        <v>123</v>
      </c>
      <c r="EI70" s="1" t="s">
        <v>123</v>
      </c>
      <c r="FI70" s="1" t="s">
        <v>123</v>
      </c>
      <c r="FJ70" t="s">
        <v>132</v>
      </c>
      <c r="GQ70" t="s">
        <v>532</v>
      </c>
      <c r="GR70" t="s">
        <v>532</v>
      </c>
      <c r="GS70" t="s">
        <v>532</v>
      </c>
      <c r="GT70" t="s">
        <v>186</v>
      </c>
      <c r="GU70">
        <v>1950</v>
      </c>
      <c r="GV70" t="str">
        <f>VLOOKUP(AnalizaCzyste[[#This Row],[Rok urodzenia]],KategorieWiekowe[],2,1)</f>
        <v>powyżej 65 lat</v>
      </c>
      <c r="GW70" t="s">
        <v>141</v>
      </c>
    </row>
    <row r="71" spans="1:208" hidden="1" x14ac:dyDescent="0.45">
      <c r="A71">
        <v>88</v>
      </c>
      <c r="B71">
        <f>_xlfn.IFNA(VLOOKUP(AnalizaCzyste[[#This Row],[Zakończono wypełnianie]],Zakończone[],2,0),"BRAK")</f>
        <v>53</v>
      </c>
      <c r="C71">
        <f>COUNTA(I71:HA71)</f>
        <v>47</v>
      </c>
      <c r="D71" t="s">
        <v>895</v>
      </c>
      <c r="E71" t="s">
        <v>896</v>
      </c>
      <c r="F71">
        <v>1418</v>
      </c>
      <c r="I71" s="1" t="s">
        <v>123</v>
      </c>
      <c r="Y71" s="1" t="s">
        <v>124</v>
      </c>
      <c r="Z71" s="20" t="s">
        <v>191</v>
      </c>
      <c r="AA71" s="20" t="str">
        <f>VLOOKUP(AnalizaCzyste[[#This Row],[Jak się nazywa uczelnia którą ukończyłeś? (proszę o wybranie jednej uczelni podlegającej ocenie)]],KategorieUczelni[],2,0)</f>
        <v>Publiczna</v>
      </c>
      <c r="AB71">
        <v>1975</v>
      </c>
      <c r="AC71" t="s">
        <v>126</v>
      </c>
      <c r="AD71" t="s">
        <v>897</v>
      </c>
      <c r="AE71" t="s">
        <v>150</v>
      </c>
      <c r="AF71" t="s">
        <v>162</v>
      </c>
      <c r="AG71" t="s">
        <v>150</v>
      </c>
      <c r="AH71" t="s">
        <v>162</v>
      </c>
      <c r="AI71" t="s">
        <v>162</v>
      </c>
      <c r="AJ71" t="s">
        <v>898</v>
      </c>
      <c r="AK71" t="s">
        <v>153</v>
      </c>
      <c r="AL71" t="s">
        <v>153</v>
      </c>
      <c r="AN71" t="s">
        <v>532</v>
      </c>
      <c r="AO71" t="s">
        <v>532</v>
      </c>
      <c r="AP71" t="s">
        <v>157</v>
      </c>
      <c r="AR71" s="1" t="s">
        <v>159</v>
      </c>
      <c r="AS71">
        <v>1</v>
      </c>
      <c r="AT71" t="s">
        <v>191</v>
      </c>
      <c r="AU71">
        <v>2011</v>
      </c>
      <c r="AV71" t="s">
        <v>126</v>
      </c>
      <c r="AW71" t="s">
        <v>127</v>
      </c>
      <c r="AX71" t="s">
        <v>162</v>
      </c>
      <c r="AY71" t="s">
        <v>150</v>
      </c>
      <c r="AZ71" t="s">
        <v>236</v>
      </c>
      <c r="BA71" t="s">
        <v>132</v>
      </c>
      <c r="BB71" t="s">
        <v>132</v>
      </c>
      <c r="BC71" t="s">
        <v>900</v>
      </c>
      <c r="BD71" t="s">
        <v>901</v>
      </c>
      <c r="BE71" t="s">
        <v>157</v>
      </c>
      <c r="BF71" t="s">
        <v>878</v>
      </c>
      <c r="BH71" t="s">
        <v>173</v>
      </c>
      <c r="CL71" s="1" t="s">
        <v>123</v>
      </c>
      <c r="CV71" s="1" t="s">
        <v>123</v>
      </c>
      <c r="DF71" s="1" t="s">
        <v>123</v>
      </c>
      <c r="EI71" s="1" t="s">
        <v>123</v>
      </c>
      <c r="FI71" s="1" t="s">
        <v>123</v>
      </c>
      <c r="FJ71" t="s">
        <v>132</v>
      </c>
      <c r="GQ71" t="s">
        <v>532</v>
      </c>
      <c r="GR71" t="s">
        <v>532</v>
      </c>
      <c r="GS71" t="s">
        <v>532</v>
      </c>
      <c r="GT71" t="s">
        <v>140</v>
      </c>
      <c r="GU71">
        <v>1950</v>
      </c>
      <c r="GV71" t="str">
        <f>VLOOKUP(AnalizaCzyste[[#This Row],[Rok urodzenia]],KategorieWiekowe[],2,1)</f>
        <v>powyżej 65 lat</v>
      </c>
      <c r="GW71" t="s">
        <v>141</v>
      </c>
    </row>
    <row r="72" spans="1:208" hidden="1" x14ac:dyDescent="0.45">
      <c r="A72">
        <v>93</v>
      </c>
      <c r="B72">
        <f>_xlfn.IFNA(VLOOKUP(AnalizaCzyste[[#This Row],[Zakończono wypełnianie]],Zakończone[],2,0),"BRAK")</f>
        <v>56</v>
      </c>
      <c r="C72">
        <f>COUNTA(I72:HA72)</f>
        <v>47</v>
      </c>
      <c r="D72" t="s">
        <v>939</v>
      </c>
      <c r="E72" t="s">
        <v>940</v>
      </c>
      <c r="F72">
        <v>451</v>
      </c>
      <c r="I72" s="1" t="s">
        <v>123</v>
      </c>
      <c r="Y72" s="1" t="s">
        <v>124</v>
      </c>
      <c r="Z72" t="s">
        <v>223</v>
      </c>
      <c r="AA72" t="str">
        <f>VLOOKUP(AnalizaCzyste[[#This Row],[Jak się nazywa uczelnia którą ukończyłeś? (proszę o wybranie jednej uczelni podlegającej ocenie)]],KategorieUczelni[],2,0)</f>
        <v>Publiczna</v>
      </c>
      <c r="AB72">
        <v>2004</v>
      </c>
      <c r="AC72" t="s">
        <v>148</v>
      </c>
      <c r="AD72" t="s">
        <v>942</v>
      </c>
      <c r="AE72" t="s">
        <v>150</v>
      </c>
      <c r="AF72" t="s">
        <v>150</v>
      </c>
      <c r="AG72" t="s">
        <v>150</v>
      </c>
      <c r="AH72" t="s">
        <v>150</v>
      </c>
      <c r="AI72" t="s">
        <v>169</v>
      </c>
      <c r="AJ72" t="s">
        <v>237</v>
      </c>
      <c r="AK72" t="s">
        <v>302</v>
      </c>
      <c r="AL72" t="s">
        <v>943</v>
      </c>
      <c r="AM72" t="s">
        <v>944</v>
      </c>
      <c r="AN72" t="s">
        <v>945</v>
      </c>
      <c r="AO72" t="s">
        <v>946</v>
      </c>
      <c r="AP72" t="s">
        <v>157</v>
      </c>
      <c r="AR72" s="1" t="s">
        <v>123</v>
      </c>
      <c r="CL72" s="1" t="s">
        <v>123</v>
      </c>
      <c r="CV72" s="1" t="s">
        <v>123</v>
      </c>
      <c r="DF72" s="1" t="s">
        <v>123</v>
      </c>
      <c r="EI72" s="1" t="s">
        <v>177</v>
      </c>
      <c r="EJ72" t="s">
        <v>178</v>
      </c>
      <c r="EK72">
        <v>1</v>
      </c>
      <c r="EL72" t="s">
        <v>747</v>
      </c>
      <c r="EM72" t="s">
        <v>169</v>
      </c>
      <c r="EN72" t="s">
        <v>169</v>
      </c>
      <c r="EO72" t="s">
        <v>169</v>
      </c>
      <c r="EP72" t="s">
        <v>178</v>
      </c>
      <c r="EQ72" t="s">
        <v>947</v>
      </c>
      <c r="ER72" t="s">
        <v>948</v>
      </c>
      <c r="ES72" t="s">
        <v>173</v>
      </c>
      <c r="FI72" s="1" t="s">
        <v>123</v>
      </c>
      <c r="FJ72" t="s">
        <v>132</v>
      </c>
      <c r="FL72" t="s">
        <v>132</v>
      </c>
      <c r="GQ72" t="s">
        <v>949</v>
      </c>
      <c r="GR72" t="s">
        <v>950</v>
      </c>
      <c r="GS72" t="s">
        <v>951</v>
      </c>
      <c r="GT72" t="s">
        <v>186</v>
      </c>
      <c r="GU72">
        <v>1984</v>
      </c>
      <c r="GV72" t="str">
        <f>VLOOKUP(AnalizaCzyste[[#This Row],[Rok urodzenia]],KategorieWiekowe[],2,1)</f>
        <v>36–45 lat</v>
      </c>
      <c r="GW72" t="s">
        <v>141</v>
      </c>
      <c r="GX72" t="s">
        <v>952</v>
      </c>
      <c r="GY72" t="s">
        <v>953</v>
      </c>
      <c r="GZ72" t="s">
        <v>954</v>
      </c>
    </row>
    <row r="73" spans="1:208" hidden="1" x14ac:dyDescent="0.45">
      <c r="A73">
        <v>94</v>
      </c>
      <c r="B73">
        <f>_xlfn.IFNA(VLOOKUP(AnalizaCzyste[[#This Row],[Zakończono wypełnianie]],Zakończone[],2,0),"BRAK")</f>
        <v>57</v>
      </c>
      <c r="C73">
        <f>COUNTA(I73:HA73)</f>
        <v>33</v>
      </c>
      <c r="D73" t="s">
        <v>956</v>
      </c>
      <c r="E73" t="s">
        <v>957</v>
      </c>
      <c r="F73">
        <v>1186</v>
      </c>
      <c r="I73" s="1" t="s">
        <v>416</v>
      </c>
      <c r="J73" t="s">
        <v>223</v>
      </c>
      <c r="K73" t="s">
        <v>148</v>
      </c>
      <c r="L73" t="s">
        <v>958</v>
      </c>
      <c r="M73" t="s">
        <v>151</v>
      </c>
      <c r="N73" t="s">
        <v>128</v>
      </c>
      <c r="O73" t="s">
        <v>236</v>
      </c>
      <c r="P73" t="s">
        <v>959</v>
      </c>
      <c r="Q73" t="s">
        <v>302</v>
      </c>
      <c r="R73" t="s">
        <v>153</v>
      </c>
      <c r="S73" t="s">
        <v>960</v>
      </c>
      <c r="T73" t="s">
        <v>961</v>
      </c>
      <c r="U73" t="s">
        <v>962</v>
      </c>
      <c r="V73" t="s">
        <v>157</v>
      </c>
      <c r="X73">
        <v>4</v>
      </c>
      <c r="Y73" s="1" t="s">
        <v>123</v>
      </c>
      <c r="AA73" t="e">
        <f>VLOOKUP(AnalizaCzyste[[#This Row],[Jak się nazywa uczelnia którą ukończyłeś? (proszę o wybranie jednej uczelni podlegającej ocenie)]],KategorieUczelni[],2,0)</f>
        <v>#N/A</v>
      </c>
      <c r="AR73" s="1" t="s">
        <v>123</v>
      </c>
      <c r="CL73" s="1" t="s">
        <v>123</v>
      </c>
      <c r="CV73" s="1" t="s">
        <v>123</v>
      </c>
      <c r="DF73" s="1" t="s">
        <v>123</v>
      </c>
      <c r="EI73" s="1" t="s">
        <v>123</v>
      </c>
      <c r="EJ73" t="s">
        <v>180</v>
      </c>
      <c r="EK73" t="s">
        <v>132</v>
      </c>
      <c r="FI73" s="1" t="s">
        <v>123</v>
      </c>
      <c r="FJ73" t="s">
        <v>132</v>
      </c>
      <c r="GQ73" t="s">
        <v>826</v>
      </c>
      <c r="GR73" t="s">
        <v>824</v>
      </c>
      <c r="GS73" t="s">
        <v>820</v>
      </c>
      <c r="GT73" t="s">
        <v>140</v>
      </c>
      <c r="GU73">
        <v>1993</v>
      </c>
      <c r="GV73" t="str">
        <f>VLOOKUP(AnalizaCzyste[[#This Row],[Rok urodzenia]],KategorieWiekowe[],2,1)</f>
        <v>26–35 lat</v>
      </c>
      <c r="GW73" t="s">
        <v>483</v>
      </c>
    </row>
    <row r="74" spans="1:208" hidden="1" x14ac:dyDescent="0.45">
      <c r="A74">
        <v>96</v>
      </c>
      <c r="B74">
        <f>_xlfn.IFNA(VLOOKUP(AnalizaCzyste[[#This Row],[Zakończono wypełnianie]],Zakończone[],2,0),"BRAK")</f>
        <v>59</v>
      </c>
      <c r="C74">
        <f>COUNTA(I74:HA74)</f>
        <v>37</v>
      </c>
      <c r="D74" t="s">
        <v>967</v>
      </c>
      <c r="E74" t="s">
        <v>968</v>
      </c>
      <c r="F74">
        <v>5160</v>
      </c>
      <c r="I74" s="1" t="s">
        <v>123</v>
      </c>
      <c r="Y74" s="1" t="s">
        <v>124</v>
      </c>
      <c r="Z74" t="s">
        <v>191</v>
      </c>
      <c r="AA74" t="str">
        <f>VLOOKUP(AnalizaCzyste[[#This Row],[Jak się nazywa uczelnia którą ukończyłeś? (proszę o wybranie jednej uczelni podlegającej ocenie)]],KategorieUczelni[],2,0)</f>
        <v>Publiczna</v>
      </c>
      <c r="AB74">
        <v>2000</v>
      </c>
      <c r="AC74" t="s">
        <v>148</v>
      </c>
      <c r="AD74" t="s">
        <v>969</v>
      </c>
      <c r="AE74" t="s">
        <v>151</v>
      </c>
      <c r="AF74" t="s">
        <v>151</v>
      </c>
      <c r="AG74" t="s">
        <v>162</v>
      </c>
      <c r="AH74" t="s">
        <v>162</v>
      </c>
      <c r="AI74" t="s">
        <v>150</v>
      </c>
      <c r="AJ74">
        <v>0</v>
      </c>
      <c r="AK74" t="s">
        <v>153</v>
      </c>
      <c r="AL74" t="s">
        <v>226</v>
      </c>
      <c r="AM74" t="s">
        <v>802</v>
      </c>
      <c r="AN74" t="s">
        <v>824</v>
      </c>
      <c r="AO74" t="s">
        <v>780</v>
      </c>
      <c r="AP74" t="s">
        <v>230</v>
      </c>
      <c r="AQ74" t="s">
        <v>970</v>
      </c>
      <c r="AR74" s="1" t="s">
        <v>123</v>
      </c>
      <c r="CL74" s="1" t="s">
        <v>123</v>
      </c>
      <c r="CV74" s="1" t="s">
        <v>123</v>
      </c>
      <c r="DF74" s="1" t="s">
        <v>123</v>
      </c>
      <c r="EI74" s="1" t="s">
        <v>123</v>
      </c>
      <c r="FI74" s="1" t="s">
        <v>123</v>
      </c>
      <c r="FJ74" t="s">
        <v>132</v>
      </c>
      <c r="FL74" t="s">
        <v>132</v>
      </c>
      <c r="GQ74" t="s">
        <v>786</v>
      </c>
      <c r="GR74" t="s">
        <v>787</v>
      </c>
      <c r="GS74" t="s">
        <v>807</v>
      </c>
      <c r="GT74" t="s">
        <v>186</v>
      </c>
      <c r="GU74">
        <v>1968</v>
      </c>
      <c r="GV74" t="str">
        <f>VLOOKUP(AnalizaCzyste[[#This Row],[Rok urodzenia]],KategorieWiekowe[],2,1)</f>
        <v>46–55 lat</v>
      </c>
      <c r="GW74" t="s">
        <v>398</v>
      </c>
      <c r="GX74" t="s">
        <v>971</v>
      </c>
      <c r="GY74" t="s">
        <v>972</v>
      </c>
    </row>
    <row r="75" spans="1:208" hidden="1" x14ac:dyDescent="0.45">
      <c r="A75">
        <v>97</v>
      </c>
      <c r="B75">
        <f>_xlfn.IFNA(VLOOKUP(AnalizaCzyste[[#This Row],[Zakończono wypełnianie]],Zakończone[],2,0),"BRAK")</f>
        <v>60</v>
      </c>
      <c r="C75">
        <f>COUNTA(I75:HA75)</f>
        <v>38</v>
      </c>
      <c r="D75" t="s">
        <v>973</v>
      </c>
      <c r="E75" t="s">
        <v>974</v>
      </c>
      <c r="F75">
        <v>1963</v>
      </c>
      <c r="I75" s="1" t="s">
        <v>123</v>
      </c>
      <c r="Y75" s="1" t="s">
        <v>124</v>
      </c>
      <c r="Z75" t="s">
        <v>975</v>
      </c>
      <c r="AA75" t="str">
        <f>VLOOKUP(AnalizaCzyste[[#This Row],[Jak się nazywa uczelnia którą ukończyłeś? (proszę o wybranie jednej uczelni podlegającej ocenie)]],KategorieUczelni[],2,0)</f>
        <v>Publiczna</v>
      </c>
      <c r="AB75">
        <v>1996</v>
      </c>
      <c r="AC75" t="s">
        <v>148</v>
      </c>
      <c r="AD75" t="s">
        <v>601</v>
      </c>
      <c r="AE75" t="s">
        <v>128</v>
      </c>
      <c r="AF75" t="s">
        <v>151</v>
      </c>
      <c r="AG75" t="s">
        <v>169</v>
      </c>
      <c r="AH75" t="s">
        <v>129</v>
      </c>
      <c r="AI75" t="s">
        <v>129</v>
      </c>
      <c r="AJ75" t="s">
        <v>976</v>
      </c>
      <c r="AK75" t="s">
        <v>131</v>
      </c>
      <c r="AL75" t="s">
        <v>131</v>
      </c>
      <c r="AM75" t="s">
        <v>802</v>
      </c>
      <c r="AN75" t="s">
        <v>824</v>
      </c>
      <c r="AO75" t="s">
        <v>977</v>
      </c>
      <c r="AP75" t="s">
        <v>230</v>
      </c>
      <c r="AR75" s="1" t="s">
        <v>123</v>
      </c>
      <c r="CL75" s="1" t="s">
        <v>123</v>
      </c>
      <c r="CV75" s="1" t="s">
        <v>123</v>
      </c>
      <c r="DF75" s="1" t="s">
        <v>123</v>
      </c>
      <c r="EI75" s="1" t="s">
        <v>123</v>
      </c>
      <c r="EJ75" t="s">
        <v>178</v>
      </c>
      <c r="EK75" t="s">
        <v>132</v>
      </c>
      <c r="FI75" s="1" t="s">
        <v>123</v>
      </c>
      <c r="FJ75" t="s">
        <v>132</v>
      </c>
      <c r="FL75" t="s">
        <v>132</v>
      </c>
      <c r="GQ75" t="s">
        <v>978</v>
      </c>
      <c r="GR75" t="s">
        <v>819</v>
      </c>
      <c r="GS75" t="s">
        <v>979</v>
      </c>
      <c r="GT75" t="s">
        <v>140</v>
      </c>
      <c r="GU75">
        <v>1962</v>
      </c>
      <c r="GV75" t="str">
        <f>VLOOKUP(AnalizaCzyste[[#This Row],[Rok urodzenia]],KategorieWiekowe[],2,1)</f>
        <v>56–65 lat</v>
      </c>
      <c r="GW75" t="s">
        <v>220</v>
      </c>
      <c r="GY75" t="s">
        <v>980</v>
      </c>
      <c r="GZ75" t="s">
        <v>386</v>
      </c>
    </row>
    <row r="76" spans="1:208" hidden="1" x14ac:dyDescent="0.45">
      <c r="A76">
        <v>99</v>
      </c>
      <c r="B76">
        <f>_xlfn.IFNA(VLOOKUP(AnalizaCzyste[[#This Row],[Zakończono wypełnianie]],Zakończone[],2,0),"BRAK")</f>
        <v>61</v>
      </c>
      <c r="C76">
        <f>COUNTA(I76:HA76)</f>
        <v>32</v>
      </c>
      <c r="D76" t="s">
        <v>985</v>
      </c>
      <c r="E76" t="s">
        <v>986</v>
      </c>
      <c r="F76">
        <v>1348</v>
      </c>
      <c r="I76" s="1" t="s">
        <v>123</v>
      </c>
      <c r="Y76" s="1" t="s">
        <v>124</v>
      </c>
      <c r="Z76" t="s">
        <v>987</v>
      </c>
      <c r="AA76" t="str">
        <f>VLOOKUP(AnalizaCzyste[[#This Row],[Jak się nazywa uczelnia którą ukończyłeś? (proszę o wybranie jednej uczelni podlegającej ocenie)]],KategorieUczelni[],2,0)</f>
        <v>Niepubliczna</v>
      </c>
      <c r="AB76">
        <v>2015</v>
      </c>
      <c r="AC76" t="s">
        <v>148</v>
      </c>
      <c r="AD76" t="s">
        <v>988</v>
      </c>
      <c r="AE76" t="s">
        <v>169</v>
      </c>
      <c r="AF76" t="s">
        <v>150</v>
      </c>
      <c r="AG76" t="s">
        <v>151</v>
      </c>
      <c r="AH76" t="s">
        <v>151</v>
      </c>
      <c r="AI76" t="s">
        <v>151</v>
      </c>
      <c r="AJ76" t="s">
        <v>883</v>
      </c>
      <c r="AK76" t="s">
        <v>131</v>
      </c>
      <c r="AL76" t="s">
        <v>302</v>
      </c>
      <c r="AN76" t="s">
        <v>989</v>
      </c>
      <c r="AO76" t="s">
        <v>990</v>
      </c>
      <c r="AP76" t="s">
        <v>157</v>
      </c>
      <c r="AR76" s="1" t="s">
        <v>123</v>
      </c>
      <c r="CL76" s="1" t="s">
        <v>123</v>
      </c>
      <c r="CV76" s="1" t="s">
        <v>123</v>
      </c>
      <c r="DF76" s="1" t="s">
        <v>123</v>
      </c>
      <c r="EI76" s="1" t="s">
        <v>123</v>
      </c>
      <c r="FI76" s="1" t="s">
        <v>123</v>
      </c>
      <c r="FJ76" t="s">
        <v>132</v>
      </c>
      <c r="GQ76" t="s">
        <v>786</v>
      </c>
      <c r="GR76" t="s">
        <v>991</v>
      </c>
      <c r="GS76" t="s">
        <v>820</v>
      </c>
      <c r="GT76" t="s">
        <v>140</v>
      </c>
      <c r="GU76">
        <v>1991</v>
      </c>
      <c r="GV76" t="str">
        <f>VLOOKUP(AnalizaCzyste[[#This Row],[Rok urodzenia]],KategorieWiekowe[],2,1)</f>
        <v>26–35 lat</v>
      </c>
      <c r="GW76" t="s">
        <v>220</v>
      </c>
    </row>
    <row r="77" spans="1:208" hidden="1" x14ac:dyDescent="0.45">
      <c r="A77">
        <v>100</v>
      </c>
      <c r="B77">
        <f>_xlfn.IFNA(VLOOKUP(AnalizaCzyste[[#This Row],[Zakończono wypełnianie]],Zakończone[],2,0),"BRAK")</f>
        <v>62</v>
      </c>
      <c r="C77">
        <f>COUNTA(I77:HA77)</f>
        <v>38</v>
      </c>
      <c r="D77" t="s">
        <v>993</v>
      </c>
      <c r="E77" t="s">
        <v>994</v>
      </c>
      <c r="F77">
        <v>1026</v>
      </c>
      <c r="I77" s="1" t="s">
        <v>123</v>
      </c>
      <c r="Y77" s="1" t="s">
        <v>124</v>
      </c>
      <c r="Z77" t="s">
        <v>995</v>
      </c>
      <c r="AA77" t="str">
        <f>VLOOKUP(AnalizaCzyste[[#This Row],[Jak się nazywa uczelnia którą ukończyłeś? (proszę o wybranie jednej uczelni podlegającej ocenie)]],KategorieUczelni[],2,0)</f>
        <v>Publiczna</v>
      </c>
      <c r="AB77">
        <v>2010</v>
      </c>
      <c r="AC77" t="s">
        <v>148</v>
      </c>
      <c r="AD77" t="s">
        <v>429</v>
      </c>
      <c r="AE77" t="s">
        <v>169</v>
      </c>
      <c r="AF77" t="s">
        <v>169</v>
      </c>
      <c r="AG77" t="s">
        <v>150</v>
      </c>
      <c r="AH77" t="s">
        <v>236</v>
      </c>
      <c r="AI77" t="s">
        <v>128</v>
      </c>
      <c r="AJ77" t="s">
        <v>883</v>
      </c>
      <c r="AK77" t="s">
        <v>152</v>
      </c>
      <c r="AL77" t="s">
        <v>131</v>
      </c>
      <c r="AM77" t="s">
        <v>996</v>
      </c>
      <c r="AN77" t="s">
        <v>794</v>
      </c>
      <c r="AO77" t="s">
        <v>780</v>
      </c>
      <c r="AP77" t="s">
        <v>230</v>
      </c>
      <c r="AR77" s="1" t="s">
        <v>123</v>
      </c>
      <c r="CL77" s="1" t="s">
        <v>123</v>
      </c>
      <c r="CV77" s="1" t="s">
        <v>123</v>
      </c>
      <c r="DF77" s="1" t="s">
        <v>123</v>
      </c>
      <c r="EI77" s="1" t="s">
        <v>123</v>
      </c>
      <c r="EJ77" t="s">
        <v>180</v>
      </c>
      <c r="EK77" t="s">
        <v>132</v>
      </c>
      <c r="FI77" s="1" t="s">
        <v>123</v>
      </c>
      <c r="FJ77" t="s">
        <v>132</v>
      </c>
      <c r="FL77" t="s">
        <v>132</v>
      </c>
      <c r="GQ77" t="s">
        <v>786</v>
      </c>
      <c r="GR77" t="s">
        <v>819</v>
      </c>
      <c r="GS77" t="s">
        <v>820</v>
      </c>
      <c r="GT77" t="s">
        <v>186</v>
      </c>
      <c r="GU77">
        <v>1986</v>
      </c>
      <c r="GV77" t="str">
        <f>VLOOKUP(AnalizaCzyste[[#This Row],[Rok urodzenia]],KategorieWiekowe[],2,1)</f>
        <v>26–35 lat</v>
      </c>
      <c r="GW77" t="s">
        <v>483</v>
      </c>
      <c r="GY77" t="s">
        <v>386</v>
      </c>
      <c r="GZ77" t="s">
        <v>386</v>
      </c>
    </row>
    <row r="78" spans="1:208" hidden="1" x14ac:dyDescent="0.45">
      <c r="A78">
        <v>102</v>
      </c>
      <c r="B78">
        <f>_xlfn.IFNA(VLOOKUP(AnalizaCzyste[[#This Row],[Zakończono wypełnianie]],Zakończone[],2,0),"BRAK")</f>
        <v>63</v>
      </c>
      <c r="C78">
        <f>COUNTA(I78:HA78)</f>
        <v>45</v>
      </c>
      <c r="D78" t="s">
        <v>1000</v>
      </c>
      <c r="E78" t="s">
        <v>1001</v>
      </c>
      <c r="F78">
        <v>18013</v>
      </c>
      <c r="I78" s="1" t="s">
        <v>123</v>
      </c>
      <c r="Y78" s="1" t="s">
        <v>124</v>
      </c>
      <c r="Z78" t="s">
        <v>2271</v>
      </c>
      <c r="AA78" t="str">
        <f>VLOOKUP(AnalizaCzyste[[#This Row],[Jak się nazywa uczelnia którą ukończyłeś? (proszę o wybranie jednej uczelni podlegającej ocenie)]],KategorieUczelni[],2,0)</f>
        <v>Publiczna</v>
      </c>
      <c r="AB78">
        <v>1996</v>
      </c>
      <c r="AC78" t="s">
        <v>148</v>
      </c>
      <c r="AD78" t="s">
        <v>1003</v>
      </c>
      <c r="AE78" t="s">
        <v>150</v>
      </c>
      <c r="AF78" t="s">
        <v>150</v>
      </c>
      <c r="AG78" t="s">
        <v>162</v>
      </c>
      <c r="AH78" t="s">
        <v>129</v>
      </c>
      <c r="AI78" t="s">
        <v>236</v>
      </c>
      <c r="AJ78">
        <v>1</v>
      </c>
      <c r="AK78" t="s">
        <v>131</v>
      </c>
      <c r="AL78" t="s">
        <v>153</v>
      </c>
      <c r="AM78" t="s">
        <v>1004</v>
      </c>
      <c r="AN78" t="s">
        <v>1005</v>
      </c>
      <c r="AO78" t="s">
        <v>532</v>
      </c>
      <c r="AP78" t="s">
        <v>157</v>
      </c>
      <c r="AQ78" t="s">
        <v>1006</v>
      </c>
      <c r="AR78" s="1" t="s">
        <v>123</v>
      </c>
      <c r="CL78" s="1" t="s">
        <v>123</v>
      </c>
      <c r="CV78" s="1" t="s">
        <v>123</v>
      </c>
      <c r="DF78" s="1" t="s">
        <v>123</v>
      </c>
      <c r="EI78" s="1" t="s">
        <v>177</v>
      </c>
      <c r="EJ78" t="s">
        <v>178</v>
      </c>
      <c r="EK78" t="s">
        <v>132</v>
      </c>
      <c r="EL78" t="s">
        <v>1002</v>
      </c>
      <c r="EM78" t="s">
        <v>236</v>
      </c>
      <c r="EN78" t="s">
        <v>236</v>
      </c>
      <c r="EO78" t="s">
        <v>151</v>
      </c>
      <c r="EP78" t="s">
        <v>178</v>
      </c>
      <c r="EQ78" t="s">
        <v>1007</v>
      </c>
      <c r="ER78" t="s">
        <v>1008</v>
      </c>
      <c r="ES78" t="s">
        <v>173</v>
      </c>
      <c r="FI78" s="1" t="s">
        <v>123</v>
      </c>
      <c r="FJ78" t="s">
        <v>132</v>
      </c>
      <c r="FL78" t="s">
        <v>132</v>
      </c>
      <c r="GQ78" t="s">
        <v>1009</v>
      </c>
      <c r="GR78" t="s">
        <v>1007</v>
      </c>
      <c r="GS78" t="s">
        <v>1009</v>
      </c>
      <c r="GT78" t="s">
        <v>186</v>
      </c>
      <c r="GU78">
        <v>1966</v>
      </c>
      <c r="GV78" t="str">
        <f>VLOOKUP(AnalizaCzyste[[#This Row],[Rok urodzenia]],KategorieWiekowe[],2,1)</f>
        <v>46–55 lat</v>
      </c>
      <c r="GW78" t="s">
        <v>141</v>
      </c>
    </row>
    <row r="79" spans="1:208" hidden="1" x14ac:dyDescent="0.45">
      <c r="A79">
        <v>105</v>
      </c>
      <c r="B79">
        <f>_xlfn.IFNA(VLOOKUP(AnalizaCzyste[[#This Row],[Zakończono wypełnianie]],Zakończone[],2,0),"BRAK")</f>
        <v>64</v>
      </c>
      <c r="C79">
        <f>COUNTA(I79:HA79)</f>
        <v>36</v>
      </c>
      <c r="D79" t="s">
        <v>1015</v>
      </c>
      <c r="E79" t="s">
        <v>1016</v>
      </c>
      <c r="F79">
        <v>1293</v>
      </c>
      <c r="I79" s="1" t="s">
        <v>123</v>
      </c>
      <c r="Y79" s="1" t="s">
        <v>124</v>
      </c>
      <c r="Z79" t="s">
        <v>223</v>
      </c>
      <c r="AA79" t="str">
        <f>VLOOKUP(AnalizaCzyste[[#This Row],[Jak się nazywa uczelnia którą ukończyłeś? (proszę o wybranie jednej uczelni podlegającej ocenie)]],KategorieUczelni[],2,0)</f>
        <v>Publiczna</v>
      </c>
      <c r="AB79">
        <v>2003</v>
      </c>
      <c r="AC79" t="s">
        <v>148</v>
      </c>
      <c r="AD79" t="s">
        <v>1017</v>
      </c>
      <c r="AE79" t="s">
        <v>128</v>
      </c>
      <c r="AF79" t="s">
        <v>128</v>
      </c>
      <c r="AG79" t="s">
        <v>128</v>
      </c>
      <c r="AH79" t="s">
        <v>236</v>
      </c>
      <c r="AI79" t="s">
        <v>132</v>
      </c>
      <c r="AJ79" t="s">
        <v>1018</v>
      </c>
      <c r="AK79" t="s">
        <v>131</v>
      </c>
      <c r="AL79" t="s">
        <v>131</v>
      </c>
      <c r="AN79" t="s">
        <v>1019</v>
      </c>
      <c r="AO79" t="s">
        <v>1020</v>
      </c>
      <c r="AP79" t="s">
        <v>157</v>
      </c>
      <c r="AR79" s="1" t="s">
        <v>123</v>
      </c>
      <c r="CL79" s="1" t="s">
        <v>123</v>
      </c>
      <c r="CV79" s="1" t="s">
        <v>123</v>
      </c>
      <c r="DF79" s="1" t="s">
        <v>123</v>
      </c>
      <c r="EI79" s="1" t="s">
        <v>123</v>
      </c>
      <c r="EJ79" t="s">
        <v>180</v>
      </c>
      <c r="EK79" t="s">
        <v>132</v>
      </c>
      <c r="FI79" s="1" t="s">
        <v>123</v>
      </c>
      <c r="FJ79" t="s">
        <v>132</v>
      </c>
      <c r="FL79" t="s">
        <v>132</v>
      </c>
      <c r="GQ79" t="s">
        <v>276</v>
      </c>
      <c r="GR79" t="s">
        <v>1021</v>
      </c>
      <c r="GS79" t="s">
        <v>1022</v>
      </c>
      <c r="GT79" t="s">
        <v>140</v>
      </c>
      <c r="GU79">
        <v>1980</v>
      </c>
      <c r="GV79" t="str">
        <f>VLOOKUP(AnalizaCzyste[[#This Row],[Rok urodzenia]],KategorieWiekowe[],2,1)</f>
        <v>36–45 lat</v>
      </c>
      <c r="GW79" t="s">
        <v>483</v>
      </c>
      <c r="GY79" t="s">
        <v>1023</v>
      </c>
    </row>
    <row r="80" spans="1:208" hidden="1" x14ac:dyDescent="0.45">
      <c r="A80">
        <v>110</v>
      </c>
      <c r="B80">
        <f>_xlfn.IFNA(VLOOKUP(AnalizaCzyste[[#This Row],[Zakończono wypełnianie]],Zakończone[],2,0),"BRAK")</f>
        <v>65</v>
      </c>
      <c r="C80">
        <f>COUNTA(I80:HA80)</f>
        <v>36</v>
      </c>
      <c r="D80" t="s">
        <v>1035</v>
      </c>
      <c r="E80" t="s">
        <v>1036</v>
      </c>
      <c r="F80">
        <v>1167</v>
      </c>
      <c r="I80" s="1" t="s">
        <v>123</v>
      </c>
      <c r="Y80" s="1" t="s">
        <v>124</v>
      </c>
      <c r="Z80" s="42" t="s">
        <v>2318</v>
      </c>
      <c r="AA80" s="42" t="str">
        <f>VLOOKUP(AnalizaCzyste[[#This Row],[Jak się nazywa uczelnia którą ukończyłeś? (proszę o wybranie jednej uczelni podlegającej ocenie)]],KategorieUczelni[],2,0)</f>
        <v>Publiczna</v>
      </c>
      <c r="AB80" s="42">
        <v>2007</v>
      </c>
      <c r="AC80" t="s">
        <v>126</v>
      </c>
      <c r="AD80" t="s">
        <v>1039</v>
      </c>
      <c r="AE80" t="s">
        <v>128</v>
      </c>
      <c r="AF80" t="s">
        <v>151</v>
      </c>
      <c r="AG80" t="s">
        <v>236</v>
      </c>
      <c r="AH80" t="s">
        <v>129</v>
      </c>
      <c r="AI80" t="s">
        <v>129</v>
      </c>
      <c r="AJ80">
        <v>5</v>
      </c>
      <c r="AK80" t="s">
        <v>302</v>
      </c>
      <c r="AL80" t="s">
        <v>302</v>
      </c>
      <c r="AN80" t="s">
        <v>1040</v>
      </c>
      <c r="AO80" t="s">
        <v>1041</v>
      </c>
      <c r="AP80" t="s">
        <v>892</v>
      </c>
      <c r="AQ80" t="s">
        <v>1042</v>
      </c>
      <c r="AR80" s="1" t="s">
        <v>123</v>
      </c>
      <c r="CL80" s="1" t="s">
        <v>123</v>
      </c>
      <c r="CV80" s="1" t="s">
        <v>123</v>
      </c>
      <c r="DF80" s="1" t="s">
        <v>123</v>
      </c>
      <c r="EI80" s="1" t="s">
        <v>123</v>
      </c>
      <c r="EJ80" t="s">
        <v>180</v>
      </c>
      <c r="EK80" t="s">
        <v>132</v>
      </c>
      <c r="FI80" s="1" t="s">
        <v>123</v>
      </c>
      <c r="FJ80" t="s">
        <v>132</v>
      </c>
      <c r="FL80" t="s">
        <v>132</v>
      </c>
      <c r="GQ80" t="s">
        <v>1043</v>
      </c>
      <c r="GR80" t="s">
        <v>1044</v>
      </c>
      <c r="GS80" t="s">
        <v>1045</v>
      </c>
      <c r="GT80" t="s">
        <v>186</v>
      </c>
      <c r="GU80">
        <v>1982</v>
      </c>
      <c r="GV80" t="str">
        <f>VLOOKUP(AnalizaCzyste[[#This Row],[Rok urodzenia]],KategorieWiekowe[],2,1)</f>
        <v>36–45 lat</v>
      </c>
      <c r="GW80" t="s">
        <v>246</v>
      </c>
    </row>
    <row r="81" spans="1:208" hidden="1" x14ac:dyDescent="0.45">
      <c r="A81">
        <v>111</v>
      </c>
      <c r="B81">
        <f>_xlfn.IFNA(VLOOKUP(AnalizaCzyste[[#This Row],[Zakończono wypełnianie]],Zakończone[],2,0),"BRAK")</f>
        <v>66</v>
      </c>
      <c r="C81">
        <f>COUNTA(I81:HA81)</f>
        <v>38</v>
      </c>
      <c r="D81" t="s">
        <v>1047</v>
      </c>
      <c r="E81" t="s">
        <v>1048</v>
      </c>
      <c r="F81">
        <v>1978</v>
      </c>
      <c r="I81" s="1" t="s">
        <v>123</v>
      </c>
      <c r="Y81" s="1" t="s">
        <v>124</v>
      </c>
      <c r="Z81" t="s">
        <v>1290</v>
      </c>
      <c r="AA81" t="str">
        <f>VLOOKUP(AnalizaCzyste[[#This Row],[Jak się nazywa uczelnia którą ukończyłeś? (proszę o wybranie jednej uczelni podlegającej ocenie)]],KategorieUczelni[],2,0)</f>
        <v>Niepubliczna</v>
      </c>
      <c r="AB81">
        <v>2009</v>
      </c>
      <c r="AC81" t="s">
        <v>148</v>
      </c>
      <c r="AD81" t="s">
        <v>1050</v>
      </c>
      <c r="AE81" t="s">
        <v>150</v>
      </c>
      <c r="AF81" t="s">
        <v>162</v>
      </c>
      <c r="AG81" t="s">
        <v>169</v>
      </c>
      <c r="AH81" t="s">
        <v>162</v>
      </c>
      <c r="AI81" t="s">
        <v>150</v>
      </c>
      <c r="AJ81" t="s">
        <v>1051</v>
      </c>
      <c r="AK81" t="s">
        <v>302</v>
      </c>
      <c r="AL81" t="s">
        <v>153</v>
      </c>
      <c r="AM81" t="s">
        <v>1052</v>
      </c>
      <c r="AN81" t="s">
        <v>1053</v>
      </c>
      <c r="AO81" t="s">
        <v>1054</v>
      </c>
      <c r="AP81" t="s">
        <v>230</v>
      </c>
      <c r="AQ81" t="s">
        <v>1050</v>
      </c>
      <c r="AR81" s="1" t="s">
        <v>123</v>
      </c>
      <c r="CL81" s="1" t="s">
        <v>123</v>
      </c>
      <c r="CV81" s="1" t="s">
        <v>123</v>
      </c>
      <c r="DF81" s="1" t="s">
        <v>123</v>
      </c>
      <c r="EI81" s="1" t="s">
        <v>123</v>
      </c>
      <c r="EJ81" t="s">
        <v>180</v>
      </c>
      <c r="EK81" t="s">
        <v>132</v>
      </c>
      <c r="FI81" s="1" t="s">
        <v>123</v>
      </c>
      <c r="FJ81" t="s">
        <v>132</v>
      </c>
      <c r="FL81" t="s">
        <v>132</v>
      </c>
      <c r="GQ81" t="s">
        <v>1055</v>
      </c>
      <c r="GR81" t="s">
        <v>1056</v>
      </c>
      <c r="GS81" t="s">
        <v>1057</v>
      </c>
      <c r="GT81" t="s">
        <v>186</v>
      </c>
      <c r="GU81">
        <v>1978</v>
      </c>
      <c r="GV81" t="str">
        <f>VLOOKUP(AnalizaCzyste[[#This Row],[Rok urodzenia]],KategorieWiekowe[],2,1)</f>
        <v>36–45 lat</v>
      </c>
      <c r="GW81" t="s">
        <v>141</v>
      </c>
      <c r="GY81" t="s">
        <v>1058</v>
      </c>
    </row>
    <row r="82" spans="1:208" hidden="1" x14ac:dyDescent="0.45">
      <c r="A82">
        <v>113</v>
      </c>
      <c r="B82">
        <f>_xlfn.IFNA(VLOOKUP(AnalizaCzyste[[#This Row],[Zakończono wypełnianie]],Zakończone[],2,0),"BRAK")</f>
        <v>67</v>
      </c>
      <c r="C82">
        <f>COUNTA(I82:HA82)</f>
        <v>33</v>
      </c>
      <c r="D82" t="s">
        <v>1066</v>
      </c>
      <c r="E82" t="s">
        <v>1067</v>
      </c>
      <c r="F82">
        <v>2803</v>
      </c>
      <c r="I82" s="1" t="s">
        <v>123</v>
      </c>
      <c r="Y82" s="1" t="s">
        <v>124</v>
      </c>
      <c r="Z82" t="s">
        <v>1439</v>
      </c>
      <c r="AA82" t="str">
        <f>VLOOKUP(AnalizaCzyste[[#This Row],[Jak się nazywa uczelnia którą ukończyłeś? (proszę o wybranie jednej uczelni podlegającej ocenie)]],KategorieUczelni[],2,0)</f>
        <v>Niepubliczna</v>
      </c>
      <c r="AB82">
        <v>2019</v>
      </c>
      <c r="AC82" t="s">
        <v>148</v>
      </c>
      <c r="AD82" t="s">
        <v>1069</v>
      </c>
      <c r="AE82" t="s">
        <v>128</v>
      </c>
      <c r="AF82" t="s">
        <v>151</v>
      </c>
      <c r="AG82" t="s">
        <v>128</v>
      </c>
      <c r="AH82" t="s">
        <v>129</v>
      </c>
      <c r="AI82" t="s">
        <v>132</v>
      </c>
      <c r="AJ82" t="s">
        <v>1070</v>
      </c>
      <c r="AK82" t="s">
        <v>153</v>
      </c>
      <c r="AL82" t="s">
        <v>132</v>
      </c>
      <c r="AN82" t="s">
        <v>1071</v>
      </c>
      <c r="AO82" t="s">
        <v>1072</v>
      </c>
      <c r="AP82" t="s">
        <v>892</v>
      </c>
      <c r="AR82" s="1" t="s">
        <v>123</v>
      </c>
      <c r="CL82" s="1" t="s">
        <v>123</v>
      </c>
      <c r="CV82" s="1" t="s">
        <v>123</v>
      </c>
      <c r="DF82" s="1" t="s">
        <v>123</v>
      </c>
      <c r="EI82" s="1" t="s">
        <v>123</v>
      </c>
      <c r="FI82" s="1" t="s">
        <v>123</v>
      </c>
      <c r="FJ82" t="s">
        <v>132</v>
      </c>
      <c r="GQ82" t="s">
        <v>1073</v>
      </c>
      <c r="GR82" t="s">
        <v>1074</v>
      </c>
      <c r="GS82" t="s">
        <v>1075</v>
      </c>
      <c r="GT82" t="s">
        <v>140</v>
      </c>
      <c r="GU82">
        <v>1991</v>
      </c>
      <c r="GV82" t="str">
        <f>VLOOKUP(AnalizaCzyste[[#This Row],[Rok urodzenia]],KategorieWiekowe[],2,1)</f>
        <v>26–35 lat</v>
      </c>
      <c r="GW82" t="s">
        <v>398</v>
      </c>
      <c r="GZ82" t="s">
        <v>1076</v>
      </c>
    </row>
    <row r="83" spans="1:208" hidden="1" x14ac:dyDescent="0.45">
      <c r="A83">
        <v>114</v>
      </c>
      <c r="B83">
        <f>_xlfn.IFNA(VLOOKUP(AnalizaCzyste[[#This Row],[Zakończono wypełnianie]],Zakończone[],2,0),"BRAK")</f>
        <v>68</v>
      </c>
      <c r="C83">
        <f>COUNTA(I83:HA83)</f>
        <v>42</v>
      </c>
      <c r="D83" t="s">
        <v>1078</v>
      </c>
      <c r="E83" t="s">
        <v>1079</v>
      </c>
      <c r="F83">
        <v>862</v>
      </c>
      <c r="I83" s="1" t="s">
        <v>123</v>
      </c>
      <c r="Y83" s="1" t="s">
        <v>124</v>
      </c>
      <c r="Z83" t="s">
        <v>223</v>
      </c>
      <c r="AA83" t="str">
        <f>VLOOKUP(AnalizaCzyste[[#This Row],[Jak się nazywa uczelnia którą ukończyłeś? (proszę o wybranie jednej uczelni podlegającej ocenie)]],KategorieUczelni[],2,0)</f>
        <v>Publiczna</v>
      </c>
      <c r="AB83">
        <v>2007</v>
      </c>
      <c r="AC83" t="s">
        <v>148</v>
      </c>
      <c r="AD83" t="s">
        <v>969</v>
      </c>
      <c r="AE83" t="s">
        <v>151</v>
      </c>
      <c r="AF83" t="s">
        <v>151</v>
      </c>
      <c r="AG83" t="s">
        <v>150</v>
      </c>
      <c r="AH83" t="s">
        <v>162</v>
      </c>
      <c r="AI83" t="s">
        <v>150</v>
      </c>
      <c r="AJ83" t="s">
        <v>237</v>
      </c>
      <c r="AK83" t="s">
        <v>131</v>
      </c>
      <c r="AL83" t="s">
        <v>302</v>
      </c>
      <c r="AN83" t="s">
        <v>1080</v>
      </c>
      <c r="AO83" t="s">
        <v>1081</v>
      </c>
      <c r="AP83" t="s">
        <v>230</v>
      </c>
      <c r="AR83" s="1" t="s">
        <v>123</v>
      </c>
      <c r="CL83" s="1" t="s">
        <v>123</v>
      </c>
      <c r="CV83" s="1" t="s">
        <v>123</v>
      </c>
      <c r="DF83" s="1" t="s">
        <v>123</v>
      </c>
      <c r="EI83" s="1" t="s">
        <v>123</v>
      </c>
      <c r="EJ83" t="s">
        <v>178</v>
      </c>
      <c r="EK83" t="s">
        <v>132</v>
      </c>
      <c r="EL83" t="s">
        <v>1082</v>
      </c>
      <c r="EM83" t="s">
        <v>151</v>
      </c>
      <c r="EN83" t="s">
        <v>151</v>
      </c>
      <c r="EO83" t="s">
        <v>151</v>
      </c>
      <c r="EP83" t="s">
        <v>178</v>
      </c>
      <c r="ER83" t="s">
        <v>1083</v>
      </c>
      <c r="ES83" t="s">
        <v>173</v>
      </c>
      <c r="FI83" s="1" t="s">
        <v>123</v>
      </c>
      <c r="FJ83" t="s">
        <v>132</v>
      </c>
      <c r="FL83" t="s">
        <v>132</v>
      </c>
      <c r="GQ83" t="s">
        <v>1084</v>
      </c>
      <c r="GR83" t="s">
        <v>1085</v>
      </c>
      <c r="GS83" t="s">
        <v>1086</v>
      </c>
      <c r="GT83" t="s">
        <v>140</v>
      </c>
      <c r="GU83">
        <v>1982</v>
      </c>
      <c r="GV83" t="str">
        <f>VLOOKUP(AnalizaCzyste[[#This Row],[Rok urodzenia]],KategorieWiekowe[],2,1)</f>
        <v>36–45 lat</v>
      </c>
      <c r="GW83" t="s">
        <v>141</v>
      </c>
    </row>
    <row r="84" spans="1:208" hidden="1" x14ac:dyDescent="0.45">
      <c r="A84">
        <v>115</v>
      </c>
      <c r="B84">
        <f>_xlfn.IFNA(VLOOKUP(AnalizaCzyste[[#This Row],[Zakończono wypełnianie]],Zakończone[],2,0),"BRAK")</f>
        <v>69</v>
      </c>
      <c r="C84">
        <f>COUNTA(I84:HA84)</f>
        <v>33</v>
      </c>
      <c r="D84" t="s">
        <v>1088</v>
      </c>
      <c r="E84" t="s">
        <v>1089</v>
      </c>
      <c r="F84">
        <v>1206</v>
      </c>
      <c r="I84" s="1" t="s">
        <v>123</v>
      </c>
      <c r="Y84" s="1" t="s">
        <v>124</v>
      </c>
      <c r="Z84" t="s">
        <v>1090</v>
      </c>
      <c r="AA84" t="str">
        <f>VLOOKUP(AnalizaCzyste[[#This Row],[Jak się nazywa uczelnia którą ukończyłeś? (proszę o wybranie jednej uczelni podlegającej ocenie)]],KategorieUczelni[],2,0)</f>
        <v>Publiczna</v>
      </c>
      <c r="AB84">
        <v>2004</v>
      </c>
      <c r="AC84" t="s">
        <v>126</v>
      </c>
      <c r="AD84" t="s">
        <v>844</v>
      </c>
      <c r="AE84" t="s">
        <v>162</v>
      </c>
      <c r="AF84" t="s">
        <v>162</v>
      </c>
      <c r="AG84" t="s">
        <v>150</v>
      </c>
      <c r="AH84" t="s">
        <v>151</v>
      </c>
      <c r="AI84" t="s">
        <v>150</v>
      </c>
      <c r="AJ84" t="s">
        <v>237</v>
      </c>
      <c r="AK84" t="s">
        <v>302</v>
      </c>
      <c r="AL84" t="s">
        <v>226</v>
      </c>
      <c r="AM84" t="s">
        <v>1091</v>
      </c>
      <c r="AN84" t="s">
        <v>1092</v>
      </c>
      <c r="AO84" t="s">
        <v>1093</v>
      </c>
      <c r="AP84" t="s">
        <v>157</v>
      </c>
      <c r="AR84" s="1" t="s">
        <v>123</v>
      </c>
      <c r="CL84" s="1" t="s">
        <v>123</v>
      </c>
      <c r="CV84" s="1" t="s">
        <v>123</v>
      </c>
      <c r="DF84" s="1" t="s">
        <v>123</v>
      </c>
      <c r="EI84" s="1" t="s">
        <v>123</v>
      </c>
      <c r="FI84" s="1" t="s">
        <v>123</v>
      </c>
      <c r="FJ84" t="s">
        <v>132</v>
      </c>
      <c r="GQ84" t="s">
        <v>1094</v>
      </c>
      <c r="GR84" t="s">
        <v>1095</v>
      </c>
      <c r="GS84" t="s">
        <v>1096</v>
      </c>
      <c r="GT84" t="s">
        <v>140</v>
      </c>
      <c r="GU84">
        <v>1976</v>
      </c>
      <c r="GV84" t="str">
        <f>VLOOKUP(AnalizaCzyste[[#This Row],[Rok urodzenia]],KategorieWiekowe[],2,1)</f>
        <v>36–45 lat</v>
      </c>
      <c r="GW84" t="s">
        <v>141</v>
      </c>
    </row>
    <row r="85" spans="1:208" hidden="1" x14ac:dyDescent="0.45">
      <c r="A85">
        <v>117</v>
      </c>
      <c r="B85">
        <f>_xlfn.IFNA(VLOOKUP(AnalizaCzyste[[#This Row],[Zakończono wypełnianie]],Zakończone[],2,0),"BRAK")</f>
        <v>70</v>
      </c>
      <c r="C85">
        <f>COUNTA(I85:HA85)</f>
        <v>31</v>
      </c>
      <c r="D85" t="s">
        <v>1099</v>
      </c>
      <c r="E85" t="s">
        <v>1100</v>
      </c>
      <c r="F85">
        <v>358</v>
      </c>
      <c r="I85" s="1" t="s">
        <v>123</v>
      </c>
      <c r="Y85" s="1" t="s">
        <v>124</v>
      </c>
      <c r="Z85" t="s">
        <v>1090</v>
      </c>
      <c r="AA85" t="str">
        <f>VLOOKUP(AnalizaCzyste[[#This Row],[Jak się nazywa uczelnia którą ukończyłeś? (proszę o wybranie jednej uczelni podlegającej ocenie)]],KategorieUczelni[],2,0)</f>
        <v>Publiczna</v>
      </c>
      <c r="AB85">
        <v>2018</v>
      </c>
      <c r="AC85" t="s">
        <v>126</v>
      </c>
      <c r="AD85" t="s">
        <v>844</v>
      </c>
      <c r="AE85" t="s">
        <v>150</v>
      </c>
      <c r="AF85" t="s">
        <v>151</v>
      </c>
      <c r="AG85" t="s">
        <v>162</v>
      </c>
      <c r="AH85" t="s">
        <v>150</v>
      </c>
      <c r="AI85" t="s">
        <v>132</v>
      </c>
      <c r="AJ85">
        <v>1</v>
      </c>
      <c r="AK85" t="s">
        <v>153</v>
      </c>
      <c r="AL85" t="s">
        <v>132</v>
      </c>
      <c r="AN85" t="s">
        <v>1101</v>
      </c>
      <c r="AO85" t="s">
        <v>1102</v>
      </c>
      <c r="AP85" t="s">
        <v>157</v>
      </c>
      <c r="AR85" s="1" t="s">
        <v>123</v>
      </c>
      <c r="CL85" s="1" t="s">
        <v>123</v>
      </c>
      <c r="CV85" s="1" t="s">
        <v>123</v>
      </c>
      <c r="DF85" s="1" t="s">
        <v>123</v>
      </c>
      <c r="EI85" s="1" t="s">
        <v>123</v>
      </c>
      <c r="FI85" s="1" t="s">
        <v>123</v>
      </c>
      <c r="GQ85" t="s">
        <v>1103</v>
      </c>
      <c r="GR85" t="s">
        <v>1104</v>
      </c>
      <c r="GS85" t="s">
        <v>1105</v>
      </c>
      <c r="GT85" t="s">
        <v>140</v>
      </c>
      <c r="GU85">
        <v>1991</v>
      </c>
      <c r="GV85" t="str">
        <f>VLOOKUP(AnalizaCzyste[[#This Row],[Rok urodzenia]],KategorieWiekowe[],2,1)</f>
        <v>26–35 lat</v>
      </c>
      <c r="GW85" t="s">
        <v>141</v>
      </c>
    </row>
    <row r="86" spans="1:208" hidden="1" x14ac:dyDescent="0.45">
      <c r="A86">
        <v>123</v>
      </c>
      <c r="B86">
        <f>_xlfn.IFNA(VLOOKUP(AnalizaCzyste[[#This Row],[Zakończono wypełnianie]],Zakończone[],2,0),"BRAK")</f>
        <v>72</v>
      </c>
      <c r="C86">
        <f>COUNTA(I86:HA86)</f>
        <v>33</v>
      </c>
      <c r="D86" t="s">
        <v>1143</v>
      </c>
      <c r="E86" t="s">
        <v>1144</v>
      </c>
      <c r="F86">
        <v>258</v>
      </c>
      <c r="I86" s="1" t="s">
        <v>123</v>
      </c>
      <c r="Y86" s="1" t="s">
        <v>124</v>
      </c>
      <c r="Z86" t="s">
        <v>1439</v>
      </c>
      <c r="AA86" t="str">
        <f>VLOOKUP(AnalizaCzyste[[#This Row],[Jak się nazywa uczelnia którą ukończyłeś? (proszę o wybranie jednej uczelni podlegającej ocenie)]],KategorieUczelni[],2,0)</f>
        <v>Niepubliczna</v>
      </c>
      <c r="AB86">
        <v>2016</v>
      </c>
      <c r="AC86" t="s">
        <v>126</v>
      </c>
      <c r="AD86" t="s">
        <v>1146</v>
      </c>
      <c r="AE86" t="s">
        <v>150</v>
      </c>
      <c r="AF86" t="s">
        <v>150</v>
      </c>
      <c r="AG86" t="s">
        <v>169</v>
      </c>
      <c r="AH86" t="s">
        <v>169</v>
      </c>
      <c r="AI86" t="s">
        <v>169</v>
      </c>
      <c r="AJ86">
        <v>3</v>
      </c>
      <c r="AK86" t="s">
        <v>302</v>
      </c>
      <c r="AL86" t="s">
        <v>943</v>
      </c>
      <c r="AN86" t="s">
        <v>1147</v>
      </c>
      <c r="AO86" t="s">
        <v>1148</v>
      </c>
      <c r="AP86" t="s">
        <v>892</v>
      </c>
      <c r="AR86" s="1" t="s">
        <v>123</v>
      </c>
      <c r="CL86" s="1" t="s">
        <v>123</v>
      </c>
      <c r="CV86" s="1" t="s">
        <v>123</v>
      </c>
      <c r="DF86" s="1" t="s">
        <v>123</v>
      </c>
      <c r="EI86" s="1" t="s">
        <v>123</v>
      </c>
      <c r="EJ86" t="s">
        <v>178</v>
      </c>
      <c r="EK86">
        <v>1</v>
      </c>
      <c r="FI86" s="1" t="s">
        <v>123</v>
      </c>
      <c r="GQ86" t="s">
        <v>1149</v>
      </c>
      <c r="GR86" t="s">
        <v>1149</v>
      </c>
      <c r="GS86" t="s">
        <v>1150</v>
      </c>
      <c r="GT86" t="s">
        <v>186</v>
      </c>
      <c r="GU86">
        <v>1986</v>
      </c>
      <c r="GV86" t="str">
        <f>VLOOKUP(AnalizaCzyste[[#This Row],[Rok urodzenia]],KategorieWiekowe[],2,1)</f>
        <v>26–35 lat</v>
      </c>
      <c r="GW86" t="s">
        <v>398</v>
      </c>
    </row>
    <row r="87" spans="1:208" hidden="1" x14ac:dyDescent="0.45">
      <c r="A87">
        <v>139</v>
      </c>
      <c r="B87">
        <f>_xlfn.IFNA(VLOOKUP(AnalizaCzyste[[#This Row],[Zakończono wypełnianie]],Zakończone[],2,0),"BRAK")</f>
        <v>84</v>
      </c>
      <c r="C87">
        <f>COUNTA(I87:HA87)</f>
        <v>48</v>
      </c>
      <c r="D87" t="s">
        <v>1303</v>
      </c>
      <c r="E87" t="s">
        <v>1304</v>
      </c>
      <c r="F87">
        <v>558</v>
      </c>
      <c r="I87" s="1" t="s">
        <v>416</v>
      </c>
      <c r="J87" t="s">
        <v>191</v>
      </c>
      <c r="K87" t="s">
        <v>126</v>
      </c>
      <c r="L87" t="s">
        <v>1305</v>
      </c>
      <c r="M87" t="s">
        <v>162</v>
      </c>
      <c r="N87" t="s">
        <v>128</v>
      </c>
      <c r="O87" t="s">
        <v>150</v>
      </c>
      <c r="P87" t="s">
        <v>1306</v>
      </c>
      <c r="Q87" t="s">
        <v>153</v>
      </c>
      <c r="R87" t="s">
        <v>759</v>
      </c>
      <c r="S87" t="s">
        <v>1307</v>
      </c>
      <c r="T87" t="s">
        <v>1308</v>
      </c>
      <c r="U87" t="s">
        <v>1309</v>
      </c>
      <c r="V87" t="s">
        <v>230</v>
      </c>
      <c r="X87">
        <v>2</v>
      </c>
      <c r="Y87" s="1" t="s">
        <v>124</v>
      </c>
      <c r="Z87" t="s">
        <v>191</v>
      </c>
      <c r="AA87" t="str">
        <f>VLOOKUP(AnalizaCzyste[[#This Row],[Jak się nazywa uczelnia którą ukończyłeś? (proszę o wybranie jednej uczelni podlegającej ocenie)]],KategorieUczelni[],2,0)</f>
        <v>Publiczna</v>
      </c>
      <c r="AB87">
        <v>2015</v>
      </c>
      <c r="AC87" t="s">
        <v>126</v>
      </c>
      <c r="AD87" t="s">
        <v>1312</v>
      </c>
      <c r="AE87" t="s">
        <v>162</v>
      </c>
      <c r="AF87" t="s">
        <v>128</v>
      </c>
      <c r="AG87" t="s">
        <v>162</v>
      </c>
      <c r="AH87" t="s">
        <v>162</v>
      </c>
      <c r="AI87" t="s">
        <v>162</v>
      </c>
      <c r="AJ87" t="s">
        <v>237</v>
      </c>
      <c r="AK87" t="s">
        <v>302</v>
      </c>
      <c r="AL87" t="s">
        <v>153</v>
      </c>
      <c r="AM87" t="s">
        <v>1313</v>
      </c>
      <c r="AN87" t="s">
        <v>1314</v>
      </c>
      <c r="AO87" t="s">
        <v>1315</v>
      </c>
      <c r="AP87" t="s">
        <v>172</v>
      </c>
      <c r="AR87" s="1" t="s">
        <v>123</v>
      </c>
      <c r="CL87" s="1" t="s">
        <v>123</v>
      </c>
      <c r="CV87" s="1" t="s">
        <v>123</v>
      </c>
      <c r="DF87" s="1" t="s">
        <v>123</v>
      </c>
      <c r="EI87" s="1" t="s">
        <v>123</v>
      </c>
      <c r="FI87" s="1" t="s">
        <v>123</v>
      </c>
      <c r="GQ87" t="s">
        <v>1316</v>
      </c>
      <c r="GR87" t="s">
        <v>1317</v>
      </c>
      <c r="GS87" t="s">
        <v>1318</v>
      </c>
      <c r="GT87" t="s">
        <v>186</v>
      </c>
      <c r="GU87">
        <v>1992</v>
      </c>
      <c r="GV87" t="str">
        <f>VLOOKUP(AnalizaCzyste[[#This Row],[Rok urodzenia]],KategorieWiekowe[],2,1)</f>
        <v>26–35 lat</v>
      </c>
      <c r="GW87" t="s">
        <v>398</v>
      </c>
      <c r="GY87" t="s">
        <v>1319</v>
      </c>
      <c r="GZ87" t="s">
        <v>1320</v>
      </c>
    </row>
    <row r="88" spans="1:208" hidden="1" x14ac:dyDescent="0.45">
      <c r="A88">
        <v>141</v>
      </c>
      <c r="B88">
        <f>_xlfn.IFNA(VLOOKUP(AnalizaCzyste[[#This Row],[Zakończono wypełnianie]],Zakończone[],2,0),"BRAK")</f>
        <v>85</v>
      </c>
      <c r="C88">
        <f>COUNTA(I88:HA88)</f>
        <v>35</v>
      </c>
      <c r="D88" t="s">
        <v>1323</v>
      </c>
      <c r="E88" t="s">
        <v>1324</v>
      </c>
      <c r="F88">
        <v>767</v>
      </c>
      <c r="I88" s="1" t="s">
        <v>123</v>
      </c>
      <c r="Y88" s="1" t="s">
        <v>124</v>
      </c>
      <c r="Z88" t="s">
        <v>191</v>
      </c>
      <c r="AA88" t="str">
        <f>VLOOKUP(AnalizaCzyste[[#This Row],[Jak się nazywa uczelnia którą ukończyłeś? (proszę o wybranie jednej uczelni podlegającej ocenie)]],KategorieUczelni[],2,0)</f>
        <v>Publiczna</v>
      </c>
      <c r="AB88">
        <v>2018</v>
      </c>
      <c r="AC88" t="s">
        <v>126</v>
      </c>
      <c r="AD88" t="s">
        <v>1325</v>
      </c>
      <c r="AE88" t="s">
        <v>150</v>
      </c>
      <c r="AF88" t="s">
        <v>150</v>
      </c>
      <c r="AG88" t="s">
        <v>128</v>
      </c>
      <c r="AH88" t="s">
        <v>236</v>
      </c>
      <c r="AI88" t="s">
        <v>128</v>
      </c>
      <c r="AJ88">
        <v>1</v>
      </c>
      <c r="AK88" t="s">
        <v>302</v>
      </c>
      <c r="AL88" t="s">
        <v>226</v>
      </c>
      <c r="AM88" t="s">
        <v>1326</v>
      </c>
      <c r="AN88" t="s">
        <v>1327</v>
      </c>
      <c r="AO88" t="s">
        <v>1328</v>
      </c>
      <c r="AP88" t="s">
        <v>157</v>
      </c>
      <c r="AR88" s="1" t="s">
        <v>123</v>
      </c>
      <c r="CL88" s="1" t="s">
        <v>123</v>
      </c>
      <c r="CV88" s="1" t="s">
        <v>123</v>
      </c>
      <c r="DF88" s="1" t="s">
        <v>123</v>
      </c>
      <c r="EI88" s="1" t="s">
        <v>123</v>
      </c>
      <c r="EJ88" t="s">
        <v>180</v>
      </c>
      <c r="FI88" s="1" t="s">
        <v>123</v>
      </c>
      <c r="GQ88" t="s">
        <v>1329</v>
      </c>
      <c r="GR88" t="s">
        <v>1329</v>
      </c>
      <c r="GS88" t="s">
        <v>132</v>
      </c>
      <c r="GT88" t="s">
        <v>186</v>
      </c>
      <c r="GU88">
        <v>1991</v>
      </c>
      <c r="GV88" t="str">
        <f>VLOOKUP(AnalizaCzyste[[#This Row],[Rok urodzenia]],KategorieWiekowe[],2,1)</f>
        <v>26–35 lat</v>
      </c>
      <c r="GW88" t="s">
        <v>220</v>
      </c>
      <c r="GY88" t="s">
        <v>1330</v>
      </c>
      <c r="GZ88" t="s">
        <v>532</v>
      </c>
    </row>
    <row r="89" spans="1:208" hidden="1" x14ac:dyDescent="0.45">
      <c r="A89">
        <v>145</v>
      </c>
      <c r="B89">
        <f>_xlfn.IFNA(VLOOKUP(AnalizaCzyste[[#This Row],[Zakończono wypełnianie]],Zakończone[],2,0),"BRAK")</f>
        <v>86</v>
      </c>
      <c r="C89">
        <f>COUNTA(I89:HA89)</f>
        <v>44</v>
      </c>
      <c r="D89" t="s">
        <v>1337</v>
      </c>
      <c r="E89" t="s">
        <v>1338</v>
      </c>
      <c r="F89">
        <v>516</v>
      </c>
      <c r="I89" s="1" t="s">
        <v>123</v>
      </c>
      <c r="Y89" s="1" t="s">
        <v>124</v>
      </c>
      <c r="Z89" t="s">
        <v>191</v>
      </c>
      <c r="AA89" t="str">
        <f>VLOOKUP(AnalizaCzyste[[#This Row],[Jak się nazywa uczelnia którą ukończyłeś? (proszę o wybranie jednej uczelni podlegającej ocenie)]],KategorieUczelni[],2,0)</f>
        <v>Publiczna</v>
      </c>
      <c r="AB89">
        <v>2007</v>
      </c>
      <c r="AC89" t="s">
        <v>126</v>
      </c>
      <c r="AD89" t="s">
        <v>1339</v>
      </c>
      <c r="AE89" t="s">
        <v>162</v>
      </c>
      <c r="AF89" t="s">
        <v>162</v>
      </c>
      <c r="AG89" t="s">
        <v>150</v>
      </c>
      <c r="AH89" t="s">
        <v>169</v>
      </c>
      <c r="AI89" t="s">
        <v>169</v>
      </c>
      <c r="AJ89" t="s">
        <v>1340</v>
      </c>
      <c r="AK89" t="s">
        <v>131</v>
      </c>
      <c r="AL89" t="s">
        <v>759</v>
      </c>
      <c r="AM89" t="s">
        <v>1341</v>
      </c>
      <c r="AN89" t="s">
        <v>1342</v>
      </c>
      <c r="AO89" t="s">
        <v>1343</v>
      </c>
      <c r="AP89" t="s">
        <v>157</v>
      </c>
      <c r="AQ89" t="s">
        <v>1344</v>
      </c>
      <c r="AR89" s="1" t="s">
        <v>123</v>
      </c>
      <c r="CL89" s="1" t="s">
        <v>123</v>
      </c>
      <c r="CV89" s="1" t="s">
        <v>123</v>
      </c>
      <c r="DF89" s="1" t="s">
        <v>123</v>
      </c>
      <c r="EI89" s="1" t="s">
        <v>177</v>
      </c>
      <c r="EJ89" t="s">
        <v>178</v>
      </c>
      <c r="EK89" t="s">
        <v>132</v>
      </c>
      <c r="EL89" t="s">
        <v>191</v>
      </c>
      <c r="EM89" t="s">
        <v>236</v>
      </c>
      <c r="EN89" t="s">
        <v>236</v>
      </c>
      <c r="EO89" t="s">
        <v>151</v>
      </c>
      <c r="EP89" t="s">
        <v>178</v>
      </c>
      <c r="EQ89" t="s">
        <v>1345</v>
      </c>
      <c r="ER89" t="s">
        <v>1346</v>
      </c>
      <c r="ES89" t="s">
        <v>173</v>
      </c>
      <c r="FI89" s="1" t="s">
        <v>123</v>
      </c>
      <c r="GQ89" t="s">
        <v>1347</v>
      </c>
      <c r="GR89" t="s">
        <v>1348</v>
      </c>
      <c r="GS89" t="s">
        <v>1349</v>
      </c>
      <c r="GT89" t="s">
        <v>186</v>
      </c>
      <c r="GU89">
        <v>1982</v>
      </c>
      <c r="GV89" t="str">
        <f>VLOOKUP(AnalizaCzyste[[#This Row],[Rok urodzenia]],KategorieWiekowe[],2,1)</f>
        <v>36–45 lat</v>
      </c>
      <c r="GW89" t="s">
        <v>141</v>
      </c>
      <c r="GY89" t="s">
        <v>1350</v>
      </c>
    </row>
    <row r="90" spans="1:208" hidden="1" x14ac:dyDescent="0.45">
      <c r="A90">
        <v>149</v>
      </c>
      <c r="B90">
        <f>_xlfn.IFNA(VLOOKUP(AnalizaCzyste[[#This Row],[Zakończono wypełnianie]],Zakończone[],2,0),"BRAK")</f>
        <v>87</v>
      </c>
      <c r="C90">
        <f>COUNTA(I90:HA90)</f>
        <v>33</v>
      </c>
      <c r="D90" t="s">
        <v>1359</v>
      </c>
      <c r="E90" t="s">
        <v>1360</v>
      </c>
      <c r="F90">
        <v>8266</v>
      </c>
      <c r="I90" s="1" t="s">
        <v>123</v>
      </c>
      <c r="Y90" s="1" t="s">
        <v>124</v>
      </c>
      <c r="Z90" t="s">
        <v>160</v>
      </c>
      <c r="AA90" t="str">
        <f>VLOOKUP(AnalizaCzyste[[#This Row],[Jak się nazywa uczelnia którą ukończyłeś? (proszę o wybranie jednej uczelni podlegającej ocenie)]],KategorieUczelni[],2,0)</f>
        <v>Publiczna</v>
      </c>
      <c r="AB90">
        <v>2010</v>
      </c>
      <c r="AC90" t="s">
        <v>148</v>
      </c>
      <c r="AD90" t="s">
        <v>1361</v>
      </c>
      <c r="AE90" t="s">
        <v>236</v>
      </c>
      <c r="AF90" t="s">
        <v>150</v>
      </c>
      <c r="AG90" t="s">
        <v>129</v>
      </c>
      <c r="AH90" t="s">
        <v>129</v>
      </c>
      <c r="AI90" t="s">
        <v>129</v>
      </c>
      <c r="AJ90" t="s">
        <v>1362</v>
      </c>
      <c r="AK90" t="s">
        <v>153</v>
      </c>
      <c r="AL90" t="s">
        <v>153</v>
      </c>
      <c r="AM90" t="s">
        <v>1363</v>
      </c>
      <c r="AN90" t="s">
        <v>1364</v>
      </c>
      <c r="AO90" t="s">
        <v>1365</v>
      </c>
      <c r="AP90" t="s">
        <v>157</v>
      </c>
      <c r="AR90" s="1" t="s">
        <v>123</v>
      </c>
      <c r="CL90" s="1" t="s">
        <v>123</v>
      </c>
      <c r="CV90" s="1" t="s">
        <v>123</v>
      </c>
      <c r="DF90" s="1" t="s">
        <v>123</v>
      </c>
      <c r="EI90" s="1" t="s">
        <v>123</v>
      </c>
      <c r="FI90" s="1" t="s">
        <v>123</v>
      </c>
      <c r="GQ90" t="s">
        <v>1366</v>
      </c>
      <c r="GR90" t="s">
        <v>1367</v>
      </c>
      <c r="GS90" t="s">
        <v>532</v>
      </c>
      <c r="GT90" t="s">
        <v>140</v>
      </c>
      <c r="GU90">
        <v>1986</v>
      </c>
      <c r="GV90" t="str">
        <f>VLOOKUP(AnalizaCzyste[[#This Row],[Rok urodzenia]],KategorieWiekowe[],2,1)</f>
        <v>26–35 lat</v>
      </c>
      <c r="GW90" t="s">
        <v>398</v>
      </c>
      <c r="GY90" t="s">
        <v>1368</v>
      </c>
    </row>
    <row r="91" spans="1:208" hidden="1" x14ac:dyDescent="0.45">
      <c r="A91">
        <v>153</v>
      </c>
      <c r="B91">
        <f>_xlfn.IFNA(VLOOKUP(AnalizaCzyste[[#This Row],[Zakończono wypełnianie]],Zakończone[],2,0),"BRAK")</f>
        <v>88</v>
      </c>
      <c r="C91">
        <f>COUNTA(I91:HA91)</f>
        <v>34</v>
      </c>
      <c r="D91" t="s">
        <v>1376</v>
      </c>
      <c r="E91" t="s">
        <v>1377</v>
      </c>
      <c r="F91">
        <v>352</v>
      </c>
      <c r="I91" s="1" t="s">
        <v>123</v>
      </c>
      <c r="Y91" s="1" t="s">
        <v>124</v>
      </c>
      <c r="Z91" t="s">
        <v>223</v>
      </c>
      <c r="AA91" t="str">
        <f>VLOOKUP(AnalizaCzyste[[#This Row],[Jak się nazywa uczelnia którą ukończyłeś? (proszę o wybranie jednej uczelni podlegającej ocenie)]],KategorieUczelni[],2,0)</f>
        <v>Publiczna</v>
      </c>
      <c r="AB91">
        <v>2000</v>
      </c>
      <c r="AC91" t="s">
        <v>148</v>
      </c>
      <c r="AD91" t="s">
        <v>161</v>
      </c>
      <c r="AE91" t="s">
        <v>162</v>
      </c>
      <c r="AF91" t="s">
        <v>162</v>
      </c>
      <c r="AG91" t="s">
        <v>150</v>
      </c>
      <c r="AH91" t="s">
        <v>129</v>
      </c>
      <c r="AI91" t="s">
        <v>128</v>
      </c>
      <c r="AJ91">
        <v>5</v>
      </c>
      <c r="AK91" t="s">
        <v>302</v>
      </c>
      <c r="AL91" t="s">
        <v>302</v>
      </c>
      <c r="AM91" t="s">
        <v>1378</v>
      </c>
      <c r="AN91" t="s">
        <v>1379</v>
      </c>
      <c r="AO91" t="s">
        <v>1380</v>
      </c>
      <c r="AP91" t="s">
        <v>172</v>
      </c>
      <c r="AR91" s="1" t="s">
        <v>123</v>
      </c>
      <c r="CL91" s="1" t="s">
        <v>123</v>
      </c>
      <c r="CV91" s="1" t="s">
        <v>123</v>
      </c>
      <c r="DF91" s="1" t="s">
        <v>123</v>
      </c>
      <c r="EI91" s="1" t="s">
        <v>123</v>
      </c>
      <c r="FI91" s="1" t="s">
        <v>123</v>
      </c>
      <c r="GQ91" t="s">
        <v>1381</v>
      </c>
      <c r="GR91" t="s">
        <v>1382</v>
      </c>
      <c r="GS91" t="s">
        <v>1383</v>
      </c>
      <c r="GT91" t="s">
        <v>140</v>
      </c>
      <c r="GU91">
        <v>1982</v>
      </c>
      <c r="GV91" t="str">
        <f>VLOOKUP(AnalizaCzyste[[#This Row],[Rok urodzenia]],KategorieWiekowe[],2,1)</f>
        <v>36–45 lat</v>
      </c>
      <c r="GW91" t="s">
        <v>246</v>
      </c>
      <c r="GY91" t="s">
        <v>386</v>
      </c>
      <c r="GZ91" t="s">
        <v>386</v>
      </c>
    </row>
    <row r="92" spans="1:208" hidden="1" x14ac:dyDescent="0.45">
      <c r="A92">
        <v>156</v>
      </c>
      <c r="B92">
        <f>_xlfn.IFNA(VLOOKUP(AnalizaCzyste[[#This Row],[Zakończono wypełnianie]],Zakończone[],2,0),"BRAK")</f>
        <v>90</v>
      </c>
      <c r="C92">
        <f>COUNTA(I92:HA92)</f>
        <v>33</v>
      </c>
      <c r="D92" t="s">
        <v>1391</v>
      </c>
      <c r="E92" t="s">
        <v>1392</v>
      </c>
      <c r="F92">
        <v>415</v>
      </c>
      <c r="I92" s="1" t="s">
        <v>123</v>
      </c>
      <c r="Y92" s="1" t="s">
        <v>124</v>
      </c>
      <c r="Z92" t="s">
        <v>191</v>
      </c>
      <c r="AA92" t="str">
        <f>VLOOKUP(AnalizaCzyste[[#This Row],[Jak się nazywa uczelnia którą ukończyłeś? (proszę o wybranie jednej uczelni podlegającej ocenie)]],KategorieUczelni[],2,0)</f>
        <v>Publiczna</v>
      </c>
      <c r="AB92">
        <v>2012</v>
      </c>
      <c r="AC92" t="s">
        <v>126</v>
      </c>
      <c r="AD92" t="s">
        <v>1393</v>
      </c>
      <c r="AE92" t="s">
        <v>162</v>
      </c>
      <c r="AF92" t="s">
        <v>150</v>
      </c>
      <c r="AG92" t="s">
        <v>150</v>
      </c>
      <c r="AH92" t="s">
        <v>236</v>
      </c>
      <c r="AI92" t="s">
        <v>236</v>
      </c>
      <c r="AJ92" t="s">
        <v>1340</v>
      </c>
      <c r="AK92" t="s">
        <v>302</v>
      </c>
      <c r="AL92" t="s">
        <v>153</v>
      </c>
      <c r="AM92" t="s">
        <v>1394</v>
      </c>
      <c r="AN92" t="s">
        <v>1395</v>
      </c>
      <c r="AO92" t="s">
        <v>1396</v>
      </c>
      <c r="AQ92" t="s">
        <v>1397</v>
      </c>
      <c r="AR92" s="1" t="s">
        <v>123</v>
      </c>
      <c r="CL92" s="1" t="s">
        <v>123</v>
      </c>
      <c r="CV92" s="1" t="s">
        <v>123</v>
      </c>
      <c r="DF92" s="1" t="s">
        <v>123</v>
      </c>
      <c r="EI92" s="1" t="s">
        <v>123</v>
      </c>
      <c r="FI92" s="1" t="s">
        <v>123</v>
      </c>
      <c r="GQ92" t="s">
        <v>1398</v>
      </c>
      <c r="GR92" t="s">
        <v>1399</v>
      </c>
      <c r="GS92" t="s">
        <v>1400</v>
      </c>
      <c r="GT92" t="s">
        <v>140</v>
      </c>
      <c r="GU92">
        <v>1985</v>
      </c>
      <c r="GV92" t="str">
        <f>VLOOKUP(AnalizaCzyste[[#This Row],[Rok urodzenia]],KategorieWiekowe[],2,1)</f>
        <v>26–35 lat</v>
      </c>
      <c r="GW92" t="s">
        <v>141</v>
      </c>
      <c r="GY92" t="s">
        <v>1401</v>
      </c>
    </row>
    <row r="93" spans="1:208" hidden="1" x14ac:dyDescent="0.45">
      <c r="A93">
        <v>158</v>
      </c>
      <c r="B93">
        <f>_xlfn.IFNA(VLOOKUP(AnalizaCzyste[[#This Row],[Zakończono wypełnianie]],Zakończone[],2,0),"BRAK")</f>
        <v>91</v>
      </c>
      <c r="C93">
        <f>COUNTA(I93:HA93)</f>
        <v>33</v>
      </c>
      <c r="D93" t="s">
        <v>1403</v>
      </c>
      <c r="E93" t="s">
        <v>1404</v>
      </c>
      <c r="F93">
        <v>325</v>
      </c>
      <c r="I93" s="1" t="s">
        <v>123</v>
      </c>
      <c r="Y93" s="1" t="s">
        <v>124</v>
      </c>
      <c r="Z93" t="s">
        <v>223</v>
      </c>
      <c r="AA93" t="str">
        <f>VLOOKUP(AnalizaCzyste[[#This Row],[Jak się nazywa uczelnia którą ukończyłeś? (proszę o wybranie jednej uczelni podlegającej ocenie)]],KategorieUczelni[],2,0)</f>
        <v>Publiczna</v>
      </c>
      <c r="AB93">
        <v>2013</v>
      </c>
      <c r="AC93" t="s">
        <v>148</v>
      </c>
      <c r="AD93" t="s">
        <v>958</v>
      </c>
      <c r="AE93" t="s">
        <v>128</v>
      </c>
      <c r="AF93" t="s">
        <v>128</v>
      </c>
      <c r="AG93" t="s">
        <v>162</v>
      </c>
      <c r="AH93" t="s">
        <v>151</v>
      </c>
      <c r="AI93" t="s">
        <v>151</v>
      </c>
      <c r="AJ93">
        <v>3</v>
      </c>
      <c r="AK93" t="s">
        <v>131</v>
      </c>
      <c r="AL93" t="s">
        <v>153</v>
      </c>
      <c r="AM93" t="s">
        <v>1405</v>
      </c>
      <c r="AN93" t="s">
        <v>1406</v>
      </c>
      <c r="AO93" t="s">
        <v>1407</v>
      </c>
      <c r="AP93" t="s">
        <v>157</v>
      </c>
      <c r="AR93" s="1" t="s">
        <v>123</v>
      </c>
      <c r="CL93" s="1" t="s">
        <v>123</v>
      </c>
      <c r="CV93" s="1" t="s">
        <v>123</v>
      </c>
      <c r="DF93" s="1" t="s">
        <v>123</v>
      </c>
      <c r="EI93" s="1" t="s">
        <v>123</v>
      </c>
      <c r="FI93" s="1" t="s">
        <v>123</v>
      </c>
      <c r="GQ93" t="s">
        <v>1408</v>
      </c>
      <c r="GR93" t="s">
        <v>1409</v>
      </c>
      <c r="GS93" t="s">
        <v>1410</v>
      </c>
      <c r="GT93" t="s">
        <v>140</v>
      </c>
      <c r="GU93">
        <v>1984</v>
      </c>
      <c r="GV93" t="str">
        <f>VLOOKUP(AnalizaCzyste[[#This Row],[Rok urodzenia]],KategorieWiekowe[],2,1)</f>
        <v>36–45 lat</v>
      </c>
      <c r="GW93" t="s">
        <v>398</v>
      </c>
      <c r="GY93" t="s">
        <v>1411</v>
      </c>
    </row>
    <row r="94" spans="1:208" hidden="1" x14ac:dyDescent="0.45">
      <c r="A94">
        <v>159</v>
      </c>
      <c r="B94">
        <f>_xlfn.IFNA(VLOOKUP(AnalizaCzyste[[#This Row],[Zakończono wypełnianie]],Zakończone[],2,0),"BRAK")</f>
        <v>92</v>
      </c>
      <c r="C94">
        <f>COUNTA(I94:HA94)</f>
        <v>34</v>
      </c>
      <c r="D94" t="s">
        <v>1413</v>
      </c>
      <c r="E94" t="s">
        <v>1414</v>
      </c>
      <c r="F94">
        <v>1007</v>
      </c>
      <c r="I94" s="1" t="s">
        <v>123</v>
      </c>
      <c r="Y94" s="1" t="s">
        <v>124</v>
      </c>
      <c r="Z94" t="s">
        <v>1415</v>
      </c>
      <c r="AA94" t="str">
        <f>VLOOKUP(AnalizaCzyste[[#This Row],[Jak się nazywa uczelnia którą ukończyłeś? (proszę o wybranie jednej uczelni podlegającej ocenie)]],KategorieUczelni[],2,0)</f>
        <v>Publiczna</v>
      </c>
      <c r="AB94">
        <v>2006</v>
      </c>
      <c r="AC94" t="s">
        <v>148</v>
      </c>
      <c r="AD94" t="s">
        <v>263</v>
      </c>
      <c r="AE94" t="s">
        <v>169</v>
      </c>
      <c r="AF94" t="s">
        <v>169</v>
      </c>
      <c r="AG94" t="s">
        <v>169</v>
      </c>
      <c r="AH94" t="s">
        <v>150</v>
      </c>
      <c r="AI94" t="s">
        <v>169</v>
      </c>
      <c r="AJ94" t="s">
        <v>1416</v>
      </c>
      <c r="AK94" t="s">
        <v>131</v>
      </c>
      <c r="AL94" t="s">
        <v>153</v>
      </c>
      <c r="AM94" t="s">
        <v>1417</v>
      </c>
      <c r="AN94" t="s">
        <v>1418</v>
      </c>
      <c r="AO94" t="s">
        <v>1419</v>
      </c>
      <c r="AQ94" t="s">
        <v>1420</v>
      </c>
      <c r="AR94" s="1" t="s">
        <v>123</v>
      </c>
      <c r="CL94" s="1" t="s">
        <v>123</v>
      </c>
      <c r="CV94" s="1" t="s">
        <v>123</v>
      </c>
      <c r="DF94" s="1" t="s">
        <v>123</v>
      </c>
      <c r="EI94" s="1" t="s">
        <v>123</v>
      </c>
      <c r="FI94" s="1" t="s">
        <v>123</v>
      </c>
      <c r="GQ94" t="s">
        <v>1421</v>
      </c>
      <c r="GR94" t="s">
        <v>1422</v>
      </c>
      <c r="GS94" t="s">
        <v>142</v>
      </c>
      <c r="GT94" t="s">
        <v>140</v>
      </c>
      <c r="GU94">
        <v>1983</v>
      </c>
      <c r="GV94" t="str">
        <f>VLOOKUP(AnalizaCzyste[[#This Row],[Rok urodzenia]],KategorieWiekowe[],2,1)</f>
        <v>36–45 lat</v>
      </c>
      <c r="GW94" t="s">
        <v>141</v>
      </c>
      <c r="GY94" t="s">
        <v>1423</v>
      </c>
      <c r="GZ94" t="s">
        <v>132</v>
      </c>
    </row>
    <row r="95" spans="1:208" hidden="1" x14ac:dyDescent="0.45">
      <c r="A95">
        <v>162</v>
      </c>
      <c r="B95">
        <f>_xlfn.IFNA(VLOOKUP(AnalizaCzyste[[#This Row],[Zakończono wypełnianie]],Zakończone[],2,0),"BRAK")</f>
        <v>93</v>
      </c>
      <c r="C95">
        <f>COUNTA(I95:HA95)</f>
        <v>32</v>
      </c>
      <c r="D95" t="s">
        <v>1426</v>
      </c>
      <c r="E95" t="s">
        <v>1427</v>
      </c>
      <c r="F95">
        <v>490</v>
      </c>
      <c r="I95" s="1" t="s">
        <v>123</v>
      </c>
      <c r="Y95" s="1" t="s">
        <v>124</v>
      </c>
      <c r="Z95" t="s">
        <v>1415</v>
      </c>
      <c r="AA95" t="str">
        <f>VLOOKUP(AnalizaCzyste[[#This Row],[Jak się nazywa uczelnia którą ukończyłeś? (proszę o wybranie jednej uczelni podlegającej ocenie)]],KategorieUczelni[],2,0)</f>
        <v>Publiczna</v>
      </c>
      <c r="AB95">
        <v>2006</v>
      </c>
      <c r="AC95" t="s">
        <v>126</v>
      </c>
      <c r="AD95" t="s">
        <v>192</v>
      </c>
      <c r="AE95" t="s">
        <v>150</v>
      </c>
      <c r="AF95" t="s">
        <v>150</v>
      </c>
      <c r="AG95" t="s">
        <v>169</v>
      </c>
      <c r="AH95" t="s">
        <v>150</v>
      </c>
      <c r="AI95" t="s">
        <v>150</v>
      </c>
      <c r="AJ95" t="s">
        <v>237</v>
      </c>
      <c r="AK95" t="s">
        <v>226</v>
      </c>
      <c r="AL95" t="s">
        <v>1428</v>
      </c>
      <c r="AM95" t="s">
        <v>1429</v>
      </c>
      <c r="AN95" t="s">
        <v>1430</v>
      </c>
      <c r="AO95" t="s">
        <v>1431</v>
      </c>
      <c r="AP95" t="s">
        <v>157</v>
      </c>
      <c r="AR95" s="1" t="s">
        <v>123</v>
      </c>
      <c r="CL95" s="1" t="s">
        <v>123</v>
      </c>
      <c r="CV95" s="1" t="s">
        <v>123</v>
      </c>
      <c r="DF95" s="1" t="s">
        <v>123</v>
      </c>
      <c r="EI95" s="1" t="s">
        <v>123</v>
      </c>
      <c r="FI95" s="1" t="s">
        <v>123</v>
      </c>
      <c r="GQ95" t="s">
        <v>1432</v>
      </c>
      <c r="GR95" t="s">
        <v>1433</v>
      </c>
      <c r="GS95" t="s">
        <v>1434</v>
      </c>
      <c r="GT95" t="s">
        <v>186</v>
      </c>
      <c r="GU95">
        <v>1982</v>
      </c>
      <c r="GV95" t="str">
        <f>VLOOKUP(AnalizaCzyste[[#This Row],[Rok urodzenia]],KategorieWiekowe[],2,1)</f>
        <v>36–45 lat</v>
      </c>
      <c r="GW95" t="s">
        <v>141</v>
      </c>
    </row>
    <row r="96" spans="1:208" hidden="1" x14ac:dyDescent="0.45">
      <c r="A96">
        <v>164</v>
      </c>
      <c r="B96">
        <f>_xlfn.IFNA(VLOOKUP(AnalizaCzyste[[#This Row],[Zakończono wypełnianie]],Zakończone[],2,0),"BRAK")</f>
        <v>94</v>
      </c>
      <c r="C96">
        <f>COUNTA(I96:HA96)</f>
        <v>35</v>
      </c>
      <c r="D96" t="s">
        <v>1437</v>
      </c>
      <c r="E96" t="s">
        <v>1438</v>
      </c>
      <c r="F96">
        <v>880</v>
      </c>
      <c r="I96" s="1" t="s">
        <v>123</v>
      </c>
      <c r="Y96" s="1" t="s">
        <v>124</v>
      </c>
      <c r="Z96" t="s">
        <v>1439</v>
      </c>
      <c r="AA96" t="str">
        <f>VLOOKUP(AnalizaCzyste[[#This Row],[Jak się nazywa uczelnia którą ukończyłeś? (proszę o wybranie jednej uczelni podlegającej ocenie)]],KategorieUczelni[],2,0)</f>
        <v>Niepubliczna</v>
      </c>
      <c r="AB96">
        <v>2019</v>
      </c>
      <c r="AC96" t="s">
        <v>148</v>
      </c>
      <c r="AD96" t="s">
        <v>1440</v>
      </c>
      <c r="AE96" t="s">
        <v>128</v>
      </c>
      <c r="AF96" t="s">
        <v>128</v>
      </c>
      <c r="AG96" t="s">
        <v>150</v>
      </c>
      <c r="AH96" t="s">
        <v>169</v>
      </c>
      <c r="AI96" t="s">
        <v>169</v>
      </c>
      <c r="AJ96" t="s">
        <v>1441</v>
      </c>
      <c r="AK96" t="s">
        <v>302</v>
      </c>
      <c r="AL96" t="s">
        <v>226</v>
      </c>
      <c r="AM96" t="s">
        <v>1442</v>
      </c>
      <c r="AN96" t="s">
        <v>1443</v>
      </c>
      <c r="AO96" t="s">
        <v>1444</v>
      </c>
      <c r="AP96" t="s">
        <v>230</v>
      </c>
      <c r="AR96" s="1" t="s">
        <v>123</v>
      </c>
      <c r="CL96" s="1" t="s">
        <v>123</v>
      </c>
      <c r="CV96" s="1" t="s">
        <v>123</v>
      </c>
      <c r="DF96" s="1" t="s">
        <v>123</v>
      </c>
      <c r="EI96" s="1" t="s">
        <v>123</v>
      </c>
      <c r="EJ96" t="s">
        <v>178</v>
      </c>
      <c r="FI96" s="1" t="s">
        <v>123</v>
      </c>
      <c r="GQ96" t="s">
        <v>1445</v>
      </c>
      <c r="GR96" t="s">
        <v>1446</v>
      </c>
      <c r="GS96" t="s">
        <v>1447</v>
      </c>
      <c r="GT96" t="s">
        <v>140</v>
      </c>
      <c r="GU96">
        <v>1990</v>
      </c>
      <c r="GV96" t="str">
        <f>VLOOKUP(AnalizaCzyste[[#This Row],[Rok urodzenia]],KategorieWiekowe[],2,1)</f>
        <v>26–35 lat</v>
      </c>
      <c r="GW96" t="s">
        <v>398</v>
      </c>
      <c r="GY96" t="s">
        <v>1448</v>
      </c>
      <c r="GZ96" t="s">
        <v>1449</v>
      </c>
    </row>
    <row r="97" spans="1:209" hidden="1" x14ac:dyDescent="0.45">
      <c r="A97">
        <v>165</v>
      </c>
      <c r="B97">
        <f>_xlfn.IFNA(VLOOKUP(AnalizaCzyste[[#This Row],[Zakończono wypełnianie]],Zakończone[],2,0),"BRAK")</f>
        <v>95</v>
      </c>
      <c r="C97">
        <f>COUNTA(I97:HA97)</f>
        <v>34</v>
      </c>
      <c r="D97" t="s">
        <v>1450</v>
      </c>
      <c r="E97" t="s">
        <v>1451</v>
      </c>
      <c r="F97">
        <v>402</v>
      </c>
      <c r="I97" s="1" t="s">
        <v>123</v>
      </c>
      <c r="Y97" s="1" t="s">
        <v>124</v>
      </c>
      <c r="Z97" t="s">
        <v>223</v>
      </c>
      <c r="AA97" t="str">
        <f>VLOOKUP(AnalizaCzyste[[#This Row],[Jak się nazywa uczelnia którą ukończyłeś? (proszę o wybranie jednej uczelni podlegającej ocenie)]],KategorieUczelni[],2,0)</f>
        <v>Publiczna</v>
      </c>
      <c r="AB97">
        <v>2008</v>
      </c>
      <c r="AC97" t="s">
        <v>148</v>
      </c>
      <c r="AD97" t="s">
        <v>1452</v>
      </c>
      <c r="AE97" t="s">
        <v>128</v>
      </c>
      <c r="AF97" t="s">
        <v>236</v>
      </c>
      <c r="AG97" t="s">
        <v>129</v>
      </c>
      <c r="AH97" t="s">
        <v>129</v>
      </c>
      <c r="AI97" t="s">
        <v>128</v>
      </c>
      <c r="AJ97" t="s">
        <v>237</v>
      </c>
      <c r="AK97" t="s">
        <v>131</v>
      </c>
      <c r="AL97" t="s">
        <v>131</v>
      </c>
      <c r="AM97" t="s">
        <v>1453</v>
      </c>
      <c r="AN97" t="s">
        <v>1454</v>
      </c>
      <c r="AO97" t="s">
        <v>1005</v>
      </c>
      <c r="AP97" t="s">
        <v>157</v>
      </c>
      <c r="AR97" s="1" t="s">
        <v>123</v>
      </c>
      <c r="CL97" s="1" t="s">
        <v>123</v>
      </c>
      <c r="CV97" s="1" t="s">
        <v>123</v>
      </c>
      <c r="DF97" s="1" t="s">
        <v>123</v>
      </c>
      <c r="EI97" s="1" t="s">
        <v>123</v>
      </c>
      <c r="FI97" s="1" t="s">
        <v>123</v>
      </c>
      <c r="GQ97" t="s">
        <v>1455</v>
      </c>
      <c r="GR97" t="s">
        <v>1456</v>
      </c>
      <c r="GS97" t="s">
        <v>1457</v>
      </c>
      <c r="GT97" t="s">
        <v>140</v>
      </c>
      <c r="GU97">
        <v>1984</v>
      </c>
      <c r="GV97" t="str">
        <f>VLOOKUP(AnalizaCzyste[[#This Row],[Rok urodzenia]],KategorieWiekowe[],2,1)</f>
        <v>36–45 lat</v>
      </c>
      <c r="GW97" t="s">
        <v>220</v>
      </c>
      <c r="GY97" t="s">
        <v>386</v>
      </c>
      <c r="GZ97" t="s">
        <v>386</v>
      </c>
    </row>
    <row r="98" spans="1:209" hidden="1" x14ac:dyDescent="0.45">
      <c r="A98">
        <v>167</v>
      </c>
      <c r="B98">
        <f>_xlfn.IFNA(VLOOKUP(AnalizaCzyste[[#This Row],[Zakończono wypełnianie]],Zakończone[],2,0),"BRAK")</f>
        <v>96</v>
      </c>
      <c r="C98">
        <f>COUNTA(I98:HA98)</f>
        <v>33</v>
      </c>
      <c r="D98" t="s">
        <v>1459</v>
      </c>
      <c r="E98" t="s">
        <v>1460</v>
      </c>
      <c r="F98">
        <v>665</v>
      </c>
      <c r="I98" s="1" t="s">
        <v>123</v>
      </c>
      <c r="Y98" s="1" t="s">
        <v>124</v>
      </c>
      <c r="Z98" t="s">
        <v>1461</v>
      </c>
      <c r="AA98" t="str">
        <f>VLOOKUP(AnalizaCzyste[[#This Row],[Jak się nazywa uczelnia którą ukończyłeś? (proszę o wybranie jednej uczelni podlegającej ocenie)]],KategorieUczelni[],2,0)</f>
        <v>Publiczna</v>
      </c>
      <c r="AB98">
        <v>2007</v>
      </c>
      <c r="AC98" t="s">
        <v>148</v>
      </c>
      <c r="AD98" t="s">
        <v>1462</v>
      </c>
      <c r="AE98" t="s">
        <v>162</v>
      </c>
      <c r="AF98" t="s">
        <v>151</v>
      </c>
      <c r="AG98" t="s">
        <v>151</v>
      </c>
      <c r="AH98" t="s">
        <v>150</v>
      </c>
      <c r="AI98" t="s">
        <v>128</v>
      </c>
      <c r="AJ98">
        <v>2</v>
      </c>
      <c r="AK98" t="s">
        <v>302</v>
      </c>
      <c r="AL98" t="s">
        <v>302</v>
      </c>
      <c r="AM98" t="s">
        <v>1463</v>
      </c>
      <c r="AN98" t="s">
        <v>1464</v>
      </c>
      <c r="AO98" t="s">
        <v>1465</v>
      </c>
      <c r="AP98" t="s">
        <v>157</v>
      </c>
      <c r="AR98" s="1" t="s">
        <v>123</v>
      </c>
      <c r="CL98" s="1" t="s">
        <v>123</v>
      </c>
      <c r="CV98" s="1" t="s">
        <v>123</v>
      </c>
      <c r="DF98" s="1" t="s">
        <v>123</v>
      </c>
      <c r="EI98" s="1" t="s">
        <v>123</v>
      </c>
      <c r="FI98" s="1" t="s">
        <v>123</v>
      </c>
      <c r="GQ98" t="s">
        <v>1466</v>
      </c>
      <c r="GR98" t="s">
        <v>1467</v>
      </c>
      <c r="GS98" t="s">
        <v>1468</v>
      </c>
      <c r="GT98" t="s">
        <v>140</v>
      </c>
      <c r="GU98">
        <v>1982</v>
      </c>
      <c r="GV98" t="str">
        <f>VLOOKUP(AnalizaCzyste[[#This Row],[Rok urodzenia]],KategorieWiekowe[],2,1)</f>
        <v>36–45 lat</v>
      </c>
      <c r="GW98" t="s">
        <v>398</v>
      </c>
      <c r="GY98" t="s">
        <v>1469</v>
      </c>
    </row>
    <row r="99" spans="1:209" hidden="1" x14ac:dyDescent="0.45">
      <c r="A99">
        <v>169</v>
      </c>
      <c r="B99">
        <f>_xlfn.IFNA(VLOOKUP(AnalizaCzyste[[#This Row],[Zakończono wypełnianie]],Zakończone[],2,0),"BRAK")</f>
        <v>97</v>
      </c>
      <c r="C99">
        <f>COUNTA(I99:HA99)</f>
        <v>34</v>
      </c>
      <c r="D99" t="s">
        <v>1470</v>
      </c>
      <c r="E99" t="s">
        <v>1471</v>
      </c>
      <c r="F99">
        <v>495</v>
      </c>
      <c r="I99" s="1" t="s">
        <v>123</v>
      </c>
      <c r="Y99" s="1" t="s">
        <v>124</v>
      </c>
      <c r="Z99" t="s">
        <v>1472</v>
      </c>
      <c r="AA99" t="str">
        <f>VLOOKUP(AnalizaCzyste[[#This Row],[Jak się nazywa uczelnia którą ukończyłeś? (proszę o wybranie jednej uczelni podlegającej ocenie)]],KategorieUczelni[],2,0)</f>
        <v>Publiczna</v>
      </c>
      <c r="AC99" t="s">
        <v>148</v>
      </c>
      <c r="AD99" t="s">
        <v>1474</v>
      </c>
      <c r="AE99" t="s">
        <v>169</v>
      </c>
      <c r="AF99" t="s">
        <v>169</v>
      </c>
      <c r="AG99" t="s">
        <v>151</v>
      </c>
      <c r="AH99" t="s">
        <v>162</v>
      </c>
      <c r="AI99" t="s">
        <v>162</v>
      </c>
      <c r="AJ99" t="s">
        <v>1475</v>
      </c>
      <c r="AK99" t="s">
        <v>132</v>
      </c>
      <c r="AL99" t="s">
        <v>132</v>
      </c>
      <c r="AM99" t="s">
        <v>1476</v>
      </c>
      <c r="AN99" t="s">
        <v>1477</v>
      </c>
      <c r="AO99" t="s">
        <v>1473</v>
      </c>
      <c r="AP99" t="s">
        <v>157</v>
      </c>
      <c r="AR99" s="1" t="s">
        <v>123</v>
      </c>
      <c r="CL99" s="1" t="s">
        <v>123</v>
      </c>
      <c r="CV99" s="1" t="s">
        <v>123</v>
      </c>
      <c r="DF99" s="1" t="s">
        <v>123</v>
      </c>
      <c r="EI99" s="1" t="s">
        <v>123</v>
      </c>
      <c r="FI99" s="1" t="s">
        <v>123</v>
      </c>
      <c r="GQ99" t="s">
        <v>1478</v>
      </c>
      <c r="GR99" t="s">
        <v>1478</v>
      </c>
      <c r="GS99" t="s">
        <v>1473</v>
      </c>
      <c r="GT99" t="s">
        <v>140</v>
      </c>
      <c r="GU99" t="s">
        <v>1473</v>
      </c>
      <c r="GV99" t="e">
        <f>VLOOKUP(AnalizaCzyste[[#This Row],[Rok urodzenia]],KategorieWiekowe[],2,1)</f>
        <v>#N/A</v>
      </c>
      <c r="GW99" t="s">
        <v>398</v>
      </c>
      <c r="GY99" t="s">
        <v>1479</v>
      </c>
      <c r="GZ99" t="s">
        <v>1473</v>
      </c>
      <c r="HA99" t="s">
        <v>1473</v>
      </c>
    </row>
    <row r="100" spans="1:209" hidden="1" x14ac:dyDescent="0.45">
      <c r="A100">
        <v>171</v>
      </c>
      <c r="B100">
        <f>_xlfn.IFNA(VLOOKUP(AnalizaCzyste[[#This Row],[Zakończono wypełnianie]],Zakończone[],2,0),"BRAK")</f>
        <v>98</v>
      </c>
      <c r="C100">
        <f>COUNTA(I100:HA100)</f>
        <v>31</v>
      </c>
      <c r="D100" t="s">
        <v>1481</v>
      </c>
      <c r="E100" t="s">
        <v>1482</v>
      </c>
      <c r="F100">
        <v>562</v>
      </c>
      <c r="I100" s="1" t="s">
        <v>123</v>
      </c>
      <c r="Y100" s="1" t="s">
        <v>124</v>
      </c>
      <c r="Z100" t="s">
        <v>223</v>
      </c>
      <c r="AA100" t="str">
        <f>VLOOKUP(AnalizaCzyste[[#This Row],[Jak się nazywa uczelnia którą ukończyłeś? (proszę o wybranie jednej uczelni podlegającej ocenie)]],KategorieUczelni[],2,0)</f>
        <v>Publiczna</v>
      </c>
      <c r="AB100">
        <v>2014</v>
      </c>
      <c r="AC100" t="s">
        <v>148</v>
      </c>
      <c r="AD100" t="s">
        <v>1483</v>
      </c>
      <c r="AE100" t="s">
        <v>151</v>
      </c>
      <c r="AF100" t="s">
        <v>128</v>
      </c>
      <c r="AG100" t="s">
        <v>128</v>
      </c>
      <c r="AH100" t="s">
        <v>151</v>
      </c>
      <c r="AI100" t="s">
        <v>162</v>
      </c>
      <c r="AJ100" t="s">
        <v>1484</v>
      </c>
      <c r="AK100" t="s">
        <v>153</v>
      </c>
      <c r="AL100" t="s">
        <v>153</v>
      </c>
      <c r="AN100" t="s">
        <v>1485</v>
      </c>
      <c r="AO100" t="s">
        <v>1486</v>
      </c>
      <c r="AP100" t="s">
        <v>172</v>
      </c>
      <c r="AR100" s="1" t="s">
        <v>123</v>
      </c>
      <c r="CL100" s="1" t="s">
        <v>123</v>
      </c>
      <c r="CV100" s="1" t="s">
        <v>123</v>
      </c>
      <c r="DF100" s="1" t="s">
        <v>123</v>
      </c>
      <c r="EI100" s="1" t="s">
        <v>123</v>
      </c>
      <c r="FI100" s="1" t="s">
        <v>123</v>
      </c>
      <c r="GQ100" t="s">
        <v>1487</v>
      </c>
      <c r="GR100" t="s">
        <v>1488</v>
      </c>
      <c r="GS100" t="s">
        <v>1489</v>
      </c>
      <c r="GT100" t="s">
        <v>140</v>
      </c>
      <c r="GU100">
        <v>1991</v>
      </c>
      <c r="GV100" t="str">
        <f>VLOOKUP(AnalizaCzyste[[#This Row],[Rok urodzenia]],KategorieWiekowe[],2,1)</f>
        <v>26–35 lat</v>
      </c>
      <c r="GW100" t="s">
        <v>141</v>
      </c>
    </row>
    <row r="101" spans="1:209" hidden="1" x14ac:dyDescent="0.45">
      <c r="A101">
        <v>175</v>
      </c>
      <c r="B101">
        <f>_xlfn.IFNA(VLOOKUP(AnalizaCzyste[[#This Row],[Zakończono wypełnianie]],Zakończone[],2,0),"BRAK")</f>
        <v>99</v>
      </c>
      <c r="C101">
        <f>COUNTA(I101:HA101)</f>
        <v>32</v>
      </c>
      <c r="D101" t="s">
        <v>1493</v>
      </c>
      <c r="E101" t="s">
        <v>1494</v>
      </c>
      <c r="F101">
        <v>2185</v>
      </c>
      <c r="I101" s="1" t="s">
        <v>123</v>
      </c>
      <c r="Y101" s="1" t="s">
        <v>124</v>
      </c>
      <c r="Z101" t="s">
        <v>223</v>
      </c>
      <c r="AA101" t="str">
        <f>VLOOKUP(AnalizaCzyste[[#This Row],[Jak się nazywa uczelnia którą ukończyłeś? (proszę o wybranie jednej uczelni podlegającej ocenie)]],KategorieUczelni[],2,0)</f>
        <v>Publiczna</v>
      </c>
      <c r="AB101">
        <v>2005</v>
      </c>
      <c r="AC101" t="s">
        <v>148</v>
      </c>
      <c r="AD101" t="s">
        <v>1495</v>
      </c>
      <c r="AE101" t="s">
        <v>150</v>
      </c>
      <c r="AF101" t="s">
        <v>169</v>
      </c>
      <c r="AG101" t="s">
        <v>169</v>
      </c>
      <c r="AH101" t="s">
        <v>169</v>
      </c>
      <c r="AI101" t="s">
        <v>150</v>
      </c>
      <c r="AJ101" t="s">
        <v>237</v>
      </c>
      <c r="AK101" t="s">
        <v>131</v>
      </c>
      <c r="AL101" t="s">
        <v>302</v>
      </c>
      <c r="AN101" t="s">
        <v>1496</v>
      </c>
      <c r="AO101" t="s">
        <v>386</v>
      </c>
      <c r="AP101" t="s">
        <v>230</v>
      </c>
      <c r="AR101" s="1" t="s">
        <v>123</v>
      </c>
      <c r="CL101" s="1" t="s">
        <v>123</v>
      </c>
      <c r="CV101" s="1" t="s">
        <v>123</v>
      </c>
      <c r="DF101" s="1" t="s">
        <v>123</v>
      </c>
      <c r="EI101" s="1" t="s">
        <v>123</v>
      </c>
      <c r="EJ101" t="s">
        <v>178</v>
      </c>
      <c r="FI101" s="1" t="s">
        <v>123</v>
      </c>
      <c r="GQ101" t="s">
        <v>1497</v>
      </c>
      <c r="GR101" t="s">
        <v>1497</v>
      </c>
      <c r="GS101" t="s">
        <v>1497</v>
      </c>
      <c r="GT101" t="s">
        <v>186</v>
      </c>
      <c r="GU101">
        <v>1981</v>
      </c>
      <c r="GV101" t="str">
        <f>VLOOKUP(AnalizaCzyste[[#This Row],[Rok urodzenia]],KategorieWiekowe[],2,1)</f>
        <v>36–45 lat</v>
      </c>
      <c r="GW101" t="s">
        <v>246</v>
      </c>
    </row>
    <row r="102" spans="1:209" hidden="1" x14ac:dyDescent="0.45">
      <c r="A102">
        <v>178</v>
      </c>
      <c r="B102">
        <f>_xlfn.IFNA(VLOOKUP(AnalizaCzyste[[#This Row],[Zakończono wypełnianie]],Zakończone[],2,0),"BRAK")</f>
        <v>100</v>
      </c>
      <c r="C102">
        <f>COUNTA(I102:HA102)</f>
        <v>32</v>
      </c>
      <c r="D102" t="s">
        <v>1501</v>
      </c>
      <c r="E102" t="s">
        <v>1502</v>
      </c>
      <c r="F102">
        <v>1485</v>
      </c>
      <c r="I102" s="1" t="s">
        <v>123</v>
      </c>
      <c r="Y102" s="1" t="s">
        <v>124</v>
      </c>
      <c r="Z102" t="s">
        <v>1503</v>
      </c>
      <c r="AA102" t="str">
        <f>VLOOKUP(AnalizaCzyste[[#This Row],[Jak się nazywa uczelnia którą ukończyłeś? (proszę o wybranie jednej uczelni podlegającej ocenie)]],KategorieUczelni[],2,0)</f>
        <v>Publiczna</v>
      </c>
      <c r="AB102">
        <v>2016</v>
      </c>
      <c r="AC102" t="s">
        <v>148</v>
      </c>
      <c r="AD102" t="s">
        <v>1504</v>
      </c>
      <c r="AE102" t="s">
        <v>150</v>
      </c>
      <c r="AF102" t="s">
        <v>151</v>
      </c>
      <c r="AG102" t="s">
        <v>162</v>
      </c>
      <c r="AH102" t="s">
        <v>150</v>
      </c>
      <c r="AI102" t="s">
        <v>169</v>
      </c>
      <c r="AJ102">
        <v>4</v>
      </c>
      <c r="AK102" t="s">
        <v>302</v>
      </c>
      <c r="AL102" t="s">
        <v>153</v>
      </c>
      <c r="AM102" t="s">
        <v>1505</v>
      </c>
      <c r="AN102" t="s">
        <v>1506</v>
      </c>
      <c r="AO102" t="s">
        <v>1507</v>
      </c>
      <c r="AP102" t="s">
        <v>157</v>
      </c>
      <c r="AR102" s="1" t="s">
        <v>123</v>
      </c>
      <c r="CL102" s="1" t="s">
        <v>123</v>
      </c>
      <c r="CV102" s="1" t="s">
        <v>123</v>
      </c>
      <c r="DF102" s="1" t="s">
        <v>123</v>
      </c>
      <c r="EI102" s="1" t="s">
        <v>123</v>
      </c>
      <c r="FI102" s="1" t="s">
        <v>123</v>
      </c>
      <c r="GQ102" t="s">
        <v>1508</v>
      </c>
      <c r="GR102" t="s">
        <v>1509</v>
      </c>
      <c r="GS102" t="s">
        <v>1510</v>
      </c>
      <c r="GT102" t="s">
        <v>186</v>
      </c>
      <c r="GU102">
        <v>1991</v>
      </c>
      <c r="GV102" t="str">
        <f>VLOOKUP(AnalizaCzyste[[#This Row],[Rok urodzenia]],KategorieWiekowe[],2,1)</f>
        <v>26–35 lat</v>
      </c>
      <c r="GW102" t="s">
        <v>398</v>
      </c>
    </row>
    <row r="103" spans="1:209" hidden="1" x14ac:dyDescent="0.45">
      <c r="A103">
        <v>179</v>
      </c>
      <c r="B103">
        <f>_xlfn.IFNA(VLOOKUP(AnalizaCzyste[[#This Row],[Zakończono wypełnianie]],Zakończone[],2,0),"BRAK")</f>
        <v>101</v>
      </c>
      <c r="C103">
        <f>COUNTA(I103:HA103)</f>
        <v>43</v>
      </c>
      <c r="D103" t="s">
        <v>1512</v>
      </c>
      <c r="E103" t="s">
        <v>1513</v>
      </c>
      <c r="F103">
        <v>2685</v>
      </c>
      <c r="I103" s="1" t="s">
        <v>123</v>
      </c>
      <c r="Y103" s="1" t="s">
        <v>124</v>
      </c>
      <c r="Z103" t="s">
        <v>1514</v>
      </c>
      <c r="AA103" t="str">
        <f>VLOOKUP(AnalizaCzyste[[#This Row],[Jak się nazywa uczelnia którą ukończyłeś? (proszę o wybranie jednej uczelni podlegającej ocenie)]],KategorieUczelni[],2,0)</f>
        <v>Zagraniczna</v>
      </c>
      <c r="AB103">
        <v>1996</v>
      </c>
      <c r="AC103" t="s">
        <v>148</v>
      </c>
      <c r="AD103" t="s">
        <v>1515</v>
      </c>
      <c r="AE103" t="s">
        <v>162</v>
      </c>
      <c r="AF103" t="s">
        <v>151</v>
      </c>
      <c r="AG103" t="s">
        <v>162</v>
      </c>
      <c r="AH103" t="s">
        <v>162</v>
      </c>
      <c r="AI103" t="s">
        <v>151</v>
      </c>
      <c r="AJ103" t="s">
        <v>1516</v>
      </c>
      <c r="AK103" t="s">
        <v>194</v>
      </c>
      <c r="AL103" t="s">
        <v>194</v>
      </c>
      <c r="AM103" t="s">
        <v>1517</v>
      </c>
      <c r="AN103" t="s">
        <v>1518</v>
      </c>
      <c r="AO103" t="s">
        <v>1519</v>
      </c>
      <c r="AP103" t="s">
        <v>172</v>
      </c>
      <c r="AR103" s="1" t="s">
        <v>123</v>
      </c>
      <c r="CL103" s="1" t="s">
        <v>123</v>
      </c>
      <c r="CV103" s="1" t="s">
        <v>123</v>
      </c>
      <c r="DF103" s="1" t="s">
        <v>123</v>
      </c>
      <c r="EI103" s="1" t="s">
        <v>177</v>
      </c>
      <c r="EJ103" t="s">
        <v>180</v>
      </c>
      <c r="EK103">
        <v>1</v>
      </c>
      <c r="EL103" t="s">
        <v>1520</v>
      </c>
      <c r="EM103" t="s">
        <v>150</v>
      </c>
      <c r="EN103" t="s">
        <v>162</v>
      </c>
      <c r="EO103" t="s">
        <v>162</v>
      </c>
      <c r="EP103" t="s">
        <v>178</v>
      </c>
      <c r="EQ103" t="s">
        <v>1521</v>
      </c>
      <c r="ER103" t="s">
        <v>1522</v>
      </c>
      <c r="ES103" t="s">
        <v>173</v>
      </c>
      <c r="FI103" s="1" t="s">
        <v>123</v>
      </c>
      <c r="GQ103" t="s">
        <v>1523</v>
      </c>
      <c r="GR103" t="s">
        <v>1524</v>
      </c>
      <c r="GS103" t="s">
        <v>1525</v>
      </c>
      <c r="GT103" t="s">
        <v>186</v>
      </c>
      <c r="GU103">
        <v>1974</v>
      </c>
      <c r="GV103" t="str">
        <f>VLOOKUP(AnalizaCzyste[[#This Row],[Rok urodzenia]],KategorieWiekowe[],2,1)</f>
        <v>46–55 lat</v>
      </c>
      <c r="GW103" t="s">
        <v>398</v>
      </c>
      <c r="GY103" t="s">
        <v>1526</v>
      </c>
    </row>
    <row r="104" spans="1:209" hidden="1" x14ac:dyDescent="0.45">
      <c r="A104">
        <v>181</v>
      </c>
      <c r="B104">
        <f>_xlfn.IFNA(VLOOKUP(AnalizaCzyste[[#This Row],[Zakończono wypełnianie]],Zakończone[],2,0),"BRAK")</f>
        <v>102</v>
      </c>
      <c r="C104">
        <f>COUNTA(I104:HA104)</f>
        <v>34</v>
      </c>
      <c r="D104" t="s">
        <v>1528</v>
      </c>
      <c r="E104" t="s">
        <v>1529</v>
      </c>
      <c r="F104">
        <v>426</v>
      </c>
      <c r="I104" s="1" t="s">
        <v>416</v>
      </c>
      <c r="J104" t="s">
        <v>1439</v>
      </c>
      <c r="K104" t="s">
        <v>126</v>
      </c>
      <c r="L104" t="s">
        <v>192</v>
      </c>
      <c r="M104" t="s">
        <v>151</v>
      </c>
      <c r="N104" t="s">
        <v>162</v>
      </c>
      <c r="O104" t="s">
        <v>128</v>
      </c>
      <c r="P104" t="s">
        <v>1531</v>
      </c>
      <c r="Q104" t="s">
        <v>194</v>
      </c>
      <c r="R104" t="s">
        <v>194</v>
      </c>
      <c r="S104" t="s">
        <v>1532</v>
      </c>
      <c r="T104" t="s">
        <v>1533</v>
      </c>
      <c r="U104" t="s">
        <v>1534</v>
      </c>
      <c r="V104" t="s">
        <v>892</v>
      </c>
      <c r="X104">
        <v>7</v>
      </c>
      <c r="Y104" s="1" t="s">
        <v>123</v>
      </c>
      <c r="AA104" t="e">
        <f>VLOOKUP(AnalizaCzyste[[#This Row],[Jak się nazywa uczelnia którą ukończyłeś? (proszę o wybranie jednej uczelni podlegającej ocenie)]],KategorieUczelni[],2,0)</f>
        <v>#N/A</v>
      </c>
      <c r="AR104" s="1" t="s">
        <v>123</v>
      </c>
      <c r="CL104" s="1" t="s">
        <v>123</v>
      </c>
      <c r="CV104" s="1" t="s">
        <v>123</v>
      </c>
      <c r="DF104" s="1" t="s">
        <v>123</v>
      </c>
      <c r="EI104" s="1" t="s">
        <v>123</v>
      </c>
      <c r="EJ104" t="s">
        <v>178</v>
      </c>
      <c r="EK104" t="s">
        <v>132</v>
      </c>
      <c r="FI104" s="1" t="s">
        <v>123</v>
      </c>
      <c r="GQ104" t="s">
        <v>1535</v>
      </c>
      <c r="GR104" t="s">
        <v>1536</v>
      </c>
      <c r="GS104" t="s">
        <v>1537</v>
      </c>
      <c r="GT104" t="s">
        <v>140</v>
      </c>
      <c r="GU104">
        <v>1991</v>
      </c>
      <c r="GV104" t="str">
        <f>VLOOKUP(AnalizaCzyste[[#This Row],[Rok urodzenia]],KategorieWiekowe[],2,1)</f>
        <v>26–35 lat</v>
      </c>
      <c r="GW104" t="s">
        <v>141</v>
      </c>
      <c r="GY104" t="s">
        <v>1538</v>
      </c>
      <c r="GZ104" t="s">
        <v>1539</v>
      </c>
    </row>
    <row r="105" spans="1:209" hidden="1" x14ac:dyDescent="0.45">
      <c r="A105">
        <v>182</v>
      </c>
      <c r="B105">
        <f>_xlfn.IFNA(VLOOKUP(AnalizaCzyste[[#This Row],[Zakończono wypełnianie]],Zakończone[],2,0),"BRAK")</f>
        <v>103</v>
      </c>
      <c r="C105">
        <f>COUNTA(I105:HA105)</f>
        <v>34</v>
      </c>
      <c r="D105" t="s">
        <v>1541</v>
      </c>
      <c r="E105" t="s">
        <v>1542</v>
      </c>
      <c r="F105">
        <v>193</v>
      </c>
      <c r="I105" s="1" t="s">
        <v>123</v>
      </c>
      <c r="Y105" s="1" t="s">
        <v>124</v>
      </c>
      <c r="Z105" t="s">
        <v>191</v>
      </c>
      <c r="AA105" t="str">
        <f>VLOOKUP(AnalizaCzyste[[#This Row],[Jak się nazywa uczelnia którą ukończyłeś? (proszę o wybranie jednej uczelni podlegającej ocenie)]],KategorieUczelni[],2,0)</f>
        <v>Publiczna</v>
      </c>
      <c r="AB105">
        <v>2013</v>
      </c>
      <c r="AC105" t="s">
        <v>126</v>
      </c>
      <c r="AD105" t="s">
        <v>1544</v>
      </c>
      <c r="AE105" t="s">
        <v>236</v>
      </c>
      <c r="AF105" t="s">
        <v>236</v>
      </c>
      <c r="AG105" t="s">
        <v>162</v>
      </c>
      <c r="AH105" t="s">
        <v>236</v>
      </c>
      <c r="AI105" t="s">
        <v>236</v>
      </c>
      <c r="AJ105">
        <v>1</v>
      </c>
      <c r="AK105" t="s">
        <v>131</v>
      </c>
      <c r="AL105" t="s">
        <v>302</v>
      </c>
      <c r="AN105" t="s">
        <v>267</v>
      </c>
      <c r="AO105" t="s">
        <v>267</v>
      </c>
      <c r="AP105" t="s">
        <v>157</v>
      </c>
      <c r="AR105" s="1" t="s">
        <v>123</v>
      </c>
      <c r="CL105" s="1" t="s">
        <v>123</v>
      </c>
      <c r="CV105" s="1" t="s">
        <v>123</v>
      </c>
      <c r="DF105" s="1" t="s">
        <v>123</v>
      </c>
      <c r="EI105" s="1" t="s">
        <v>123</v>
      </c>
      <c r="FI105" s="1" t="s">
        <v>123</v>
      </c>
      <c r="GQ105" t="s">
        <v>267</v>
      </c>
      <c r="GR105" t="s">
        <v>267</v>
      </c>
      <c r="GS105" t="s">
        <v>267</v>
      </c>
      <c r="GT105" t="s">
        <v>186</v>
      </c>
      <c r="GU105">
        <v>1989</v>
      </c>
      <c r="GV105" t="str">
        <f>VLOOKUP(AnalizaCzyste[[#This Row],[Rok urodzenia]],KategorieWiekowe[],2,1)</f>
        <v>26–35 lat</v>
      </c>
      <c r="GW105" t="s">
        <v>141</v>
      </c>
      <c r="GY105" t="s">
        <v>267</v>
      </c>
      <c r="GZ105" t="s">
        <v>267</v>
      </c>
      <c r="HA105" t="s">
        <v>267</v>
      </c>
    </row>
    <row r="106" spans="1:209" hidden="1" x14ac:dyDescent="0.45">
      <c r="A106">
        <v>183</v>
      </c>
      <c r="B106">
        <f>_xlfn.IFNA(VLOOKUP(AnalizaCzyste[[#This Row],[Zakończono wypełnianie]],Zakończone[],2,0),"BRAK")</f>
        <v>104</v>
      </c>
      <c r="C106">
        <f>COUNTA(I106:HA106)</f>
        <v>33</v>
      </c>
      <c r="D106" t="s">
        <v>1546</v>
      </c>
      <c r="E106" t="s">
        <v>1547</v>
      </c>
      <c r="F106">
        <v>1556</v>
      </c>
      <c r="I106" s="1" t="s">
        <v>123</v>
      </c>
      <c r="Y106" s="1" t="s">
        <v>124</v>
      </c>
      <c r="Z106" t="s">
        <v>191</v>
      </c>
      <c r="AA106" t="str">
        <f>VLOOKUP(AnalizaCzyste[[#This Row],[Jak się nazywa uczelnia którą ukończyłeś? (proszę o wybranie jednej uczelni podlegającej ocenie)]],KategorieUczelni[],2,0)</f>
        <v>Publiczna</v>
      </c>
      <c r="AB106">
        <v>2018</v>
      </c>
      <c r="AC106" t="s">
        <v>126</v>
      </c>
      <c r="AD106" t="s">
        <v>192</v>
      </c>
      <c r="AE106" t="s">
        <v>150</v>
      </c>
      <c r="AF106" t="s">
        <v>162</v>
      </c>
      <c r="AG106" t="s">
        <v>150</v>
      </c>
      <c r="AH106" t="s">
        <v>162</v>
      </c>
      <c r="AI106" t="s">
        <v>169</v>
      </c>
      <c r="AJ106" t="s">
        <v>237</v>
      </c>
      <c r="AK106" t="s">
        <v>153</v>
      </c>
      <c r="AL106" t="s">
        <v>209</v>
      </c>
      <c r="AM106" t="s">
        <v>1548</v>
      </c>
      <c r="AN106" t="s">
        <v>1549</v>
      </c>
      <c r="AO106" t="s">
        <v>1550</v>
      </c>
      <c r="AP106" t="s">
        <v>230</v>
      </c>
      <c r="AR106" s="1" t="s">
        <v>123</v>
      </c>
      <c r="CL106" s="1" t="s">
        <v>123</v>
      </c>
      <c r="CV106" s="1" t="s">
        <v>123</v>
      </c>
      <c r="DF106" s="1" t="s">
        <v>123</v>
      </c>
      <c r="EI106" s="1" t="s">
        <v>123</v>
      </c>
      <c r="FI106" s="1" t="s">
        <v>123</v>
      </c>
      <c r="GQ106" t="s">
        <v>1551</v>
      </c>
      <c r="GR106" t="s">
        <v>1552</v>
      </c>
      <c r="GS106" t="s">
        <v>1553</v>
      </c>
      <c r="GT106" t="s">
        <v>186</v>
      </c>
      <c r="GU106">
        <v>1994</v>
      </c>
      <c r="GV106" t="str">
        <f>VLOOKUP(AnalizaCzyste[[#This Row],[Rok urodzenia]],KategorieWiekowe[],2,1)</f>
        <v>26–35 lat</v>
      </c>
      <c r="GW106" t="s">
        <v>483</v>
      </c>
      <c r="GY106" t="s">
        <v>1554</v>
      </c>
    </row>
    <row r="107" spans="1:209" hidden="1" x14ac:dyDescent="0.45">
      <c r="A107">
        <v>184</v>
      </c>
      <c r="B107">
        <f>_xlfn.IFNA(VLOOKUP(AnalizaCzyste[[#This Row],[Zakończono wypełnianie]],Zakończone[],2,0),"BRAK")</f>
        <v>105</v>
      </c>
      <c r="C107">
        <f>COUNTA(I107:HA107)</f>
        <v>34</v>
      </c>
      <c r="D107" t="s">
        <v>1556</v>
      </c>
      <c r="E107" t="s">
        <v>1557</v>
      </c>
      <c r="F107">
        <v>1119</v>
      </c>
      <c r="I107" s="1" t="s">
        <v>123</v>
      </c>
      <c r="Y107" s="1" t="s">
        <v>124</v>
      </c>
      <c r="Z107" t="s">
        <v>191</v>
      </c>
      <c r="AA107" t="str">
        <f>VLOOKUP(AnalizaCzyste[[#This Row],[Jak się nazywa uczelnia którą ukończyłeś? (proszę o wybranie jednej uczelni podlegającej ocenie)]],KategorieUczelni[],2,0)</f>
        <v>Publiczna</v>
      </c>
      <c r="AB107">
        <v>1997</v>
      </c>
      <c r="AC107" t="s">
        <v>126</v>
      </c>
      <c r="AD107" t="s">
        <v>1558</v>
      </c>
      <c r="AE107" t="s">
        <v>150</v>
      </c>
      <c r="AF107" t="s">
        <v>150</v>
      </c>
      <c r="AG107" t="s">
        <v>150</v>
      </c>
      <c r="AH107" t="s">
        <v>150</v>
      </c>
      <c r="AI107" t="s">
        <v>150</v>
      </c>
      <c r="AJ107" t="s">
        <v>1559</v>
      </c>
      <c r="AK107" t="s">
        <v>132</v>
      </c>
      <c r="AL107" t="s">
        <v>132</v>
      </c>
      <c r="AM107" t="s">
        <v>1560</v>
      </c>
      <c r="AN107" t="s">
        <v>1561</v>
      </c>
      <c r="AO107" t="s">
        <v>1562</v>
      </c>
      <c r="AP107" t="s">
        <v>172</v>
      </c>
      <c r="AR107" s="1" t="s">
        <v>123</v>
      </c>
      <c r="CL107" s="1" t="s">
        <v>123</v>
      </c>
      <c r="CV107" s="1" t="s">
        <v>123</v>
      </c>
      <c r="DF107" s="1" t="s">
        <v>123</v>
      </c>
      <c r="EI107" s="1" t="s">
        <v>123</v>
      </c>
      <c r="FI107" s="1" t="s">
        <v>123</v>
      </c>
      <c r="GQ107" t="s">
        <v>1563</v>
      </c>
      <c r="GR107" t="s">
        <v>1564</v>
      </c>
      <c r="GS107" t="s">
        <v>1565</v>
      </c>
      <c r="GT107" t="s">
        <v>186</v>
      </c>
      <c r="GU107">
        <v>1972</v>
      </c>
      <c r="GV107" t="str">
        <f>VLOOKUP(AnalizaCzyste[[#This Row],[Rok urodzenia]],KategorieWiekowe[],2,1)</f>
        <v>46–55 lat</v>
      </c>
      <c r="GW107" t="s">
        <v>483</v>
      </c>
      <c r="GY107" t="s">
        <v>1566</v>
      </c>
      <c r="GZ107" t="s">
        <v>142</v>
      </c>
    </row>
    <row r="108" spans="1:209" hidden="1" x14ac:dyDescent="0.45">
      <c r="A108">
        <v>187</v>
      </c>
      <c r="B108">
        <f>_xlfn.IFNA(VLOOKUP(AnalizaCzyste[[#This Row],[Zakończono wypełnianie]],Zakończone[],2,0),"BRAK")</f>
        <v>106</v>
      </c>
      <c r="C108">
        <f>COUNTA(I108:HA108)</f>
        <v>34</v>
      </c>
      <c r="D108" t="s">
        <v>1575</v>
      </c>
      <c r="E108" t="s">
        <v>1576</v>
      </c>
      <c r="F108">
        <v>701</v>
      </c>
      <c r="I108" s="1" t="s">
        <v>123</v>
      </c>
      <c r="Y108" s="1" t="s">
        <v>124</v>
      </c>
      <c r="Z108" t="s">
        <v>191</v>
      </c>
      <c r="AA108" t="str">
        <f>VLOOKUP(AnalizaCzyste[[#This Row],[Jak się nazywa uczelnia którą ukończyłeś? (proszę o wybranie jednej uczelni podlegającej ocenie)]],KategorieUczelni[],2,0)</f>
        <v>Publiczna</v>
      </c>
      <c r="AB108" s="42">
        <v>2009</v>
      </c>
      <c r="AC108" t="s">
        <v>126</v>
      </c>
      <c r="AD108" t="s">
        <v>1578</v>
      </c>
      <c r="AE108" t="s">
        <v>162</v>
      </c>
      <c r="AF108" t="s">
        <v>162</v>
      </c>
      <c r="AG108" t="s">
        <v>151</v>
      </c>
      <c r="AH108" t="s">
        <v>162</v>
      </c>
      <c r="AI108" t="s">
        <v>151</v>
      </c>
      <c r="AJ108" t="s">
        <v>530</v>
      </c>
      <c r="AK108" t="s">
        <v>302</v>
      </c>
      <c r="AL108" t="s">
        <v>302</v>
      </c>
      <c r="AN108" t="s">
        <v>1579</v>
      </c>
      <c r="AO108" t="s">
        <v>1580</v>
      </c>
      <c r="AP108" t="s">
        <v>157</v>
      </c>
      <c r="AQ108" t="s">
        <v>1581</v>
      </c>
      <c r="AR108" s="1" t="s">
        <v>123</v>
      </c>
      <c r="CL108" s="1" t="s">
        <v>123</v>
      </c>
      <c r="CV108" s="1" t="s">
        <v>123</v>
      </c>
      <c r="DF108" s="1" t="s">
        <v>123</v>
      </c>
      <c r="EI108" s="1" t="s">
        <v>123</v>
      </c>
      <c r="FI108" s="1" t="s">
        <v>123</v>
      </c>
      <c r="GQ108" t="s">
        <v>1582</v>
      </c>
      <c r="GR108" t="s">
        <v>1583</v>
      </c>
      <c r="GS108" t="s">
        <v>1584</v>
      </c>
      <c r="GT108" t="s">
        <v>140</v>
      </c>
      <c r="GU108">
        <v>1985</v>
      </c>
      <c r="GV108" t="str">
        <f>VLOOKUP(AnalizaCzyste[[#This Row],[Rok urodzenia]],KategorieWiekowe[],2,1)</f>
        <v>26–35 lat</v>
      </c>
      <c r="GW108" t="s">
        <v>220</v>
      </c>
      <c r="GY108" t="s">
        <v>1585</v>
      </c>
      <c r="GZ108" t="s">
        <v>1586</v>
      </c>
    </row>
    <row r="109" spans="1:209" hidden="1" x14ac:dyDescent="0.45">
      <c r="A109">
        <v>188</v>
      </c>
      <c r="B109">
        <f>_xlfn.IFNA(VLOOKUP(AnalizaCzyste[[#This Row],[Zakończono wypełnianie]],Zakończone[],2,0),"BRAK")</f>
        <v>107</v>
      </c>
      <c r="C109">
        <f>COUNTA(I109:HA109)</f>
        <v>67</v>
      </c>
      <c r="D109" t="s">
        <v>1588</v>
      </c>
      <c r="E109" t="s">
        <v>1589</v>
      </c>
      <c r="F109">
        <v>1788</v>
      </c>
      <c r="I109" s="1" t="s">
        <v>123</v>
      </c>
      <c r="Y109" s="1" t="s">
        <v>124</v>
      </c>
      <c r="Z109" t="s">
        <v>191</v>
      </c>
      <c r="AA109" t="str">
        <f>VLOOKUP(AnalizaCzyste[[#This Row],[Jak się nazywa uczelnia którą ukończyłeś? (proszę o wybranie jednej uczelni podlegającej ocenie)]],KategorieUczelni[],2,0)</f>
        <v>Publiczna</v>
      </c>
      <c r="AB109">
        <v>1983</v>
      </c>
      <c r="AC109" t="s">
        <v>126</v>
      </c>
      <c r="AD109" t="s">
        <v>1590</v>
      </c>
      <c r="AE109" t="s">
        <v>150</v>
      </c>
      <c r="AF109" t="s">
        <v>150</v>
      </c>
      <c r="AG109" t="s">
        <v>236</v>
      </c>
      <c r="AH109" t="s">
        <v>129</v>
      </c>
      <c r="AI109" t="s">
        <v>162</v>
      </c>
      <c r="AJ109">
        <v>36</v>
      </c>
      <c r="AK109" t="s">
        <v>132</v>
      </c>
      <c r="AL109" t="s">
        <v>132</v>
      </c>
      <c r="AM109" t="s">
        <v>1591</v>
      </c>
      <c r="AN109" t="s">
        <v>1592</v>
      </c>
      <c r="AO109" t="s">
        <v>1593</v>
      </c>
      <c r="AP109" t="s">
        <v>172</v>
      </c>
      <c r="AR109" s="1" t="s">
        <v>159</v>
      </c>
      <c r="AS109">
        <v>3</v>
      </c>
      <c r="AT109" t="s">
        <v>191</v>
      </c>
      <c r="AU109">
        <v>2019</v>
      </c>
      <c r="AV109" t="s">
        <v>126</v>
      </c>
      <c r="AW109" t="s">
        <v>1594</v>
      </c>
      <c r="AX109" t="s">
        <v>236</v>
      </c>
      <c r="AY109" t="s">
        <v>128</v>
      </c>
      <c r="AZ109" t="s">
        <v>162</v>
      </c>
      <c r="BA109" t="s">
        <v>151</v>
      </c>
      <c r="BB109" t="s">
        <v>132</v>
      </c>
      <c r="BC109" t="s">
        <v>1595</v>
      </c>
      <c r="BD109" t="s">
        <v>1596</v>
      </c>
      <c r="BE109" t="s">
        <v>157</v>
      </c>
      <c r="BH109" t="s">
        <v>173</v>
      </c>
      <c r="CL109" s="1" t="s">
        <v>123</v>
      </c>
      <c r="CV109" s="1" t="s">
        <v>123</v>
      </c>
      <c r="DF109" s="1" t="s">
        <v>123</v>
      </c>
      <c r="EI109" s="1" t="s">
        <v>177</v>
      </c>
      <c r="EJ109" t="s">
        <v>178</v>
      </c>
      <c r="EK109">
        <v>2</v>
      </c>
      <c r="EL109" t="s">
        <v>747</v>
      </c>
      <c r="EM109" t="s">
        <v>236</v>
      </c>
      <c r="EN109" t="s">
        <v>236</v>
      </c>
      <c r="EO109" t="s">
        <v>128</v>
      </c>
      <c r="EP109" t="s">
        <v>178</v>
      </c>
      <c r="EQ109" t="s">
        <v>1597</v>
      </c>
      <c r="ER109" t="s">
        <v>1598</v>
      </c>
      <c r="ES109" t="s">
        <v>1206</v>
      </c>
      <c r="ET109" t="s">
        <v>1599</v>
      </c>
      <c r="EU109" t="s">
        <v>129</v>
      </c>
      <c r="EV109" t="s">
        <v>129</v>
      </c>
      <c r="EW109" t="s">
        <v>236</v>
      </c>
      <c r="EX109" t="s">
        <v>178</v>
      </c>
      <c r="EY109" t="s">
        <v>1600</v>
      </c>
      <c r="EZ109" t="s">
        <v>1601</v>
      </c>
      <c r="FA109" t="s">
        <v>173</v>
      </c>
      <c r="FI109" s="1" t="s">
        <v>123</v>
      </c>
      <c r="GQ109" t="s">
        <v>1602</v>
      </c>
      <c r="GR109" t="s">
        <v>1603</v>
      </c>
      <c r="GS109" t="s">
        <v>1604</v>
      </c>
      <c r="GT109" t="s">
        <v>186</v>
      </c>
      <c r="GU109">
        <v>1959</v>
      </c>
      <c r="GV109" t="str">
        <f>VLOOKUP(AnalizaCzyste[[#This Row],[Rok urodzenia]],KategorieWiekowe[],2,1)</f>
        <v>56–65 lat</v>
      </c>
      <c r="GW109" t="s">
        <v>483</v>
      </c>
      <c r="GY109" t="s">
        <v>1605</v>
      </c>
      <c r="GZ109" t="s">
        <v>1606</v>
      </c>
      <c r="HA109" t="s">
        <v>1607</v>
      </c>
    </row>
    <row r="110" spans="1:209" hidden="1" x14ac:dyDescent="0.45">
      <c r="A110">
        <v>189</v>
      </c>
      <c r="B110">
        <f>_xlfn.IFNA(VLOOKUP(AnalizaCzyste[[#This Row],[Zakończono wypełnianie]],Zakończone[],2,0),"BRAK")</f>
        <v>108</v>
      </c>
      <c r="C110">
        <f>COUNTA(I110:HA110)</f>
        <v>35</v>
      </c>
      <c r="D110" t="s">
        <v>1608</v>
      </c>
      <c r="E110" t="s">
        <v>1609</v>
      </c>
      <c r="F110">
        <v>4906</v>
      </c>
      <c r="I110" s="1" t="s">
        <v>123</v>
      </c>
      <c r="Y110" s="1" t="s">
        <v>124</v>
      </c>
      <c r="Z110" t="s">
        <v>223</v>
      </c>
      <c r="AA110" t="str">
        <f>VLOOKUP(AnalizaCzyste[[#This Row],[Jak się nazywa uczelnia którą ukończyłeś? (proszę o wybranie jednej uczelni podlegającej ocenie)]],KategorieUczelni[],2,0)</f>
        <v>Publiczna</v>
      </c>
      <c r="AB110">
        <v>2009</v>
      </c>
      <c r="AC110" t="s">
        <v>148</v>
      </c>
      <c r="AD110" t="s">
        <v>554</v>
      </c>
      <c r="AE110" t="s">
        <v>162</v>
      </c>
      <c r="AF110" t="s">
        <v>162</v>
      </c>
      <c r="AG110" t="s">
        <v>162</v>
      </c>
      <c r="AH110" t="s">
        <v>162</v>
      </c>
      <c r="AI110" t="s">
        <v>162</v>
      </c>
      <c r="AJ110" t="s">
        <v>1610</v>
      </c>
      <c r="AK110" t="s">
        <v>302</v>
      </c>
      <c r="AL110" t="s">
        <v>153</v>
      </c>
      <c r="AN110" t="s">
        <v>1611</v>
      </c>
      <c r="AO110" t="s">
        <v>1612</v>
      </c>
      <c r="AQ110" t="s">
        <v>1613</v>
      </c>
      <c r="AR110" s="1" t="s">
        <v>123</v>
      </c>
      <c r="CL110" s="1" t="s">
        <v>123</v>
      </c>
      <c r="CV110" s="1" t="s">
        <v>123</v>
      </c>
      <c r="DF110" s="1" t="s">
        <v>123</v>
      </c>
      <c r="EI110" s="1" t="s">
        <v>123</v>
      </c>
      <c r="EJ110" t="s">
        <v>180</v>
      </c>
      <c r="EK110" t="s">
        <v>132</v>
      </c>
      <c r="FI110" s="1" t="s">
        <v>123</v>
      </c>
      <c r="GQ110" t="s">
        <v>1614</v>
      </c>
      <c r="GR110" t="s">
        <v>1247</v>
      </c>
      <c r="GS110" t="s">
        <v>1247</v>
      </c>
      <c r="GT110" t="s">
        <v>140</v>
      </c>
      <c r="GU110">
        <v>1983</v>
      </c>
      <c r="GV110" t="str">
        <f>VLOOKUP(AnalizaCzyste[[#This Row],[Rok urodzenia]],KategorieWiekowe[],2,1)</f>
        <v>36–45 lat</v>
      </c>
      <c r="GW110" t="s">
        <v>220</v>
      </c>
      <c r="GY110" t="s">
        <v>1615</v>
      </c>
      <c r="GZ110" t="s">
        <v>1615</v>
      </c>
    </row>
    <row r="111" spans="1:209" hidden="1" x14ac:dyDescent="0.45">
      <c r="A111">
        <v>191</v>
      </c>
      <c r="B111">
        <f>_xlfn.IFNA(VLOOKUP(AnalizaCzyste[[#This Row],[Zakończono wypełnianie]],Zakończone[],2,0),"BRAK")</f>
        <v>109</v>
      </c>
      <c r="C111">
        <f>COUNTA(I111:HA111)</f>
        <v>33</v>
      </c>
      <c r="D111" t="s">
        <v>1619</v>
      </c>
      <c r="E111" t="s">
        <v>1620</v>
      </c>
      <c r="F111">
        <v>1891</v>
      </c>
      <c r="I111" s="1" t="s">
        <v>123</v>
      </c>
      <c r="Y111" s="1" t="s">
        <v>124</v>
      </c>
      <c r="Z111" t="s">
        <v>1503</v>
      </c>
      <c r="AA111" t="str">
        <f>VLOOKUP(AnalizaCzyste[[#This Row],[Jak się nazywa uczelnia którą ukończyłeś? (proszę o wybranie jednej uczelni podlegającej ocenie)]],KategorieUczelni[],2,0)</f>
        <v>Publiczna</v>
      </c>
      <c r="AB111">
        <v>2000</v>
      </c>
      <c r="AC111" t="s">
        <v>148</v>
      </c>
      <c r="AD111" t="s">
        <v>1622</v>
      </c>
      <c r="AE111" t="s">
        <v>150</v>
      </c>
      <c r="AF111" t="s">
        <v>150</v>
      </c>
      <c r="AG111" t="s">
        <v>150</v>
      </c>
      <c r="AH111" t="s">
        <v>236</v>
      </c>
      <c r="AI111" t="s">
        <v>162</v>
      </c>
      <c r="AJ111" t="s">
        <v>1623</v>
      </c>
      <c r="AK111" t="s">
        <v>132</v>
      </c>
      <c r="AL111" t="s">
        <v>302</v>
      </c>
      <c r="AM111" t="s">
        <v>1624</v>
      </c>
      <c r="AN111" t="s">
        <v>1625</v>
      </c>
      <c r="AO111" t="s">
        <v>1626</v>
      </c>
      <c r="AP111" t="s">
        <v>172</v>
      </c>
      <c r="AR111" s="1" t="s">
        <v>123</v>
      </c>
      <c r="CL111" s="1" t="s">
        <v>123</v>
      </c>
      <c r="CV111" s="1" t="s">
        <v>123</v>
      </c>
      <c r="DF111" s="1" t="s">
        <v>123</v>
      </c>
      <c r="EI111" s="1" t="s">
        <v>123</v>
      </c>
      <c r="FI111" s="1" t="s">
        <v>123</v>
      </c>
      <c r="GQ111" t="s">
        <v>1627</v>
      </c>
      <c r="GR111" t="s">
        <v>1628</v>
      </c>
      <c r="GS111" t="s">
        <v>1629</v>
      </c>
      <c r="GT111" t="s">
        <v>186</v>
      </c>
      <c r="GU111">
        <v>1948</v>
      </c>
      <c r="GV111" t="str">
        <f>VLOOKUP(AnalizaCzyste[[#This Row],[Rok urodzenia]],KategorieWiekowe[],2,1)</f>
        <v>powyżej 65 lat</v>
      </c>
      <c r="GW111" t="s">
        <v>1630</v>
      </c>
      <c r="GZ111" t="s">
        <v>1631</v>
      </c>
    </row>
    <row r="112" spans="1:209" hidden="1" x14ac:dyDescent="0.45">
      <c r="A112">
        <v>193</v>
      </c>
      <c r="B112">
        <f>_xlfn.IFNA(VLOOKUP(AnalizaCzyste[[#This Row],[Zakończono wypełnianie]],Zakończone[],2,0),"BRAK")</f>
        <v>110</v>
      </c>
      <c r="C112">
        <f>COUNTA(I112:HA112)</f>
        <v>34</v>
      </c>
      <c r="D112" t="s">
        <v>1634</v>
      </c>
      <c r="E112" t="s">
        <v>1635</v>
      </c>
      <c r="F112">
        <v>545</v>
      </c>
      <c r="I112" s="1" t="s">
        <v>123</v>
      </c>
      <c r="Y112" s="1" t="s">
        <v>124</v>
      </c>
      <c r="Z112" t="s">
        <v>1636</v>
      </c>
      <c r="AA112" t="str">
        <f>VLOOKUP(AnalizaCzyste[[#This Row],[Jak się nazywa uczelnia którą ukończyłeś? (proszę o wybranie jednej uczelni podlegającej ocenie)]],KategorieUczelni[],2,0)</f>
        <v>Publiczna</v>
      </c>
      <c r="AB112">
        <v>2001</v>
      </c>
      <c r="AC112" t="s">
        <v>148</v>
      </c>
      <c r="AD112" t="s">
        <v>1637</v>
      </c>
      <c r="AE112" t="s">
        <v>150</v>
      </c>
      <c r="AF112" t="s">
        <v>150</v>
      </c>
      <c r="AG112" t="s">
        <v>169</v>
      </c>
      <c r="AH112" t="s">
        <v>150</v>
      </c>
      <c r="AI112" t="s">
        <v>169</v>
      </c>
      <c r="AJ112" t="s">
        <v>1638</v>
      </c>
      <c r="AK112" t="s">
        <v>152</v>
      </c>
      <c r="AL112" t="s">
        <v>153</v>
      </c>
      <c r="AM112" t="s">
        <v>1639</v>
      </c>
      <c r="AN112" t="s">
        <v>1640</v>
      </c>
      <c r="AO112" t="s">
        <v>386</v>
      </c>
      <c r="AP112" t="s">
        <v>157</v>
      </c>
      <c r="AR112" s="1" t="s">
        <v>123</v>
      </c>
      <c r="CL112" s="1" t="s">
        <v>123</v>
      </c>
      <c r="CV112" s="1" t="s">
        <v>123</v>
      </c>
      <c r="DF112" s="1" t="s">
        <v>123</v>
      </c>
      <c r="EI112" s="1" t="s">
        <v>123</v>
      </c>
      <c r="FI112" s="1" t="s">
        <v>123</v>
      </c>
      <c r="GQ112" t="s">
        <v>1641</v>
      </c>
      <c r="GR112" t="s">
        <v>1642</v>
      </c>
      <c r="GS112" t="s">
        <v>1643</v>
      </c>
      <c r="GT112" t="s">
        <v>140</v>
      </c>
      <c r="GU112">
        <v>1977</v>
      </c>
      <c r="GV112" t="str">
        <f>VLOOKUP(AnalizaCzyste[[#This Row],[Rok urodzenia]],KategorieWiekowe[],2,1)</f>
        <v>36–45 lat</v>
      </c>
      <c r="GW112" t="s">
        <v>141</v>
      </c>
      <c r="GX112" t="s">
        <v>1644</v>
      </c>
      <c r="GY112" t="s">
        <v>1645</v>
      </c>
    </row>
    <row r="113" spans="1:209" hidden="1" x14ac:dyDescent="0.45">
      <c r="A113">
        <v>195</v>
      </c>
      <c r="B113">
        <f>_xlfn.IFNA(VLOOKUP(AnalizaCzyste[[#This Row],[Zakończono wypełnianie]],Zakończone[],2,0),"BRAK")</f>
        <v>111</v>
      </c>
      <c r="C113">
        <f>COUNTA(I113:HA113)</f>
        <v>33</v>
      </c>
      <c r="D113" t="s">
        <v>1650</v>
      </c>
      <c r="E113" t="s">
        <v>1651</v>
      </c>
      <c r="F113">
        <v>386</v>
      </c>
      <c r="I113" s="1" t="s">
        <v>123</v>
      </c>
      <c r="Y113" s="1" t="s">
        <v>124</v>
      </c>
      <c r="Z113" t="s">
        <v>191</v>
      </c>
      <c r="AA113" t="str">
        <f>VLOOKUP(AnalizaCzyste[[#This Row],[Jak się nazywa uczelnia którą ukończyłeś? (proszę o wybranie jednej uczelni podlegającej ocenie)]],KategorieUczelni[],2,0)</f>
        <v>Publiczna</v>
      </c>
      <c r="AB113">
        <v>2016</v>
      </c>
      <c r="AC113" t="s">
        <v>126</v>
      </c>
      <c r="AD113" t="s">
        <v>1652</v>
      </c>
      <c r="AE113" t="s">
        <v>162</v>
      </c>
      <c r="AF113" t="s">
        <v>151</v>
      </c>
      <c r="AG113" t="s">
        <v>162</v>
      </c>
      <c r="AH113" t="s">
        <v>150</v>
      </c>
      <c r="AI113" t="s">
        <v>236</v>
      </c>
      <c r="AJ113" t="s">
        <v>530</v>
      </c>
      <c r="AK113" t="s">
        <v>153</v>
      </c>
      <c r="AL113" t="s">
        <v>153</v>
      </c>
      <c r="AM113" t="s">
        <v>1653</v>
      </c>
      <c r="AN113" t="s">
        <v>1654</v>
      </c>
      <c r="AO113" t="s">
        <v>1655</v>
      </c>
      <c r="AP113" t="s">
        <v>172</v>
      </c>
      <c r="AR113" s="1" t="s">
        <v>123</v>
      </c>
      <c r="CL113" s="1" t="s">
        <v>123</v>
      </c>
      <c r="CV113" s="1" t="s">
        <v>123</v>
      </c>
      <c r="DF113" s="1" t="s">
        <v>123</v>
      </c>
      <c r="EI113" s="1" t="s">
        <v>123</v>
      </c>
      <c r="EJ113" t="s">
        <v>178</v>
      </c>
      <c r="FI113" s="1" t="s">
        <v>123</v>
      </c>
      <c r="GQ113" t="s">
        <v>1656</v>
      </c>
      <c r="GR113" t="s">
        <v>1657</v>
      </c>
      <c r="GS113" t="s">
        <v>1658</v>
      </c>
      <c r="GT113" t="s">
        <v>140</v>
      </c>
      <c r="GU113">
        <v>1993</v>
      </c>
      <c r="GV113" t="str">
        <f>VLOOKUP(AnalizaCzyste[[#This Row],[Rok urodzenia]],KategorieWiekowe[],2,1)</f>
        <v>26–35 lat</v>
      </c>
      <c r="GW113" t="s">
        <v>220</v>
      </c>
    </row>
    <row r="114" spans="1:209" hidden="1" x14ac:dyDescent="0.45">
      <c r="A114">
        <v>196</v>
      </c>
      <c r="B114">
        <f>_xlfn.IFNA(VLOOKUP(AnalizaCzyste[[#This Row],[Zakończono wypełnianie]],Zakończone[],2,0),"BRAK")</f>
        <v>112</v>
      </c>
      <c r="C114">
        <f>COUNTA(I114:HA114)</f>
        <v>55</v>
      </c>
      <c r="D114" t="s">
        <v>1660</v>
      </c>
      <c r="E114" t="s">
        <v>1661</v>
      </c>
      <c r="F114">
        <v>614</v>
      </c>
      <c r="I114" s="1" t="s">
        <v>123</v>
      </c>
      <c r="Y114" s="1" t="s">
        <v>124</v>
      </c>
      <c r="Z114" t="s">
        <v>191</v>
      </c>
      <c r="AA114" t="str">
        <f>VLOOKUP(AnalizaCzyste[[#This Row],[Jak się nazywa uczelnia którą ukończyłeś? (proszę o wybranie jednej uczelni podlegającej ocenie)]],KategorieUczelni[],2,0)</f>
        <v>Publiczna</v>
      </c>
      <c r="AB114">
        <v>1991</v>
      </c>
      <c r="AC114" t="s">
        <v>126</v>
      </c>
      <c r="AD114" t="s">
        <v>1662</v>
      </c>
      <c r="AE114" t="s">
        <v>150</v>
      </c>
      <c r="AF114" t="s">
        <v>150</v>
      </c>
      <c r="AG114" t="s">
        <v>150</v>
      </c>
      <c r="AH114" t="s">
        <v>132</v>
      </c>
      <c r="AI114" t="s">
        <v>132</v>
      </c>
      <c r="AJ114" t="s">
        <v>718</v>
      </c>
      <c r="AK114" t="s">
        <v>132</v>
      </c>
      <c r="AL114" t="s">
        <v>132</v>
      </c>
      <c r="AM114" t="s">
        <v>1663</v>
      </c>
      <c r="AN114" t="s">
        <v>1664</v>
      </c>
      <c r="AO114" t="s">
        <v>1665</v>
      </c>
      <c r="AP114" t="s">
        <v>172</v>
      </c>
      <c r="AR114" s="1" t="s">
        <v>159</v>
      </c>
      <c r="AS114">
        <v>1</v>
      </c>
      <c r="AT114" t="s">
        <v>191</v>
      </c>
      <c r="AU114">
        <v>2018</v>
      </c>
      <c r="AV114" t="s">
        <v>126</v>
      </c>
      <c r="AW114" t="s">
        <v>1666</v>
      </c>
      <c r="AX114" t="s">
        <v>151</v>
      </c>
      <c r="AY114" t="s">
        <v>151</v>
      </c>
      <c r="AZ114" t="s">
        <v>151</v>
      </c>
      <c r="BA114" t="s">
        <v>151</v>
      </c>
      <c r="BB114" t="s">
        <v>151</v>
      </c>
      <c r="BC114">
        <v>1</v>
      </c>
      <c r="BE114" t="s">
        <v>172</v>
      </c>
      <c r="BH114" t="s">
        <v>173</v>
      </c>
      <c r="CL114" s="1" t="s">
        <v>123</v>
      </c>
      <c r="CV114" s="1" t="s">
        <v>123</v>
      </c>
      <c r="DF114" s="1" t="s">
        <v>123</v>
      </c>
      <c r="EI114" s="1" t="s">
        <v>177</v>
      </c>
      <c r="EJ114" t="s">
        <v>178</v>
      </c>
      <c r="EK114">
        <v>1</v>
      </c>
      <c r="EL114" t="s">
        <v>191</v>
      </c>
      <c r="EM114" t="s">
        <v>169</v>
      </c>
      <c r="EN114" t="s">
        <v>169</v>
      </c>
      <c r="EO114" t="s">
        <v>151</v>
      </c>
      <c r="EP114" t="s">
        <v>178</v>
      </c>
      <c r="EQ114" t="s">
        <v>1667</v>
      </c>
      <c r="ER114" t="s">
        <v>1668</v>
      </c>
      <c r="ES114" t="s">
        <v>173</v>
      </c>
      <c r="FI114" s="1" t="s">
        <v>123</v>
      </c>
      <c r="GQ114" t="s">
        <v>1669</v>
      </c>
      <c r="GR114" t="s">
        <v>1670</v>
      </c>
      <c r="GS114" t="s">
        <v>1671</v>
      </c>
      <c r="GT114" t="s">
        <v>186</v>
      </c>
      <c r="GU114">
        <v>1966</v>
      </c>
      <c r="GV114" t="str">
        <f>VLOOKUP(AnalizaCzyste[[#This Row],[Rok urodzenia]],KategorieWiekowe[],2,1)</f>
        <v>46–55 lat</v>
      </c>
      <c r="GW114" t="s">
        <v>141</v>
      </c>
    </row>
    <row r="115" spans="1:209" hidden="1" x14ac:dyDescent="0.45">
      <c r="A115">
        <v>198</v>
      </c>
      <c r="B115">
        <f>_xlfn.IFNA(VLOOKUP(AnalizaCzyste[[#This Row],[Zakończono wypełnianie]],Zakończone[],2,0),"BRAK")</f>
        <v>113</v>
      </c>
      <c r="C115">
        <f>COUNTA(I115:HA115)</f>
        <v>32</v>
      </c>
      <c r="D115" t="s">
        <v>1675</v>
      </c>
      <c r="E115" t="s">
        <v>1676</v>
      </c>
      <c r="F115">
        <v>445</v>
      </c>
      <c r="I115" s="1" t="s">
        <v>123</v>
      </c>
      <c r="Y115" s="1" t="s">
        <v>124</v>
      </c>
      <c r="Z115" t="s">
        <v>191</v>
      </c>
      <c r="AA115" t="str">
        <f>VLOOKUP(AnalizaCzyste[[#This Row],[Jak się nazywa uczelnia którą ukończyłeś? (proszę o wybranie jednej uczelni podlegającej ocenie)]],KategorieUczelni[],2,0)</f>
        <v>Publiczna</v>
      </c>
      <c r="AB115">
        <v>2014</v>
      </c>
      <c r="AC115" t="s">
        <v>126</v>
      </c>
      <c r="AD115" t="s">
        <v>192</v>
      </c>
      <c r="AE115" t="s">
        <v>169</v>
      </c>
      <c r="AF115" t="s">
        <v>169</v>
      </c>
      <c r="AG115" t="s">
        <v>162</v>
      </c>
      <c r="AH115" t="s">
        <v>151</v>
      </c>
      <c r="AI115" t="s">
        <v>151</v>
      </c>
      <c r="AJ115" t="s">
        <v>237</v>
      </c>
      <c r="AK115" t="s">
        <v>226</v>
      </c>
      <c r="AL115" t="s">
        <v>1428</v>
      </c>
      <c r="AM115" t="s">
        <v>1677</v>
      </c>
      <c r="AN115" t="s">
        <v>1678</v>
      </c>
      <c r="AO115" t="s">
        <v>1679</v>
      </c>
      <c r="AP115" t="s">
        <v>157</v>
      </c>
      <c r="AR115" s="1" t="s">
        <v>123</v>
      </c>
      <c r="CL115" s="1" t="s">
        <v>123</v>
      </c>
      <c r="CV115" s="1" t="s">
        <v>123</v>
      </c>
      <c r="DF115" s="1" t="s">
        <v>123</v>
      </c>
      <c r="EI115" s="1" t="s">
        <v>123</v>
      </c>
      <c r="FI115" s="1" t="s">
        <v>123</v>
      </c>
      <c r="GQ115" t="s">
        <v>532</v>
      </c>
      <c r="GR115" t="s">
        <v>1680</v>
      </c>
      <c r="GS115" t="s">
        <v>1681</v>
      </c>
      <c r="GT115" t="s">
        <v>186</v>
      </c>
      <c r="GU115">
        <v>1984</v>
      </c>
      <c r="GV115" t="str">
        <f>VLOOKUP(AnalizaCzyste[[#This Row],[Rok urodzenia]],KategorieWiekowe[],2,1)</f>
        <v>36–45 lat</v>
      </c>
      <c r="GW115" t="s">
        <v>398</v>
      </c>
    </row>
    <row r="116" spans="1:209" hidden="1" x14ac:dyDescent="0.45">
      <c r="A116">
        <v>205</v>
      </c>
      <c r="B116">
        <f>_xlfn.IFNA(VLOOKUP(AnalizaCzyste[[#This Row],[Zakończono wypełnianie]],Zakończone[],2,0),"BRAK")</f>
        <v>114</v>
      </c>
      <c r="C116">
        <f>COUNTA(I116:HA116)</f>
        <v>34</v>
      </c>
      <c r="D116" t="s">
        <v>1710</v>
      </c>
      <c r="E116" t="s">
        <v>1711</v>
      </c>
      <c r="F116">
        <v>588</v>
      </c>
      <c r="I116" s="1" t="s">
        <v>123</v>
      </c>
      <c r="Y116" s="1" t="s">
        <v>124</v>
      </c>
      <c r="Z116" t="s">
        <v>1712</v>
      </c>
      <c r="AA116" t="str">
        <f>VLOOKUP(AnalizaCzyste[[#This Row],[Jak się nazywa uczelnia którą ukończyłeś? (proszę o wybranie jednej uczelni podlegającej ocenie)]],KategorieUczelni[],2,0)</f>
        <v>Publiczna</v>
      </c>
      <c r="AB116">
        <v>2012</v>
      </c>
      <c r="AC116" t="s">
        <v>148</v>
      </c>
      <c r="AD116" t="s">
        <v>1713</v>
      </c>
      <c r="AE116" t="s">
        <v>162</v>
      </c>
      <c r="AF116" t="s">
        <v>162</v>
      </c>
      <c r="AG116" t="s">
        <v>169</v>
      </c>
      <c r="AH116" t="s">
        <v>129</v>
      </c>
      <c r="AI116" t="s">
        <v>129</v>
      </c>
      <c r="AJ116" t="s">
        <v>1714</v>
      </c>
      <c r="AK116" t="s">
        <v>131</v>
      </c>
      <c r="AL116" t="s">
        <v>131</v>
      </c>
      <c r="AM116" t="s">
        <v>1715</v>
      </c>
      <c r="AN116" t="s">
        <v>1716</v>
      </c>
      <c r="AO116" t="s">
        <v>1717</v>
      </c>
      <c r="AP116" t="s">
        <v>157</v>
      </c>
      <c r="AR116" s="1" t="s">
        <v>123</v>
      </c>
      <c r="CL116" s="1" t="s">
        <v>123</v>
      </c>
      <c r="CV116" s="1" t="s">
        <v>123</v>
      </c>
      <c r="DF116" s="1" t="s">
        <v>123</v>
      </c>
      <c r="EI116" s="1" t="s">
        <v>123</v>
      </c>
      <c r="FI116" s="1" t="s">
        <v>123</v>
      </c>
      <c r="GQ116" t="s">
        <v>1718</v>
      </c>
      <c r="GR116" t="s">
        <v>1719</v>
      </c>
      <c r="GS116" t="s">
        <v>1720</v>
      </c>
      <c r="GT116" t="s">
        <v>140</v>
      </c>
      <c r="GU116">
        <v>1985</v>
      </c>
      <c r="GV116" t="str">
        <f>VLOOKUP(AnalizaCzyste[[#This Row],[Rok urodzenia]],KategorieWiekowe[],2,1)</f>
        <v>26–35 lat</v>
      </c>
      <c r="GW116" t="s">
        <v>246</v>
      </c>
      <c r="GY116" t="s">
        <v>1721</v>
      </c>
      <c r="GZ116" t="s">
        <v>532</v>
      </c>
    </row>
    <row r="117" spans="1:209" hidden="1" x14ac:dyDescent="0.45">
      <c r="A117">
        <v>211</v>
      </c>
      <c r="B117">
        <f>_xlfn.IFNA(VLOOKUP(AnalizaCzyste[[#This Row],[Zakończono wypełnianie]],Zakończone[],2,0),"BRAK")</f>
        <v>115</v>
      </c>
      <c r="C117">
        <f>COUNTA(I117:HA117)</f>
        <v>36</v>
      </c>
      <c r="D117" t="s">
        <v>1738</v>
      </c>
      <c r="E117" t="s">
        <v>1739</v>
      </c>
      <c r="F117">
        <v>1112</v>
      </c>
      <c r="I117" s="1" t="s">
        <v>123</v>
      </c>
      <c r="Y117" s="1" t="s">
        <v>124</v>
      </c>
      <c r="Z117" s="20" t="s">
        <v>191</v>
      </c>
      <c r="AA117" s="20" t="str">
        <f>VLOOKUP(AnalizaCzyste[[#This Row],[Jak się nazywa uczelnia którą ukończyłeś? (proszę o wybranie jednej uczelni podlegającej ocenie)]],KategorieUczelni[],2,0)</f>
        <v>Publiczna</v>
      </c>
      <c r="AB117">
        <v>2001</v>
      </c>
      <c r="AC117" t="s">
        <v>126</v>
      </c>
      <c r="AD117" t="s">
        <v>1339</v>
      </c>
      <c r="AE117" t="s">
        <v>150</v>
      </c>
      <c r="AF117" t="s">
        <v>150</v>
      </c>
      <c r="AG117" t="s">
        <v>150</v>
      </c>
      <c r="AH117" t="s">
        <v>162</v>
      </c>
      <c r="AI117" t="s">
        <v>162</v>
      </c>
      <c r="AJ117" t="s">
        <v>1740</v>
      </c>
      <c r="AK117" t="s">
        <v>131</v>
      </c>
      <c r="AL117" t="s">
        <v>302</v>
      </c>
      <c r="AM117" t="s">
        <v>1741</v>
      </c>
      <c r="AN117" t="s">
        <v>1742</v>
      </c>
      <c r="AO117" t="s">
        <v>1743</v>
      </c>
      <c r="AP117" t="s">
        <v>157</v>
      </c>
      <c r="AQ117" t="s">
        <v>1744</v>
      </c>
      <c r="AR117" s="1" t="s">
        <v>123</v>
      </c>
      <c r="CL117" s="1" t="s">
        <v>123</v>
      </c>
      <c r="CV117" s="1" t="s">
        <v>123</v>
      </c>
      <c r="DF117" s="1" t="s">
        <v>123</v>
      </c>
      <c r="EI117" s="1" t="s">
        <v>123</v>
      </c>
      <c r="FI117" s="1" t="s">
        <v>123</v>
      </c>
      <c r="GQ117" t="s">
        <v>1745</v>
      </c>
      <c r="GR117" t="s">
        <v>1746</v>
      </c>
      <c r="GS117" t="s">
        <v>1747</v>
      </c>
      <c r="GT117" t="s">
        <v>186</v>
      </c>
      <c r="GU117">
        <v>1976</v>
      </c>
      <c r="GV117" t="str">
        <f>VLOOKUP(AnalizaCzyste[[#This Row],[Rok urodzenia]],KategorieWiekowe[],2,1)</f>
        <v>36–45 lat</v>
      </c>
      <c r="GW117" t="s">
        <v>141</v>
      </c>
      <c r="GY117" t="s">
        <v>1748</v>
      </c>
      <c r="GZ117" t="s">
        <v>1749</v>
      </c>
      <c r="HA117" t="s">
        <v>1750</v>
      </c>
    </row>
    <row r="118" spans="1:209" hidden="1" x14ac:dyDescent="0.45">
      <c r="A118">
        <v>212</v>
      </c>
      <c r="B118">
        <f>_xlfn.IFNA(VLOOKUP(AnalizaCzyste[[#This Row],[Zakończono wypełnianie]],Zakończone[],2,0),"BRAK")</f>
        <v>116</v>
      </c>
      <c r="C118">
        <f>COUNTA(I118:HA118)</f>
        <v>31</v>
      </c>
      <c r="D118" t="s">
        <v>1752</v>
      </c>
      <c r="E118" t="s">
        <v>1753</v>
      </c>
      <c r="F118">
        <v>625</v>
      </c>
      <c r="I118" s="1" t="s">
        <v>123</v>
      </c>
      <c r="Y118" s="1" t="s">
        <v>124</v>
      </c>
      <c r="Z118" t="s">
        <v>191</v>
      </c>
      <c r="AA118" t="str">
        <f>VLOOKUP(AnalizaCzyste[[#This Row],[Jak się nazywa uczelnia którą ukończyłeś? (proszę o wybranie jednej uczelni podlegającej ocenie)]],KategorieUczelni[],2,0)</f>
        <v>Publiczna</v>
      </c>
      <c r="AB118">
        <v>2009</v>
      </c>
      <c r="AC118" t="s">
        <v>126</v>
      </c>
      <c r="AD118" t="s">
        <v>192</v>
      </c>
      <c r="AE118" t="s">
        <v>162</v>
      </c>
      <c r="AF118" t="s">
        <v>150</v>
      </c>
      <c r="AG118" t="s">
        <v>169</v>
      </c>
      <c r="AH118" t="s">
        <v>169</v>
      </c>
      <c r="AI118" t="s">
        <v>169</v>
      </c>
      <c r="AJ118" t="s">
        <v>530</v>
      </c>
      <c r="AK118" t="s">
        <v>226</v>
      </c>
      <c r="AL118" t="s">
        <v>759</v>
      </c>
      <c r="AN118" t="s">
        <v>1754</v>
      </c>
      <c r="AO118" t="s">
        <v>1755</v>
      </c>
      <c r="AQ118" t="s">
        <v>1756</v>
      </c>
      <c r="AR118" s="1" t="s">
        <v>123</v>
      </c>
      <c r="CL118" s="1" t="s">
        <v>123</v>
      </c>
      <c r="CV118" s="1" t="s">
        <v>123</v>
      </c>
      <c r="DF118" s="1" t="s">
        <v>123</v>
      </c>
      <c r="EI118" s="1" t="s">
        <v>123</v>
      </c>
      <c r="FI118" s="1" t="s">
        <v>123</v>
      </c>
      <c r="GQ118" t="s">
        <v>1757</v>
      </c>
      <c r="GR118" t="s">
        <v>1758</v>
      </c>
      <c r="GS118" t="s">
        <v>1759</v>
      </c>
      <c r="GT118" t="s">
        <v>186</v>
      </c>
      <c r="GU118">
        <v>1984</v>
      </c>
      <c r="GV118" t="str">
        <f>VLOOKUP(AnalizaCzyste[[#This Row],[Rok urodzenia]],KategorieWiekowe[],2,1)</f>
        <v>36–45 lat</v>
      </c>
      <c r="GW118" t="s">
        <v>141</v>
      </c>
    </row>
    <row r="119" spans="1:209" hidden="1" x14ac:dyDescent="0.45">
      <c r="A119">
        <v>214</v>
      </c>
      <c r="B119">
        <f>_xlfn.IFNA(VLOOKUP(AnalizaCzyste[[#This Row],[Zakończono wypełnianie]],Zakończone[],2,0),"BRAK")</f>
        <v>117</v>
      </c>
      <c r="C119">
        <f>COUNTA(I119:HA119)</f>
        <v>34</v>
      </c>
      <c r="D119" t="s">
        <v>1763</v>
      </c>
      <c r="E119" t="s">
        <v>1764</v>
      </c>
      <c r="F119">
        <v>336</v>
      </c>
      <c r="I119" s="1" t="s">
        <v>123</v>
      </c>
      <c r="Y119" s="1" t="s">
        <v>124</v>
      </c>
      <c r="Z119" t="s">
        <v>191</v>
      </c>
      <c r="AA119" t="str">
        <f>VLOOKUP(AnalizaCzyste[[#This Row],[Jak się nazywa uczelnia którą ukończyłeś? (proszę o wybranie jednej uczelni podlegającej ocenie)]],KategorieUczelni[],2,0)</f>
        <v>Publiczna</v>
      </c>
      <c r="AB119">
        <v>2002</v>
      </c>
      <c r="AC119" t="s">
        <v>126</v>
      </c>
      <c r="AD119" t="s">
        <v>1176</v>
      </c>
      <c r="AE119" t="s">
        <v>129</v>
      </c>
      <c r="AF119" t="s">
        <v>129</v>
      </c>
      <c r="AG119" t="s">
        <v>129</v>
      </c>
      <c r="AH119" t="s">
        <v>129</v>
      </c>
      <c r="AI119" t="s">
        <v>129</v>
      </c>
      <c r="AJ119" t="s">
        <v>1765</v>
      </c>
      <c r="AK119" t="s">
        <v>302</v>
      </c>
      <c r="AL119" t="s">
        <v>226</v>
      </c>
      <c r="AN119" t="s">
        <v>1766</v>
      </c>
      <c r="AO119" t="s">
        <v>386</v>
      </c>
      <c r="AP119" t="s">
        <v>157</v>
      </c>
      <c r="AQ119" t="s">
        <v>1767</v>
      </c>
      <c r="AR119" s="1" t="s">
        <v>123</v>
      </c>
      <c r="CL119" s="1" t="s">
        <v>123</v>
      </c>
      <c r="CV119" s="1" t="s">
        <v>123</v>
      </c>
      <c r="DF119" s="1" t="s">
        <v>123</v>
      </c>
      <c r="EI119" s="1" t="s">
        <v>123</v>
      </c>
      <c r="FI119" s="1" t="s">
        <v>123</v>
      </c>
      <c r="GQ119" t="s">
        <v>1768</v>
      </c>
      <c r="GR119" t="s">
        <v>1769</v>
      </c>
      <c r="GS119" t="s">
        <v>1769</v>
      </c>
      <c r="GT119" t="s">
        <v>186</v>
      </c>
      <c r="GU119">
        <v>1977</v>
      </c>
      <c r="GV119" t="str">
        <f>VLOOKUP(AnalizaCzyste[[#This Row],[Rok urodzenia]],KategorieWiekowe[],2,1)</f>
        <v>36–45 lat</v>
      </c>
      <c r="GW119" t="s">
        <v>141</v>
      </c>
      <c r="GY119" t="s">
        <v>386</v>
      </c>
      <c r="GZ119" t="s">
        <v>386</v>
      </c>
    </row>
    <row r="120" spans="1:209" hidden="1" x14ac:dyDescent="0.45">
      <c r="A120">
        <v>215</v>
      </c>
      <c r="B120">
        <f>_xlfn.IFNA(VLOOKUP(AnalizaCzyste[[#This Row],[Zakończono wypełnianie]],Zakończone[],2,0),"BRAK")</f>
        <v>118</v>
      </c>
      <c r="C120">
        <f>COUNTA(I120:HA120)</f>
        <v>33</v>
      </c>
      <c r="D120" t="s">
        <v>1770</v>
      </c>
      <c r="E120" t="s">
        <v>1771</v>
      </c>
      <c r="F120">
        <v>1129</v>
      </c>
      <c r="I120" s="1" t="s">
        <v>123</v>
      </c>
      <c r="Y120" s="1" t="s">
        <v>124</v>
      </c>
      <c r="Z120" t="s">
        <v>191</v>
      </c>
      <c r="AA120" t="str">
        <f>VLOOKUP(AnalizaCzyste[[#This Row],[Jak się nazywa uczelnia którą ukończyłeś? (proszę o wybranie jednej uczelni podlegającej ocenie)]],KategorieUczelni[],2,0)</f>
        <v>Publiczna</v>
      </c>
      <c r="AB120">
        <v>2014</v>
      </c>
      <c r="AC120" t="s">
        <v>126</v>
      </c>
      <c r="AD120" t="s">
        <v>1186</v>
      </c>
      <c r="AE120" t="s">
        <v>162</v>
      </c>
      <c r="AF120" t="s">
        <v>150</v>
      </c>
      <c r="AG120" t="s">
        <v>162</v>
      </c>
      <c r="AH120" t="s">
        <v>162</v>
      </c>
      <c r="AI120" t="s">
        <v>150</v>
      </c>
      <c r="AJ120">
        <v>1</v>
      </c>
      <c r="AK120" t="s">
        <v>131</v>
      </c>
      <c r="AL120" t="s">
        <v>153</v>
      </c>
      <c r="AN120" t="s">
        <v>766</v>
      </c>
      <c r="AO120" t="s">
        <v>1772</v>
      </c>
      <c r="AP120" t="s">
        <v>172</v>
      </c>
      <c r="AR120" s="1" t="s">
        <v>123</v>
      </c>
      <c r="CL120" s="1" t="s">
        <v>123</v>
      </c>
      <c r="CV120" s="1" t="s">
        <v>123</v>
      </c>
      <c r="DF120" s="1" t="s">
        <v>123</v>
      </c>
      <c r="EI120" s="1" t="s">
        <v>123</v>
      </c>
      <c r="FI120" s="1" t="s">
        <v>123</v>
      </c>
      <c r="GQ120" t="s">
        <v>1773</v>
      </c>
      <c r="GR120" t="s">
        <v>1774</v>
      </c>
      <c r="GS120" t="s">
        <v>1775</v>
      </c>
      <c r="GT120" t="s">
        <v>140</v>
      </c>
      <c r="GU120">
        <v>1990</v>
      </c>
      <c r="GV120" t="str">
        <f>VLOOKUP(AnalizaCzyste[[#This Row],[Rok urodzenia]],KategorieWiekowe[],2,1)</f>
        <v>26–35 lat</v>
      </c>
      <c r="GW120" t="s">
        <v>141</v>
      </c>
      <c r="GY120" t="s">
        <v>1776</v>
      </c>
      <c r="GZ120" t="s">
        <v>1777</v>
      </c>
    </row>
    <row r="121" spans="1:209" hidden="1" x14ac:dyDescent="0.45">
      <c r="A121">
        <v>217</v>
      </c>
      <c r="B121">
        <f>_xlfn.IFNA(VLOOKUP(AnalizaCzyste[[#This Row],[Zakończono wypełnianie]],Zakończone[],2,0),"BRAK")</f>
        <v>119</v>
      </c>
      <c r="C121">
        <f>COUNTA(I121:HA121)</f>
        <v>33</v>
      </c>
      <c r="D121" t="s">
        <v>1782</v>
      </c>
      <c r="E121" t="s">
        <v>1783</v>
      </c>
      <c r="F121">
        <v>968</v>
      </c>
      <c r="I121" s="1" t="s">
        <v>123</v>
      </c>
      <c r="Y121" s="1" t="s">
        <v>124</v>
      </c>
      <c r="Z121" t="s">
        <v>223</v>
      </c>
      <c r="AA121" t="str">
        <f>VLOOKUP(AnalizaCzyste[[#This Row],[Jak się nazywa uczelnia którą ukończyłeś? (proszę o wybranie jednej uczelni podlegającej ocenie)]],KategorieUczelni[],2,0)</f>
        <v>Publiczna</v>
      </c>
      <c r="AB121">
        <v>2011</v>
      </c>
      <c r="AC121" t="s">
        <v>148</v>
      </c>
      <c r="AD121" t="s">
        <v>1784</v>
      </c>
      <c r="AE121" t="s">
        <v>150</v>
      </c>
      <c r="AF121" t="s">
        <v>162</v>
      </c>
      <c r="AG121" t="s">
        <v>169</v>
      </c>
      <c r="AH121" t="s">
        <v>150</v>
      </c>
      <c r="AI121" t="s">
        <v>150</v>
      </c>
      <c r="AJ121">
        <v>2</v>
      </c>
      <c r="AK121" t="s">
        <v>302</v>
      </c>
      <c r="AL121" t="s">
        <v>153</v>
      </c>
      <c r="AM121" t="s">
        <v>1785</v>
      </c>
      <c r="AN121" t="s">
        <v>1786</v>
      </c>
      <c r="AO121" t="s">
        <v>1787</v>
      </c>
      <c r="AP121" t="s">
        <v>157</v>
      </c>
      <c r="AR121" s="1" t="s">
        <v>123</v>
      </c>
      <c r="CL121" s="1" t="s">
        <v>123</v>
      </c>
      <c r="CV121" s="1" t="s">
        <v>123</v>
      </c>
      <c r="DF121" s="1" t="s">
        <v>123</v>
      </c>
      <c r="EI121" s="1" t="s">
        <v>123</v>
      </c>
      <c r="FI121" s="1" t="s">
        <v>123</v>
      </c>
      <c r="GQ121" t="s">
        <v>1788</v>
      </c>
      <c r="GR121" t="s">
        <v>1789</v>
      </c>
      <c r="GS121" t="s">
        <v>1790</v>
      </c>
      <c r="GT121" t="s">
        <v>140</v>
      </c>
      <c r="GU121">
        <v>1986</v>
      </c>
      <c r="GV121" t="str">
        <f>VLOOKUP(AnalizaCzyste[[#This Row],[Rok urodzenia]],KategorieWiekowe[],2,1)</f>
        <v>26–35 lat</v>
      </c>
      <c r="GW121" t="s">
        <v>398</v>
      </c>
      <c r="GY121" t="s">
        <v>1791</v>
      </c>
    </row>
    <row r="122" spans="1:209" hidden="1" x14ac:dyDescent="0.45">
      <c r="A122">
        <v>218</v>
      </c>
      <c r="B122">
        <f>_xlfn.IFNA(VLOOKUP(AnalizaCzyste[[#This Row],[Zakończono wypełnianie]],Zakończone[],2,0),"BRAK")</f>
        <v>120</v>
      </c>
      <c r="C122">
        <f>COUNTA(I122:HA122)</f>
        <v>32</v>
      </c>
      <c r="D122" t="s">
        <v>1793</v>
      </c>
      <c r="E122" t="s">
        <v>1794</v>
      </c>
      <c r="F122">
        <v>465</v>
      </c>
      <c r="I122" s="1" t="s">
        <v>123</v>
      </c>
      <c r="Y122" s="1" t="s">
        <v>124</v>
      </c>
      <c r="Z122" t="s">
        <v>191</v>
      </c>
      <c r="AA122" t="str">
        <f>VLOOKUP(AnalizaCzyste[[#This Row],[Jak się nazywa uczelnia którą ukończyłeś? (proszę o wybranie jednej uczelni podlegającej ocenie)]],KategorieUczelni[],2,0)</f>
        <v>Publiczna</v>
      </c>
      <c r="AB122">
        <v>2016</v>
      </c>
      <c r="AC122" t="s">
        <v>126</v>
      </c>
      <c r="AD122" t="s">
        <v>1795</v>
      </c>
      <c r="AE122" t="s">
        <v>236</v>
      </c>
      <c r="AF122" t="s">
        <v>236</v>
      </c>
      <c r="AG122" t="s">
        <v>129</v>
      </c>
      <c r="AH122" t="s">
        <v>129</v>
      </c>
      <c r="AI122" t="s">
        <v>129</v>
      </c>
      <c r="AJ122">
        <v>34</v>
      </c>
      <c r="AK122" t="s">
        <v>152</v>
      </c>
      <c r="AL122" t="s">
        <v>152</v>
      </c>
      <c r="AM122" t="s">
        <v>1796</v>
      </c>
      <c r="AN122" t="s">
        <v>1797</v>
      </c>
      <c r="AO122" t="s">
        <v>1798</v>
      </c>
      <c r="AP122" t="s">
        <v>157</v>
      </c>
      <c r="AR122" s="1" t="s">
        <v>123</v>
      </c>
      <c r="CL122" s="1" t="s">
        <v>123</v>
      </c>
      <c r="CV122" s="1" t="s">
        <v>123</v>
      </c>
      <c r="DF122" s="1" t="s">
        <v>123</v>
      </c>
      <c r="EI122" s="1" t="s">
        <v>123</v>
      </c>
      <c r="FI122" s="1" t="s">
        <v>123</v>
      </c>
      <c r="GQ122" t="s">
        <v>1799</v>
      </c>
      <c r="GR122" t="s">
        <v>1800</v>
      </c>
      <c r="GS122" t="s">
        <v>1801</v>
      </c>
      <c r="GT122" t="s">
        <v>140</v>
      </c>
      <c r="GU122" s="42">
        <v>1995</v>
      </c>
      <c r="GV122" t="str">
        <f>VLOOKUP(AnalizaCzyste[[#This Row],[Rok urodzenia]],KategorieWiekowe[],2,1)</f>
        <v>poniżej 26 lat</v>
      </c>
      <c r="GW122" t="s">
        <v>483</v>
      </c>
    </row>
    <row r="123" spans="1:209" hidden="1" x14ac:dyDescent="0.45">
      <c r="A123">
        <v>220</v>
      </c>
      <c r="B123">
        <f>_xlfn.IFNA(VLOOKUP(AnalizaCzyste[[#This Row],[Zakończono wypełnianie]],Zakończone[],2,0),"BRAK")</f>
        <v>121</v>
      </c>
      <c r="C123">
        <f>COUNTA(I123:HA123)</f>
        <v>35</v>
      </c>
      <c r="D123" t="s">
        <v>1808</v>
      </c>
      <c r="E123" t="s">
        <v>1809</v>
      </c>
      <c r="F123">
        <v>2379</v>
      </c>
      <c r="I123" s="1" t="s">
        <v>123</v>
      </c>
      <c r="Y123" s="1" t="s">
        <v>124</v>
      </c>
      <c r="Z123" t="s">
        <v>223</v>
      </c>
      <c r="AA123" t="str">
        <f>VLOOKUP(AnalizaCzyste[[#This Row],[Jak się nazywa uczelnia którą ukończyłeś? (proszę o wybranie jednej uczelni podlegającej ocenie)]],KategorieUczelni[],2,0)</f>
        <v>Publiczna</v>
      </c>
      <c r="AB123">
        <v>2012</v>
      </c>
      <c r="AC123" t="s">
        <v>148</v>
      </c>
      <c r="AD123" t="s">
        <v>1810</v>
      </c>
      <c r="AE123" t="s">
        <v>150</v>
      </c>
      <c r="AF123" t="s">
        <v>162</v>
      </c>
      <c r="AG123" t="s">
        <v>150</v>
      </c>
      <c r="AH123" t="s">
        <v>162</v>
      </c>
      <c r="AI123" t="s">
        <v>150</v>
      </c>
      <c r="AJ123" t="s">
        <v>237</v>
      </c>
      <c r="AK123" t="s">
        <v>132</v>
      </c>
      <c r="AL123" t="s">
        <v>132</v>
      </c>
      <c r="AM123" t="s">
        <v>1811</v>
      </c>
      <c r="AN123" t="s">
        <v>1812</v>
      </c>
      <c r="AO123" t="s">
        <v>1813</v>
      </c>
      <c r="AP123" t="s">
        <v>230</v>
      </c>
      <c r="AQ123" t="s">
        <v>1814</v>
      </c>
      <c r="AR123" s="1" t="s">
        <v>123</v>
      </c>
      <c r="CL123" s="1" t="s">
        <v>123</v>
      </c>
      <c r="CV123" s="1" t="s">
        <v>123</v>
      </c>
      <c r="DF123" s="1" t="s">
        <v>123</v>
      </c>
      <c r="EI123" s="1" t="s">
        <v>123</v>
      </c>
      <c r="FI123" s="1" t="s">
        <v>123</v>
      </c>
      <c r="GQ123" t="s">
        <v>1815</v>
      </c>
      <c r="GR123" t="s">
        <v>1816</v>
      </c>
      <c r="GS123" t="s">
        <v>1817</v>
      </c>
      <c r="GT123" t="s">
        <v>140</v>
      </c>
      <c r="GU123">
        <v>1986</v>
      </c>
      <c r="GV123" t="str">
        <f>VLOOKUP(AnalizaCzyste[[#This Row],[Rok urodzenia]],KategorieWiekowe[],2,1)</f>
        <v>26–35 lat</v>
      </c>
      <c r="GW123" t="s">
        <v>246</v>
      </c>
      <c r="GY123" t="s">
        <v>1818</v>
      </c>
      <c r="GZ123" t="s">
        <v>1819</v>
      </c>
    </row>
    <row r="124" spans="1:209" hidden="1" x14ac:dyDescent="0.45">
      <c r="A124">
        <v>223</v>
      </c>
      <c r="B124">
        <f>_xlfn.IFNA(VLOOKUP(AnalizaCzyste[[#This Row],[Zakończono wypełnianie]],Zakończone[],2,0),"BRAK")</f>
        <v>122</v>
      </c>
      <c r="C124">
        <f>COUNTA(I124:HA124)</f>
        <v>42</v>
      </c>
      <c r="D124" t="s">
        <v>1828</v>
      </c>
      <c r="E124" t="s">
        <v>1829</v>
      </c>
      <c r="F124">
        <v>673</v>
      </c>
      <c r="I124" s="1" t="s">
        <v>123</v>
      </c>
      <c r="Y124" s="1" t="s">
        <v>124</v>
      </c>
      <c r="Z124" t="s">
        <v>223</v>
      </c>
      <c r="AA124" t="str">
        <f>VLOOKUP(AnalizaCzyste[[#This Row],[Jak się nazywa uczelnia którą ukończyłeś? (proszę o wybranie jednej uczelni podlegającej ocenie)]],KategorieUczelni[],2,0)</f>
        <v>Publiczna</v>
      </c>
      <c r="AB124">
        <v>2005</v>
      </c>
      <c r="AC124" t="s">
        <v>148</v>
      </c>
      <c r="AD124" t="s">
        <v>1831</v>
      </c>
      <c r="AE124" t="s">
        <v>162</v>
      </c>
      <c r="AF124" t="s">
        <v>169</v>
      </c>
      <c r="AG124" t="s">
        <v>169</v>
      </c>
      <c r="AH124" t="s">
        <v>128</v>
      </c>
      <c r="AI124" t="s">
        <v>162</v>
      </c>
      <c r="AJ124" t="s">
        <v>237</v>
      </c>
      <c r="AK124" t="s">
        <v>302</v>
      </c>
      <c r="AL124" t="s">
        <v>153</v>
      </c>
      <c r="AM124" t="s">
        <v>1832</v>
      </c>
      <c r="AN124" t="s">
        <v>1833</v>
      </c>
      <c r="AO124" t="s">
        <v>1834</v>
      </c>
      <c r="AQ124" t="s">
        <v>158</v>
      </c>
      <c r="AR124" s="1" t="s">
        <v>123</v>
      </c>
      <c r="CL124" s="1" t="s">
        <v>123</v>
      </c>
      <c r="CV124" s="1" t="s">
        <v>214</v>
      </c>
      <c r="CW124" t="s">
        <v>191</v>
      </c>
      <c r="CX124" t="s">
        <v>2277</v>
      </c>
      <c r="CY124" t="s">
        <v>150</v>
      </c>
      <c r="CZ124" t="s">
        <v>150</v>
      </c>
      <c r="DA124" t="s">
        <v>151</v>
      </c>
      <c r="DB124" t="s">
        <v>150</v>
      </c>
      <c r="DC124" t="s">
        <v>169</v>
      </c>
      <c r="DD124" t="s">
        <v>169</v>
      </c>
      <c r="DE124" t="s">
        <v>1836</v>
      </c>
      <c r="DF124" s="1" t="s">
        <v>123</v>
      </c>
      <c r="EI124" s="1" t="s">
        <v>123</v>
      </c>
      <c r="FI124" s="1" t="s">
        <v>123</v>
      </c>
      <c r="GQ124" t="s">
        <v>1837</v>
      </c>
      <c r="GR124" t="s">
        <v>1838</v>
      </c>
      <c r="GS124" t="s">
        <v>1839</v>
      </c>
      <c r="GT124" t="s">
        <v>140</v>
      </c>
      <c r="GU124">
        <v>1981</v>
      </c>
      <c r="GV124" t="str">
        <f>VLOOKUP(AnalizaCzyste[[#This Row],[Rok urodzenia]],KategorieWiekowe[],2,1)</f>
        <v>36–45 lat</v>
      </c>
      <c r="GW124" t="s">
        <v>141</v>
      </c>
      <c r="GY124" t="s">
        <v>1840</v>
      </c>
    </row>
    <row r="125" spans="1:209" hidden="1" x14ac:dyDescent="0.45">
      <c r="A125">
        <v>227</v>
      </c>
      <c r="B125">
        <f>_xlfn.IFNA(VLOOKUP(AnalizaCzyste[[#This Row],[Zakończono wypełnianie]],Zakończone[],2,0),"BRAK")</f>
        <v>123</v>
      </c>
      <c r="C125">
        <f>COUNTA(I125:HA125)</f>
        <v>34</v>
      </c>
      <c r="D125" t="s">
        <v>1846</v>
      </c>
      <c r="E125" t="s">
        <v>1847</v>
      </c>
      <c r="F125">
        <v>790</v>
      </c>
      <c r="I125" s="1" t="s">
        <v>123</v>
      </c>
      <c r="Y125" s="1" t="s">
        <v>124</v>
      </c>
      <c r="Z125" t="s">
        <v>223</v>
      </c>
      <c r="AA125" t="str">
        <f>VLOOKUP(AnalizaCzyste[[#This Row],[Jak się nazywa uczelnia którą ukończyłeś? (proszę o wybranie jednej uczelni podlegającej ocenie)]],KategorieUczelni[],2,0)</f>
        <v>Publiczna</v>
      </c>
      <c r="AB125">
        <v>2018</v>
      </c>
      <c r="AC125" t="s">
        <v>148</v>
      </c>
      <c r="AD125" t="s">
        <v>461</v>
      </c>
      <c r="AE125" t="s">
        <v>162</v>
      </c>
      <c r="AF125" t="s">
        <v>162</v>
      </c>
      <c r="AG125" t="s">
        <v>150</v>
      </c>
      <c r="AH125" t="s">
        <v>169</v>
      </c>
      <c r="AI125" t="s">
        <v>132</v>
      </c>
      <c r="AJ125" t="s">
        <v>1848</v>
      </c>
      <c r="AK125" t="s">
        <v>302</v>
      </c>
      <c r="AL125" t="s">
        <v>132</v>
      </c>
      <c r="AM125" t="s">
        <v>1849</v>
      </c>
      <c r="AN125" t="s">
        <v>1850</v>
      </c>
      <c r="AO125" t="s">
        <v>1851</v>
      </c>
      <c r="AP125" t="s">
        <v>157</v>
      </c>
      <c r="AR125" s="1" t="s">
        <v>123</v>
      </c>
      <c r="CL125" s="1" t="s">
        <v>123</v>
      </c>
      <c r="CV125" s="1" t="s">
        <v>123</v>
      </c>
      <c r="DF125" s="1" t="s">
        <v>123</v>
      </c>
      <c r="EI125" s="1" t="s">
        <v>123</v>
      </c>
      <c r="FI125" s="1" t="s">
        <v>123</v>
      </c>
      <c r="GQ125" t="s">
        <v>1852</v>
      </c>
      <c r="GR125" t="s">
        <v>1853</v>
      </c>
      <c r="GS125" t="s">
        <v>1854</v>
      </c>
      <c r="GT125" t="s">
        <v>140</v>
      </c>
      <c r="GU125">
        <v>1994</v>
      </c>
      <c r="GV125" t="str">
        <f>VLOOKUP(AnalizaCzyste[[#This Row],[Rok urodzenia]],KategorieWiekowe[],2,1)</f>
        <v>26–35 lat</v>
      </c>
      <c r="GW125" t="s">
        <v>141</v>
      </c>
      <c r="GX125" t="s">
        <v>1855</v>
      </c>
      <c r="GY125" t="s">
        <v>1856</v>
      </c>
    </row>
    <row r="126" spans="1:209" hidden="1" x14ac:dyDescent="0.45">
      <c r="A126">
        <v>231</v>
      </c>
      <c r="B126">
        <f>_xlfn.IFNA(VLOOKUP(AnalizaCzyste[[#This Row],[Zakończono wypełnianie]],Zakończone[],2,0),"BRAK")</f>
        <v>124</v>
      </c>
      <c r="C126">
        <f>COUNTA(I126:HA126)</f>
        <v>32</v>
      </c>
      <c r="D126" t="s">
        <v>1865</v>
      </c>
      <c r="E126" t="s">
        <v>1866</v>
      </c>
      <c r="F126">
        <v>607</v>
      </c>
      <c r="I126" s="1" t="s">
        <v>123</v>
      </c>
      <c r="Y126" s="1" t="s">
        <v>124</v>
      </c>
      <c r="Z126" t="s">
        <v>191</v>
      </c>
      <c r="AA126" t="str">
        <f>VLOOKUP(AnalizaCzyste[[#This Row],[Jak się nazywa uczelnia którą ukończyłeś? (proszę o wybranie jednej uczelni podlegającej ocenie)]],KategorieUczelni[],2,0)</f>
        <v>Publiczna</v>
      </c>
      <c r="AB126">
        <v>2015</v>
      </c>
      <c r="AC126" t="s">
        <v>148</v>
      </c>
      <c r="AD126" t="s">
        <v>1867</v>
      </c>
      <c r="AE126" t="s">
        <v>162</v>
      </c>
      <c r="AF126" t="s">
        <v>150</v>
      </c>
      <c r="AG126" t="s">
        <v>169</v>
      </c>
      <c r="AH126" t="s">
        <v>151</v>
      </c>
      <c r="AI126" t="s">
        <v>162</v>
      </c>
      <c r="AJ126" t="s">
        <v>1868</v>
      </c>
      <c r="AK126" t="s">
        <v>153</v>
      </c>
      <c r="AL126" t="s">
        <v>226</v>
      </c>
      <c r="AM126" t="s">
        <v>1869</v>
      </c>
      <c r="AN126" t="s">
        <v>1870</v>
      </c>
      <c r="AO126" t="s">
        <v>1871</v>
      </c>
      <c r="AP126" t="s">
        <v>172</v>
      </c>
      <c r="AR126" s="1" t="s">
        <v>123</v>
      </c>
      <c r="CL126" s="1" t="s">
        <v>123</v>
      </c>
      <c r="CV126" s="1" t="s">
        <v>123</v>
      </c>
      <c r="DF126" s="1" t="s">
        <v>123</v>
      </c>
      <c r="EI126" s="1" t="s">
        <v>123</v>
      </c>
      <c r="FI126" s="1" t="s">
        <v>123</v>
      </c>
      <c r="GQ126" t="s">
        <v>276</v>
      </c>
      <c r="GR126" t="s">
        <v>1872</v>
      </c>
      <c r="GS126" t="s">
        <v>1873</v>
      </c>
      <c r="GT126" t="s">
        <v>186</v>
      </c>
      <c r="GU126">
        <v>1991</v>
      </c>
      <c r="GV126" t="str">
        <f>VLOOKUP(AnalizaCzyste[[#This Row],[Rok urodzenia]],KategorieWiekowe[],2,1)</f>
        <v>26–35 lat</v>
      </c>
      <c r="GW126" t="s">
        <v>398</v>
      </c>
    </row>
    <row r="127" spans="1:209" hidden="1" x14ac:dyDescent="0.45">
      <c r="A127">
        <v>233</v>
      </c>
      <c r="B127">
        <f>_xlfn.IFNA(VLOOKUP(AnalizaCzyste[[#This Row],[Zakończono wypełnianie]],Zakończone[],2,0),"BRAK")</f>
        <v>125</v>
      </c>
      <c r="C127">
        <f>COUNTA(I127:HA127)</f>
        <v>45</v>
      </c>
      <c r="D127" t="s">
        <v>1881</v>
      </c>
      <c r="E127" t="s">
        <v>1882</v>
      </c>
      <c r="F127">
        <v>627</v>
      </c>
      <c r="I127" s="1" t="s">
        <v>123</v>
      </c>
      <c r="Y127" s="1" t="s">
        <v>124</v>
      </c>
      <c r="Z127" s="20" t="s">
        <v>191</v>
      </c>
      <c r="AA127" s="20" t="str">
        <f>VLOOKUP(AnalizaCzyste[[#This Row],[Jak się nazywa uczelnia którą ukończyłeś? (proszę o wybranie jednej uczelni podlegającej ocenie)]],KategorieUczelni[],2,0)</f>
        <v>Publiczna</v>
      </c>
      <c r="AB127">
        <v>2011</v>
      </c>
      <c r="AC127" t="s">
        <v>126</v>
      </c>
      <c r="AD127" t="s">
        <v>1883</v>
      </c>
      <c r="AE127" t="s">
        <v>169</v>
      </c>
      <c r="AF127" t="s">
        <v>169</v>
      </c>
      <c r="AG127" t="s">
        <v>169</v>
      </c>
      <c r="AH127" t="s">
        <v>151</v>
      </c>
      <c r="AI127" t="s">
        <v>150</v>
      </c>
      <c r="AJ127" t="s">
        <v>1884</v>
      </c>
      <c r="AK127" t="s">
        <v>131</v>
      </c>
      <c r="AL127" t="s">
        <v>153</v>
      </c>
      <c r="AM127" t="s">
        <v>1885</v>
      </c>
      <c r="AN127" t="s">
        <v>1886</v>
      </c>
      <c r="AO127" t="s">
        <v>1887</v>
      </c>
      <c r="AP127" t="s">
        <v>157</v>
      </c>
      <c r="AQ127" t="s">
        <v>1888</v>
      </c>
      <c r="AR127" s="1" t="s">
        <v>123</v>
      </c>
      <c r="CL127" s="1" t="s">
        <v>123</v>
      </c>
      <c r="CV127" s="1" t="s">
        <v>123</v>
      </c>
      <c r="DF127" s="1" t="s">
        <v>123</v>
      </c>
      <c r="EI127" s="1" t="s">
        <v>177</v>
      </c>
      <c r="EJ127" t="s">
        <v>180</v>
      </c>
      <c r="EK127" t="s">
        <v>132</v>
      </c>
      <c r="EL127" t="s">
        <v>1889</v>
      </c>
      <c r="EM127" t="s">
        <v>132</v>
      </c>
      <c r="EN127" t="s">
        <v>132</v>
      </c>
      <c r="EO127" t="s">
        <v>132</v>
      </c>
      <c r="EP127" t="s">
        <v>180</v>
      </c>
      <c r="EQ127" t="s">
        <v>1889</v>
      </c>
      <c r="ER127" t="s">
        <v>1889</v>
      </c>
      <c r="ES127" t="s">
        <v>173</v>
      </c>
      <c r="FI127" s="1" t="s">
        <v>123</v>
      </c>
      <c r="GQ127" t="s">
        <v>1889</v>
      </c>
      <c r="GR127" t="s">
        <v>1889</v>
      </c>
      <c r="GS127" t="s">
        <v>1889</v>
      </c>
      <c r="GT127" t="s">
        <v>140</v>
      </c>
      <c r="GU127">
        <v>1987</v>
      </c>
      <c r="GV127" t="str">
        <f>VLOOKUP(AnalizaCzyste[[#This Row],[Rok urodzenia]],KategorieWiekowe[],2,1)</f>
        <v>26–35 lat</v>
      </c>
      <c r="GW127" t="s">
        <v>220</v>
      </c>
      <c r="GY127" t="s">
        <v>1889</v>
      </c>
      <c r="GZ127" t="s">
        <v>1889</v>
      </c>
    </row>
    <row r="128" spans="1:209" hidden="1" x14ac:dyDescent="0.45">
      <c r="A128">
        <v>234</v>
      </c>
      <c r="B128">
        <f>_xlfn.IFNA(VLOOKUP(AnalizaCzyste[[#This Row],[Zakończono wypełnianie]],Zakończone[],2,0),"BRAK")</f>
        <v>126</v>
      </c>
      <c r="C128">
        <f>COUNTA(I128:HA128)</f>
        <v>31</v>
      </c>
      <c r="D128" t="s">
        <v>1891</v>
      </c>
      <c r="E128" t="s">
        <v>1892</v>
      </c>
      <c r="F128">
        <v>680</v>
      </c>
      <c r="I128" s="1" t="s">
        <v>123</v>
      </c>
      <c r="Y128" s="1" t="s">
        <v>124</v>
      </c>
      <c r="Z128" t="s">
        <v>191</v>
      </c>
      <c r="AA128" t="str">
        <f>VLOOKUP(AnalizaCzyste[[#This Row],[Jak się nazywa uczelnia którą ukończyłeś? (proszę o wybranie jednej uczelni podlegającej ocenie)]],KategorieUczelni[],2,0)</f>
        <v>Publiczna</v>
      </c>
      <c r="AB128">
        <v>2016</v>
      </c>
      <c r="AC128" t="s">
        <v>126</v>
      </c>
      <c r="AD128" t="s">
        <v>1893</v>
      </c>
      <c r="AE128" t="s">
        <v>150</v>
      </c>
      <c r="AF128" t="s">
        <v>150</v>
      </c>
      <c r="AG128" t="s">
        <v>150</v>
      </c>
      <c r="AH128" t="s">
        <v>128</v>
      </c>
      <c r="AI128" t="s">
        <v>150</v>
      </c>
      <c r="AJ128" t="s">
        <v>530</v>
      </c>
      <c r="AK128" t="s">
        <v>302</v>
      </c>
      <c r="AL128" t="s">
        <v>226</v>
      </c>
      <c r="AN128" t="s">
        <v>1894</v>
      </c>
      <c r="AO128" t="s">
        <v>1895</v>
      </c>
      <c r="AP128" t="s">
        <v>157</v>
      </c>
      <c r="AR128" s="1" t="s">
        <v>123</v>
      </c>
      <c r="CL128" s="1" t="s">
        <v>123</v>
      </c>
      <c r="CV128" s="1" t="s">
        <v>123</v>
      </c>
      <c r="DF128" s="1" t="s">
        <v>123</v>
      </c>
      <c r="EI128" s="1" t="s">
        <v>123</v>
      </c>
      <c r="FI128" s="1" t="s">
        <v>123</v>
      </c>
      <c r="GQ128" t="s">
        <v>1896</v>
      </c>
      <c r="GR128" t="s">
        <v>1897</v>
      </c>
      <c r="GS128" t="s">
        <v>1898</v>
      </c>
      <c r="GT128" t="s">
        <v>140</v>
      </c>
      <c r="GU128">
        <v>1991</v>
      </c>
      <c r="GV128" t="str">
        <f>VLOOKUP(AnalizaCzyste[[#This Row],[Rok urodzenia]],KategorieWiekowe[],2,1)</f>
        <v>26–35 lat</v>
      </c>
      <c r="GW128" t="s">
        <v>398</v>
      </c>
    </row>
    <row r="129" spans="1:209" hidden="1" x14ac:dyDescent="0.45">
      <c r="A129">
        <v>235</v>
      </c>
      <c r="B129">
        <f>_xlfn.IFNA(VLOOKUP(AnalizaCzyste[[#This Row],[Zakończono wypełnianie]],Zakończone[],2,0),"BRAK")</f>
        <v>127</v>
      </c>
      <c r="C129">
        <f>COUNTA(I129:HA129)</f>
        <v>34</v>
      </c>
      <c r="D129" t="s">
        <v>1900</v>
      </c>
      <c r="E129" t="s">
        <v>1901</v>
      </c>
      <c r="F129">
        <v>650</v>
      </c>
      <c r="I129" s="1" t="s">
        <v>123</v>
      </c>
      <c r="Y129" s="1" t="s">
        <v>124</v>
      </c>
      <c r="Z129" t="s">
        <v>223</v>
      </c>
      <c r="AA129" t="str">
        <f>VLOOKUP(AnalizaCzyste[[#This Row],[Jak się nazywa uczelnia którą ukończyłeś? (proszę o wybranie jednej uczelni podlegającej ocenie)]],KategorieUczelni[],2,0)</f>
        <v>Publiczna</v>
      </c>
      <c r="AB129">
        <v>2009</v>
      </c>
      <c r="AC129" t="s">
        <v>148</v>
      </c>
      <c r="AD129" t="s">
        <v>1666</v>
      </c>
      <c r="AE129" t="s">
        <v>162</v>
      </c>
      <c r="AF129" t="s">
        <v>151</v>
      </c>
      <c r="AG129" t="s">
        <v>236</v>
      </c>
      <c r="AH129" t="s">
        <v>236</v>
      </c>
      <c r="AI129" t="s">
        <v>128</v>
      </c>
      <c r="AJ129">
        <v>9</v>
      </c>
      <c r="AK129" t="s">
        <v>131</v>
      </c>
      <c r="AL129" t="s">
        <v>153</v>
      </c>
      <c r="AM129" t="s">
        <v>1902</v>
      </c>
      <c r="AN129" t="s">
        <v>1903</v>
      </c>
      <c r="AO129" t="s">
        <v>1904</v>
      </c>
      <c r="AQ129" t="s">
        <v>1905</v>
      </c>
      <c r="AR129" s="1" t="s">
        <v>123</v>
      </c>
      <c r="CL129" s="1" t="s">
        <v>123</v>
      </c>
      <c r="CV129" s="1" t="s">
        <v>123</v>
      </c>
      <c r="DF129" s="1" t="s">
        <v>123</v>
      </c>
      <c r="EI129" s="1" t="s">
        <v>123</v>
      </c>
      <c r="FI129" s="1" t="s">
        <v>123</v>
      </c>
      <c r="GQ129" t="s">
        <v>1906</v>
      </c>
      <c r="GR129" t="s">
        <v>1907</v>
      </c>
      <c r="GS129" t="s">
        <v>1908</v>
      </c>
      <c r="GT129" t="s">
        <v>140</v>
      </c>
      <c r="GU129">
        <v>1985</v>
      </c>
      <c r="GV129" t="str">
        <f>VLOOKUP(AnalizaCzyste[[#This Row],[Rok urodzenia]],KategorieWiekowe[],2,1)</f>
        <v>26–35 lat</v>
      </c>
      <c r="GW129" t="s">
        <v>141</v>
      </c>
      <c r="GY129" t="s">
        <v>142</v>
      </c>
      <c r="GZ129" t="s">
        <v>1909</v>
      </c>
    </row>
    <row r="130" spans="1:209" hidden="1" x14ac:dyDescent="0.45">
      <c r="A130">
        <v>236</v>
      </c>
      <c r="B130">
        <f>_xlfn.IFNA(VLOOKUP(AnalizaCzyste[[#This Row],[Zakończono wypełnianie]],Zakończone[],2,0),"BRAK")</f>
        <v>128</v>
      </c>
      <c r="C130">
        <f>COUNTA(I130:HA130)</f>
        <v>35</v>
      </c>
      <c r="D130" t="s">
        <v>1912</v>
      </c>
      <c r="E130" t="s">
        <v>1913</v>
      </c>
      <c r="F130">
        <v>1026</v>
      </c>
      <c r="I130" s="1" t="s">
        <v>123</v>
      </c>
      <c r="Y130" s="1" t="s">
        <v>124</v>
      </c>
      <c r="Z130" t="s">
        <v>191</v>
      </c>
      <c r="AA130" t="str">
        <f>VLOOKUP(AnalizaCzyste[[#This Row],[Jak się nazywa uczelnia którą ukończyłeś? (proszę o wybranie jednej uczelni podlegającej ocenie)]],KategorieUczelni[],2,0)</f>
        <v>Publiczna</v>
      </c>
      <c r="AB130">
        <v>2011</v>
      </c>
      <c r="AC130" t="s">
        <v>126</v>
      </c>
      <c r="AD130" t="s">
        <v>1914</v>
      </c>
      <c r="AE130" t="s">
        <v>150</v>
      </c>
      <c r="AF130" t="s">
        <v>162</v>
      </c>
      <c r="AG130" t="s">
        <v>150</v>
      </c>
      <c r="AH130" t="s">
        <v>151</v>
      </c>
      <c r="AI130" t="s">
        <v>169</v>
      </c>
      <c r="AJ130" t="s">
        <v>1362</v>
      </c>
      <c r="AK130" t="s">
        <v>131</v>
      </c>
      <c r="AL130" t="s">
        <v>759</v>
      </c>
      <c r="AM130" t="s">
        <v>1915</v>
      </c>
      <c r="AN130" t="s">
        <v>1916</v>
      </c>
      <c r="AO130" t="s">
        <v>1917</v>
      </c>
      <c r="AQ130" t="s">
        <v>1918</v>
      </c>
      <c r="AR130" s="1" t="s">
        <v>123</v>
      </c>
      <c r="CL130" s="1" t="s">
        <v>123</v>
      </c>
      <c r="CV130" s="1" t="s">
        <v>123</v>
      </c>
      <c r="DF130" s="1" t="s">
        <v>123</v>
      </c>
      <c r="EI130" s="1" t="s">
        <v>123</v>
      </c>
      <c r="FI130" s="1" t="s">
        <v>123</v>
      </c>
      <c r="GQ130" t="s">
        <v>1919</v>
      </c>
      <c r="GR130" t="s">
        <v>1920</v>
      </c>
      <c r="GS130" t="s">
        <v>1921</v>
      </c>
      <c r="GT130" t="s">
        <v>140</v>
      </c>
      <c r="GU130">
        <v>1987</v>
      </c>
      <c r="GV130" t="str">
        <f>VLOOKUP(AnalizaCzyste[[#This Row],[Rok urodzenia]],KategorieWiekowe[],2,1)</f>
        <v>26–35 lat</v>
      </c>
      <c r="GW130" t="s">
        <v>220</v>
      </c>
      <c r="GY130" t="s">
        <v>1922</v>
      </c>
      <c r="GZ130" t="s">
        <v>1923</v>
      </c>
      <c r="HA130" t="s">
        <v>1924</v>
      </c>
    </row>
    <row r="131" spans="1:209" hidden="1" x14ac:dyDescent="0.45">
      <c r="A131">
        <v>238</v>
      </c>
      <c r="B131">
        <f>_xlfn.IFNA(VLOOKUP(AnalizaCzyste[[#This Row],[Zakończono wypełnianie]],Zakończone[],2,0),"BRAK")</f>
        <v>129</v>
      </c>
      <c r="C131">
        <f>COUNTA(I131:HA131)</f>
        <v>33</v>
      </c>
      <c r="D131" t="s">
        <v>1928</v>
      </c>
      <c r="E131" t="s">
        <v>1929</v>
      </c>
      <c r="F131">
        <v>1449</v>
      </c>
      <c r="I131" s="1" t="s">
        <v>123</v>
      </c>
      <c r="Y131" s="1" t="s">
        <v>124</v>
      </c>
      <c r="Z131" t="s">
        <v>2270</v>
      </c>
      <c r="AA131" t="str">
        <f>VLOOKUP(AnalizaCzyste[[#This Row],[Jak się nazywa uczelnia którą ukończyłeś? (proszę o wybranie jednej uczelni podlegającej ocenie)]],KategorieUczelni[],2,0)</f>
        <v>Publiczna</v>
      </c>
      <c r="AB131">
        <v>2007</v>
      </c>
      <c r="AC131" t="s">
        <v>126</v>
      </c>
      <c r="AD131" t="s">
        <v>1931</v>
      </c>
      <c r="AE131" t="s">
        <v>162</v>
      </c>
      <c r="AF131" t="s">
        <v>162</v>
      </c>
      <c r="AG131" t="s">
        <v>169</v>
      </c>
      <c r="AH131" t="s">
        <v>169</v>
      </c>
      <c r="AI131" t="s">
        <v>169</v>
      </c>
      <c r="AJ131" t="s">
        <v>1932</v>
      </c>
      <c r="AK131" t="s">
        <v>302</v>
      </c>
      <c r="AL131" t="s">
        <v>153</v>
      </c>
      <c r="AM131" t="s">
        <v>1933</v>
      </c>
      <c r="AN131" t="s">
        <v>1934</v>
      </c>
      <c r="AO131" t="s">
        <v>1935</v>
      </c>
      <c r="AQ131" t="s">
        <v>1936</v>
      </c>
      <c r="AR131" s="1" t="s">
        <v>123</v>
      </c>
      <c r="CL131" s="1" t="s">
        <v>123</v>
      </c>
      <c r="CV131" s="1" t="s">
        <v>123</v>
      </c>
      <c r="DF131" s="1" t="s">
        <v>123</v>
      </c>
      <c r="EI131" s="1" t="s">
        <v>123</v>
      </c>
      <c r="FI131" s="1" t="s">
        <v>123</v>
      </c>
      <c r="GQ131" t="s">
        <v>1937</v>
      </c>
      <c r="GR131" t="s">
        <v>1938</v>
      </c>
      <c r="GS131" t="s">
        <v>1939</v>
      </c>
      <c r="GT131" t="s">
        <v>186</v>
      </c>
      <c r="GU131" s="42">
        <v>1995</v>
      </c>
      <c r="GV131" t="str">
        <f>VLOOKUP(AnalizaCzyste[[#This Row],[Rok urodzenia]],KategorieWiekowe[],2,1)</f>
        <v>poniżej 26 lat</v>
      </c>
      <c r="GW131" t="s">
        <v>398</v>
      </c>
      <c r="GY131" t="s">
        <v>1940</v>
      </c>
    </row>
    <row r="132" spans="1:209" hidden="1" x14ac:dyDescent="0.45">
      <c r="A132">
        <v>243</v>
      </c>
      <c r="B132">
        <f>_xlfn.IFNA(VLOOKUP(AnalizaCzyste[[#This Row],[Zakończono wypełnianie]],Zakończone[],2,0),"BRAK")</f>
        <v>130</v>
      </c>
      <c r="C132">
        <f>COUNTA(I132:HA132)</f>
        <v>34</v>
      </c>
      <c r="D132" t="s">
        <v>1952</v>
      </c>
      <c r="E132" t="s">
        <v>1953</v>
      </c>
      <c r="F132">
        <v>942</v>
      </c>
      <c r="I132" s="1" t="s">
        <v>123</v>
      </c>
      <c r="Y132" s="1" t="s">
        <v>124</v>
      </c>
      <c r="Z132" t="s">
        <v>223</v>
      </c>
      <c r="AA132" t="str">
        <f>VLOOKUP(AnalizaCzyste[[#This Row],[Jak się nazywa uczelnia którą ukończyłeś? (proszę o wybranie jednej uczelni podlegającej ocenie)]],KategorieUczelni[],2,0)</f>
        <v>Publiczna</v>
      </c>
      <c r="AB132">
        <v>2012</v>
      </c>
      <c r="AC132" t="s">
        <v>148</v>
      </c>
      <c r="AD132" t="s">
        <v>161</v>
      </c>
      <c r="AE132" t="s">
        <v>128</v>
      </c>
      <c r="AF132" t="s">
        <v>162</v>
      </c>
      <c r="AG132" t="s">
        <v>128</v>
      </c>
      <c r="AH132" t="s">
        <v>128</v>
      </c>
      <c r="AI132" t="s">
        <v>236</v>
      </c>
      <c r="AJ132" t="s">
        <v>530</v>
      </c>
      <c r="AK132" t="s">
        <v>302</v>
      </c>
      <c r="AL132" t="s">
        <v>131</v>
      </c>
      <c r="AM132" t="s">
        <v>1955</v>
      </c>
      <c r="AN132" t="s">
        <v>1956</v>
      </c>
      <c r="AO132" t="s">
        <v>1957</v>
      </c>
      <c r="AP132" t="s">
        <v>157</v>
      </c>
      <c r="AR132" s="1" t="s">
        <v>123</v>
      </c>
      <c r="CL132" s="1" t="s">
        <v>123</v>
      </c>
      <c r="CV132" s="1" t="s">
        <v>123</v>
      </c>
      <c r="DF132" s="1" t="s">
        <v>123</v>
      </c>
      <c r="EI132" s="1" t="s">
        <v>123</v>
      </c>
      <c r="FI132" s="1" t="s">
        <v>123</v>
      </c>
      <c r="GQ132" t="s">
        <v>1958</v>
      </c>
      <c r="GR132" t="s">
        <v>1959</v>
      </c>
      <c r="GS132" t="s">
        <v>1960</v>
      </c>
      <c r="GT132" t="s">
        <v>140</v>
      </c>
      <c r="GU132">
        <v>1986</v>
      </c>
      <c r="GV132" t="str">
        <f>VLOOKUP(AnalizaCzyste[[#This Row],[Rok urodzenia]],KategorieWiekowe[],2,1)</f>
        <v>26–35 lat</v>
      </c>
      <c r="GW132" t="s">
        <v>1630</v>
      </c>
      <c r="GY132" t="s">
        <v>1961</v>
      </c>
      <c r="GZ132" t="s">
        <v>142</v>
      </c>
    </row>
    <row r="133" spans="1:209" hidden="1" x14ac:dyDescent="0.45">
      <c r="A133">
        <v>245</v>
      </c>
      <c r="B133">
        <f>_xlfn.IFNA(VLOOKUP(AnalizaCzyste[[#This Row],[Zakończono wypełnianie]],Zakończone[],2,0),"BRAK")</f>
        <v>131</v>
      </c>
      <c r="C133">
        <f>COUNTA(I133:HA133)</f>
        <v>33</v>
      </c>
      <c r="D133" t="s">
        <v>1967</v>
      </c>
      <c r="E133" t="s">
        <v>1968</v>
      </c>
      <c r="F133">
        <v>504</v>
      </c>
      <c r="I133" s="1" t="s">
        <v>123</v>
      </c>
      <c r="Y133" s="1" t="s">
        <v>124</v>
      </c>
      <c r="Z133" t="s">
        <v>191</v>
      </c>
      <c r="AA133" t="str">
        <f>VLOOKUP(AnalizaCzyste[[#This Row],[Jak się nazywa uczelnia którą ukończyłeś? (proszę o wybranie jednej uczelni podlegającej ocenie)]],KategorieUczelni[],2,0)</f>
        <v>Publiczna</v>
      </c>
      <c r="AB133">
        <v>2003</v>
      </c>
      <c r="AC133" t="s">
        <v>126</v>
      </c>
      <c r="AD133" t="s">
        <v>127</v>
      </c>
      <c r="AE133" t="s">
        <v>150</v>
      </c>
      <c r="AF133" t="s">
        <v>150</v>
      </c>
      <c r="AG133" t="s">
        <v>162</v>
      </c>
      <c r="AH133" t="s">
        <v>151</v>
      </c>
      <c r="AI133" t="s">
        <v>151</v>
      </c>
      <c r="AJ133" t="s">
        <v>237</v>
      </c>
      <c r="AK133" t="s">
        <v>152</v>
      </c>
      <c r="AL133" t="s">
        <v>131</v>
      </c>
      <c r="AM133" t="s">
        <v>1969</v>
      </c>
      <c r="AN133" t="s">
        <v>1970</v>
      </c>
      <c r="AO133" t="s">
        <v>1971</v>
      </c>
      <c r="AP133" t="s">
        <v>157</v>
      </c>
      <c r="AQ133" t="s">
        <v>1972</v>
      </c>
      <c r="AR133" s="1" t="s">
        <v>123</v>
      </c>
      <c r="CL133" s="1" t="s">
        <v>123</v>
      </c>
      <c r="CV133" s="1" t="s">
        <v>123</v>
      </c>
      <c r="DF133" s="1" t="s">
        <v>123</v>
      </c>
      <c r="EI133" s="1" t="s">
        <v>123</v>
      </c>
      <c r="FI133" s="1" t="s">
        <v>123</v>
      </c>
      <c r="GQ133" t="s">
        <v>1973</v>
      </c>
      <c r="GR133" t="s">
        <v>1363</v>
      </c>
      <c r="GS133" t="s">
        <v>1974</v>
      </c>
      <c r="GT133" t="s">
        <v>140</v>
      </c>
      <c r="GU133">
        <v>1979</v>
      </c>
      <c r="GV133" t="str">
        <f>VLOOKUP(AnalizaCzyste[[#This Row],[Rok urodzenia]],KategorieWiekowe[],2,1)</f>
        <v>36–45 lat</v>
      </c>
      <c r="GW133" t="s">
        <v>141</v>
      </c>
    </row>
    <row r="134" spans="1:209" hidden="1" x14ac:dyDescent="0.45">
      <c r="A134">
        <v>248</v>
      </c>
      <c r="B134">
        <f>_xlfn.IFNA(VLOOKUP(AnalizaCzyste[[#This Row],[Zakończono wypełnianie]],Zakończone[],2,0),"BRAK")</f>
        <v>133</v>
      </c>
      <c r="C134">
        <f>COUNTA(I134:HA134)</f>
        <v>31</v>
      </c>
      <c r="D134" t="s">
        <v>1979</v>
      </c>
      <c r="E134" t="s">
        <v>1980</v>
      </c>
      <c r="F134">
        <v>1026</v>
      </c>
      <c r="I134" s="1" t="s">
        <v>416</v>
      </c>
      <c r="J134" t="s">
        <v>813</v>
      </c>
      <c r="K134" t="s">
        <v>148</v>
      </c>
      <c r="L134" t="s">
        <v>1982</v>
      </c>
      <c r="M134" t="s">
        <v>162</v>
      </c>
      <c r="N134" t="s">
        <v>162</v>
      </c>
      <c r="O134" t="s">
        <v>150</v>
      </c>
      <c r="P134" t="s">
        <v>1983</v>
      </c>
      <c r="Q134" t="s">
        <v>1984</v>
      </c>
      <c r="R134" t="s">
        <v>194</v>
      </c>
      <c r="S134" t="s">
        <v>1985</v>
      </c>
      <c r="T134" t="s">
        <v>1986</v>
      </c>
      <c r="U134" t="s">
        <v>1987</v>
      </c>
      <c r="V134" t="s">
        <v>157</v>
      </c>
      <c r="X134">
        <v>4</v>
      </c>
      <c r="Y134" s="1" t="s">
        <v>123</v>
      </c>
      <c r="AA134" t="e">
        <f>VLOOKUP(AnalizaCzyste[[#This Row],[Jak się nazywa uczelnia którą ukończyłeś? (proszę o wybranie jednej uczelni podlegającej ocenie)]],KategorieUczelni[],2,0)</f>
        <v>#N/A</v>
      </c>
      <c r="AR134" s="1" t="s">
        <v>123</v>
      </c>
      <c r="CL134" s="1" t="s">
        <v>123</v>
      </c>
      <c r="CV134" s="1" t="s">
        <v>123</v>
      </c>
      <c r="DF134" s="1" t="s">
        <v>123</v>
      </c>
      <c r="EI134" s="1" t="s">
        <v>123</v>
      </c>
      <c r="FI134" s="1" t="s">
        <v>123</v>
      </c>
      <c r="GQ134" t="s">
        <v>1988</v>
      </c>
      <c r="GR134" t="s">
        <v>1989</v>
      </c>
      <c r="GS134" t="s">
        <v>1990</v>
      </c>
      <c r="GT134" t="s">
        <v>186</v>
      </c>
      <c r="GU134">
        <v>1992</v>
      </c>
      <c r="GV134" t="str">
        <f>VLOOKUP(AnalizaCzyste[[#This Row],[Rok urodzenia]],KategorieWiekowe[],2,1)</f>
        <v>26–35 lat</v>
      </c>
      <c r="GW134" t="s">
        <v>246</v>
      </c>
      <c r="GY134" t="s">
        <v>1991</v>
      </c>
    </row>
    <row r="135" spans="1:209" hidden="1" x14ac:dyDescent="0.45">
      <c r="A135">
        <v>206</v>
      </c>
      <c r="B135" t="str">
        <f>_xlfn.IFNA(VLOOKUP(AnalizaCzyste[[#This Row],[Zakończono wypełnianie]],Zakończone[],2,0),"BRAK")</f>
        <v>BRAK</v>
      </c>
      <c r="C135">
        <f>COUNTA(I135:HA135)</f>
        <v>31</v>
      </c>
      <c r="D135" t="s">
        <v>1723</v>
      </c>
      <c r="E135" t="s">
        <v>1723</v>
      </c>
      <c r="F135">
        <v>0</v>
      </c>
      <c r="I135" s="1" t="s">
        <v>123</v>
      </c>
      <c r="Y135" s="1" t="s">
        <v>124</v>
      </c>
      <c r="Z135" s="20" t="s">
        <v>223</v>
      </c>
      <c r="AA135" s="20" t="str">
        <f>VLOOKUP(AnalizaCzyste[[#This Row],[Jak się nazywa uczelnia którą ukończyłeś? (proszę o wybranie jednej uczelni podlegającej ocenie)]],KategorieUczelni[],2,0)</f>
        <v>Publiczna</v>
      </c>
      <c r="AB135">
        <v>2005</v>
      </c>
      <c r="AC135" t="s">
        <v>148</v>
      </c>
      <c r="AD135" t="s">
        <v>1725</v>
      </c>
      <c r="AE135" t="s">
        <v>150</v>
      </c>
      <c r="AF135" t="s">
        <v>162</v>
      </c>
      <c r="AG135" t="s">
        <v>162</v>
      </c>
      <c r="AH135" t="s">
        <v>162</v>
      </c>
      <c r="AI135" t="s">
        <v>162</v>
      </c>
      <c r="AJ135">
        <v>2</v>
      </c>
      <c r="AK135" t="s">
        <v>131</v>
      </c>
      <c r="AL135" t="s">
        <v>302</v>
      </c>
      <c r="AM135" t="s">
        <v>1726</v>
      </c>
      <c r="AN135" t="s">
        <v>1727</v>
      </c>
      <c r="AO135" t="s">
        <v>1728</v>
      </c>
      <c r="AP135" t="s">
        <v>157</v>
      </c>
      <c r="AR135" s="1" t="s">
        <v>123</v>
      </c>
      <c r="CL135" s="1" t="s">
        <v>123</v>
      </c>
      <c r="CV135" s="1" t="s">
        <v>123</v>
      </c>
      <c r="DF135" s="1" t="s">
        <v>123</v>
      </c>
      <c r="EI135" s="1" t="s">
        <v>123</v>
      </c>
      <c r="FI135" s="1" t="s">
        <v>123</v>
      </c>
      <c r="GT135" t="s">
        <v>140</v>
      </c>
      <c r="GU135">
        <v>1981</v>
      </c>
      <c r="GV135" t="str">
        <f>VLOOKUP(AnalizaCzyste[[#This Row],[Rok urodzenia]],KategorieWiekowe[],2,1)</f>
        <v>36–45 lat</v>
      </c>
      <c r="GW135" t="s">
        <v>483</v>
      </c>
      <c r="GY135" t="s">
        <v>142</v>
      </c>
      <c r="GZ135" t="s">
        <v>180</v>
      </c>
    </row>
    <row r="136" spans="1:209" ht="14.65" thickBot="1" x14ac:dyDescent="0.5">
      <c r="I136" s="6">
        <f>COUNTA((I3:I135))</f>
        <v>133</v>
      </c>
      <c r="J136" s="1">
        <f>COUNTA((J3:J135))</f>
        <v>14</v>
      </c>
      <c r="K136" s="1">
        <f>COUNTA((K3:K135))</f>
        <v>14</v>
      </c>
      <c r="L136" s="1">
        <f>COUNTA((L3:L135))</f>
        <v>14</v>
      </c>
      <c r="M136" s="1">
        <f>COUNTA((M3:M135))</f>
        <v>14</v>
      </c>
      <c r="N136" s="1">
        <f>COUNTA((N3:N135))</f>
        <v>14</v>
      </c>
      <c r="O136" s="1">
        <f>COUNTA((O3:O135))</f>
        <v>14</v>
      </c>
      <c r="P136" s="1">
        <f>COUNTA((P3:P135))</f>
        <v>14</v>
      </c>
      <c r="Q136" s="1">
        <f>COUNTA((Q3:Q135))</f>
        <v>14</v>
      </c>
      <c r="R136" s="1">
        <f>COUNTA((R3:R135))</f>
        <v>14</v>
      </c>
      <c r="S136" s="1">
        <f>COUNTA((S3:S135))</f>
        <v>9</v>
      </c>
      <c r="T136" s="1">
        <f>COUNTA((T3:T135))</f>
        <v>14</v>
      </c>
      <c r="U136" s="1">
        <f>COUNTA((U3:U135))</f>
        <v>14</v>
      </c>
      <c r="V136" s="1">
        <f>COUNTA((V3:V135))</f>
        <v>13</v>
      </c>
      <c r="W136" s="1">
        <f>COUNTA((W3:W135))</f>
        <v>2</v>
      </c>
      <c r="X136" s="1">
        <f>COUNTA((X3:X135))</f>
        <v>14</v>
      </c>
      <c r="Y136" s="6">
        <f>COUNTA((Y3:Y135))</f>
        <v>133</v>
      </c>
      <c r="Z136" s="1">
        <f>COUNTA((Z3:Z135))</f>
        <v>120</v>
      </c>
      <c r="AA136" s="1"/>
      <c r="AB136" s="1">
        <f>COUNTA((AB3:AB135))</f>
        <v>119</v>
      </c>
      <c r="AC136" s="1">
        <f>COUNTA((AC3:AC135))</f>
        <v>120</v>
      </c>
      <c r="AD136" s="1">
        <f>COUNTA((AD3:AD135))</f>
        <v>120</v>
      </c>
      <c r="AE136" s="1">
        <f>COUNTA((AE3:AE135))</f>
        <v>120</v>
      </c>
      <c r="AF136" s="1">
        <f>COUNTA((AF3:AF135))</f>
        <v>120</v>
      </c>
      <c r="AG136" s="1">
        <f>COUNTA((AG3:AG135))</f>
        <v>120</v>
      </c>
      <c r="AH136" s="1">
        <f>COUNTA((AH3:AH135))</f>
        <v>120</v>
      </c>
      <c r="AI136" s="1">
        <f>COUNTA((AI3:AI135))</f>
        <v>120</v>
      </c>
      <c r="AJ136" s="1">
        <f>COUNTA((AJ3:AJ135))</f>
        <v>120</v>
      </c>
      <c r="AK136" s="1">
        <f>COUNTA((AK3:AK135))</f>
        <v>120</v>
      </c>
      <c r="AL136" s="1">
        <f>COUNTA((AL3:AL135))</f>
        <v>120</v>
      </c>
      <c r="AM136" s="1">
        <f>COUNTA((AM3:AM135))</f>
        <v>98</v>
      </c>
      <c r="AN136" s="1">
        <f>COUNTA((AN3:AN135))</f>
        <v>120</v>
      </c>
      <c r="AO136" s="1">
        <f>COUNTA((AO3:AO135))</f>
        <v>120</v>
      </c>
      <c r="AP136" s="1">
        <f>COUNTA((AP3:AP135))</f>
        <v>108</v>
      </c>
      <c r="AQ136" s="1">
        <f>COUNTA((AQ3:AQ135))</f>
        <v>38</v>
      </c>
      <c r="AR136" s="6">
        <f>COUNTA((AR3:AR135))</f>
        <v>133</v>
      </c>
      <c r="AS136" s="1">
        <f>COUNTA((AS3:AS135))</f>
        <v>17</v>
      </c>
      <c r="AT136" s="1">
        <f>COUNTA((AT3:AT135))</f>
        <v>17</v>
      </c>
      <c r="AU136" s="1">
        <f>COUNTA((AU3:AU135))</f>
        <v>17</v>
      </c>
      <c r="AV136" s="1">
        <f>COUNTA((AV3:AV135))</f>
        <v>17</v>
      </c>
      <c r="AW136" s="1">
        <f>COUNTA((AW3:AW135))</f>
        <v>17</v>
      </c>
      <c r="AX136" s="1">
        <f>COUNTA((AX3:AX135))</f>
        <v>17</v>
      </c>
      <c r="AY136" s="1">
        <f>COUNTA((AY3:AY135))</f>
        <v>17</v>
      </c>
      <c r="AZ136" s="1">
        <f>COUNTA((AZ3:AZ135))</f>
        <v>17</v>
      </c>
      <c r="BA136" s="1">
        <f>COUNTA((BA3:BA135))</f>
        <v>17</v>
      </c>
      <c r="BB136" s="1">
        <f>COUNTA((BB3:BB135))</f>
        <v>17</v>
      </c>
      <c r="BC136" s="1">
        <f>COUNTA((BC3:BC135))</f>
        <v>17</v>
      </c>
      <c r="BD136" s="1">
        <f>COUNTA((BD3:BD135))</f>
        <v>15</v>
      </c>
      <c r="BE136" s="1">
        <f>COUNTA((BE3:BE135))</f>
        <v>17</v>
      </c>
      <c r="BF136" s="1">
        <f>COUNTA((BF3:BF135))</f>
        <v>1</v>
      </c>
      <c r="BG136" s="1">
        <f>COUNTA((BG3:BG135))</f>
        <v>8</v>
      </c>
      <c r="BH136" s="1">
        <f>COUNTA((BH3:BH135))</f>
        <v>17</v>
      </c>
      <c r="BI136" s="1">
        <f>COUNTA((BI3:BI135))</f>
        <v>5</v>
      </c>
      <c r="BJ136" s="1">
        <f>COUNTA((BJ3:BJ135))</f>
        <v>5</v>
      </c>
      <c r="BK136" s="1">
        <f>COUNTA((BK3:BK135))</f>
        <v>5</v>
      </c>
      <c r="BL136" s="1">
        <f>COUNTA((BL3:BL135))</f>
        <v>5</v>
      </c>
      <c r="BM136" s="1">
        <f>COUNTA((BM3:BM135))</f>
        <v>5</v>
      </c>
      <c r="BN136" s="1">
        <f>COUNTA((BN3:BN135))</f>
        <v>5</v>
      </c>
      <c r="BO136" s="1">
        <f>COUNTA((BO3:BO135))</f>
        <v>5</v>
      </c>
      <c r="BP136" s="1">
        <f>COUNTA((BP3:BP135))</f>
        <v>5</v>
      </c>
      <c r="BQ136" s="1">
        <f>COUNTA((BQ3:BQ135))</f>
        <v>5</v>
      </c>
      <c r="BR136" s="1">
        <f>COUNTA((BR3:BR135))</f>
        <v>5</v>
      </c>
      <c r="BS136" s="1">
        <f>COUNTA((BS3:BS135))</f>
        <v>3</v>
      </c>
      <c r="BT136" s="1">
        <f>COUNTA((BT3:BT135))</f>
        <v>5</v>
      </c>
      <c r="BU136" s="1">
        <f>COUNTA((BU3:BU135))</f>
        <v>0</v>
      </c>
      <c r="BV136" s="1">
        <f>COUNTA((BV3:BV135))</f>
        <v>3</v>
      </c>
      <c r="BW136" s="1">
        <f>COUNTA((BW3:BW135))</f>
        <v>5</v>
      </c>
      <c r="BX136" s="1">
        <f>COUNTA((BX3:BX135))</f>
        <v>2</v>
      </c>
      <c r="BY136" s="1">
        <f>COUNTA((BY3:BY135))</f>
        <v>2</v>
      </c>
      <c r="BZ136" s="1">
        <f>COUNTA((BZ3:BZ135))</f>
        <v>2</v>
      </c>
      <c r="CA136" s="1">
        <f>COUNTA((CA3:CA135))</f>
        <v>2</v>
      </c>
      <c r="CB136" s="1">
        <f>COUNTA((CB3:CB135))</f>
        <v>2</v>
      </c>
      <c r="CC136" s="1">
        <f>COUNTA((CC3:CC135))</f>
        <v>2</v>
      </c>
      <c r="CD136" s="1">
        <f>COUNTA((CD3:CD135))</f>
        <v>2</v>
      </c>
      <c r="CE136" s="1">
        <f>COUNTA((CE3:CE135))</f>
        <v>2</v>
      </c>
      <c r="CF136" s="1">
        <f>COUNTA((CF3:CF135))</f>
        <v>2</v>
      </c>
      <c r="CG136" s="1">
        <f>COUNTA((CG3:CG135))</f>
        <v>2</v>
      </c>
      <c r="CH136" s="1">
        <f>COUNTA((CH3:CH135))</f>
        <v>2</v>
      </c>
      <c r="CI136" s="1">
        <f>COUNTA((CI3:CI135))</f>
        <v>2</v>
      </c>
      <c r="CJ136" s="1">
        <f>COUNTA((CJ3:CJ135))</f>
        <v>0</v>
      </c>
      <c r="CK136" s="1">
        <f>COUNTA((CK3:CK135))</f>
        <v>1</v>
      </c>
      <c r="CL136" s="6">
        <f>COUNTA((CL3:CL135))</f>
        <v>133</v>
      </c>
      <c r="CV136" s="6">
        <f>COUNTA((CV3:CV135))</f>
        <v>133</v>
      </c>
      <c r="DF136" s="6">
        <f>COUNTA((DF3:DF135))</f>
        <v>133</v>
      </c>
      <c r="EI136" s="6">
        <f>COUNTA((EI3:EI135))</f>
        <v>133</v>
      </c>
      <c r="FI136" s="6">
        <f>COUNTA((FI3:FI135))</f>
        <v>133</v>
      </c>
      <c r="GT136" s="6">
        <f>COUNTA((GT3:GT135))</f>
        <v>133</v>
      </c>
      <c r="GU136" s="6">
        <f>COUNTA((GU3:GU135))</f>
        <v>133</v>
      </c>
      <c r="GV136" s="6"/>
      <c r="GW136" s="6">
        <f>COUNTA((GW3:GW135))</f>
        <v>133</v>
      </c>
      <c r="GX136" s="6">
        <f>COUNTA((GX3:GX135))</f>
        <v>7</v>
      </c>
      <c r="GY136" s="6">
        <f>COUNTA((GY3:GY135))</f>
        <v>84</v>
      </c>
      <c r="GZ136" s="6">
        <f>COUNTA((GZ3:GZ135))</f>
        <v>52</v>
      </c>
      <c r="HA136" s="6">
        <f>COUNTA((HA3:HA135))</f>
        <v>12</v>
      </c>
    </row>
    <row r="137" spans="1:209" ht="15" thickTop="1" thickBot="1" x14ac:dyDescent="0.5">
      <c r="B137" s="20" t="s">
        <v>2292</v>
      </c>
      <c r="G137" s="7">
        <f>COUNTIF(AnalizaCzyste[Wywiad (tak)],"*"&amp;"Tak"&amp;"*")</f>
        <v>31</v>
      </c>
      <c r="I137" s="7">
        <f>COUNTIF(AnalizaCzyste[Czy jesteś studentem uczelni wyższej?],"*"&amp;"Tak"&amp;"*")</f>
        <v>14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7">
        <f>COUNTIF(AnalizaCzyste[Czy jesteś absolwentem uczelni wyższej?],"*"&amp;"Tak"&amp;"*")</f>
        <v>120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7">
        <f>COUNTIF(AnalizaCzyste[Czy jesteś rodzicem / opiekunem absolwenta uczelni wyższej?],"*"&amp;"Tak"&amp;"*")</f>
        <v>17</v>
      </c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7">
        <f>COUNTIF(AnalizaCzyste[Czy jesteś aktualnie pracownikiem administracyjnym uczelni wyższej?],"*"&amp;"Tak"&amp;"*")</f>
        <v>4</v>
      </c>
      <c r="CM137" s="8"/>
      <c r="CN137" s="8"/>
      <c r="CO137" s="8"/>
      <c r="CP137" s="8"/>
      <c r="CQ137" s="8"/>
      <c r="CR137" s="8"/>
      <c r="CS137" s="8"/>
      <c r="CT137" s="8"/>
      <c r="CU137" s="8"/>
      <c r="CV137" s="7">
        <f>COUNTIF(AnalizaCzyste[Czy jesteś aktualnie pracownikiem naukowym lub dydaktycznym uczelni wyższej?],"*"&amp;"Tak"&amp;"*")</f>
        <v>16</v>
      </c>
      <c r="CW137" s="8"/>
      <c r="CX137" s="8"/>
      <c r="CY137" s="8"/>
      <c r="CZ137" s="8"/>
      <c r="DA137" s="8"/>
      <c r="DB137" s="8"/>
      <c r="DC137" s="8"/>
      <c r="DD137" s="8"/>
      <c r="DE137" s="8"/>
      <c r="DF137" s="7">
        <f>COUNTIF(AnalizaCzyste[Czy jesteś przedstawicielem władz uczelni z grupy rektorów, prorektorów, dziekanów, prodziekanów, członków senatu lub członków rady uczelni?],"*"&amp;"Tak"&amp;"*")</f>
        <v>5</v>
      </c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7">
        <f>COUNTIF(AnalizaCzyste[Czy jesteś przedstawicielem firmy, w której są zatrudniani absolwenci uczelni wyższych (tytuł licencjata, magistra lub wyższy)?],"*"&amp;"Tak"&amp;"*")</f>
        <v>18</v>
      </c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7">
        <f>COUNTIF(AnalizaCzyste[Czy jesteś przedstawicielem władz samorządowych lub centralnych Rzeczypospolitej Polskiej?],"*"&amp;"Tak"&amp;"*")</f>
        <v>2</v>
      </c>
      <c r="FJ137" s="7">
        <f>COUNTIF(AnalizaCzyste[Proszę wskaż jaki poziom władzy samorządowej lub centralnej reprezentujesz.],"*"&amp;"Tak"&amp;"*")</f>
        <v>0</v>
      </c>
      <c r="FK137" s="7">
        <f>COUNTIF(AnalizaCzyste[Proszę o podanie nazwy organu władzy jaki reprezentujesz.],"*"&amp;"Tak"&amp;"*")</f>
        <v>0</v>
      </c>
      <c r="FL137" s="7">
        <f>COUNTIF(AnalizaCzyste[Ile uczelni będziesz oceniać?26],"*"&amp;"Tak"&amp;"*")</f>
        <v>0</v>
      </c>
      <c r="FM137" s="7">
        <f>COUNTIF(AnalizaCzyste[Jak się nazywa uczelnia, którą ocenisz?],"*"&amp;"Tak"&amp;"*")</f>
        <v>0</v>
      </c>
      <c r="FN137" s="7">
        <f>COUNTIF(AnalizaCzyste[Efekty działań ocenianej uczelni na rzesz jakości edukacji są zgodne ze strategią rozwoju w regionie.],"*"&amp;"Tak"&amp;"*")</f>
        <v>0</v>
      </c>
      <c r="FO137" s="7">
        <f>COUNTIF(AnalizaCzyste[Wartość wykształcenia zdobywanego przez studentów na ocenianej uczelni jest wysoka.27],"*"&amp;"Tak"&amp;"*")</f>
        <v>0</v>
      </c>
      <c r="FP137" s="7">
        <f>COUNTIF(AnalizaCzyste[Zdobyte przez studentów ocenianej uczelni wykształcenie miało/ma pozytywny wpływ na ich zarobki.28],"*"&amp;"Tak"&amp;"*")</f>
        <v>0</v>
      </c>
      <c r="FQ137" s="7">
        <f>COUNTIF(AnalizaCzyste[Efekty działań ocenianej uczelni na rzecz jakości edukacji mają dobry wpływ na rozwój regionu.29],"*"&amp;"Tak"&amp;"*")</f>
        <v>0</v>
      </c>
      <c r="FR137" s="7">
        <f>COUNTIF(AnalizaCzyste[Efekty działań ocenianej uczelni na rzecz jakości edukacji mają dobry wpływ na rozwój Polski.30],"*"&amp;"Tak"&amp;"*")</f>
        <v>0</v>
      </c>
      <c r="FS137" s="7">
        <f>COUNTIF(AnalizaCzyste[Współpraca ocenianej uczelni z biznesem ma pozytywne efekty dla rozwoju regionu / kraju.31],"*"&amp;"Tak"&amp;"*")</f>
        <v>0</v>
      </c>
      <c r="FT137" s="7">
        <f>COUNTIF(AnalizaCzyste[Ogólny poziom mojej satysfakcji z jakości usług edukacyjnych ocenianej uczelni jest wysoki.32],"*"&amp;"Tak"&amp;"*")</f>
        <v>0</v>
      </c>
      <c r="FU137" s="7">
        <f>COUNTIF(AnalizaCzyste[Pole dodatkowe33],"*"&amp;"Tak"&amp;"*")</f>
        <v>0</v>
      </c>
      <c r="FV137" s="7">
        <f>COUNTIF(AnalizaCzyste[Jakie inne efekty pracy ocenianej uczelni technicznej dostrzegasz obecnie?],"*"&amp;"Tak"&amp;"*")</f>
        <v>0</v>
      </c>
      <c r="FW137" s="7">
        <f>COUNTIF(AnalizaCzyste[Czy będziesz oceniać drugą uczelnię?],"*"&amp;"Tak"&amp;"*")</f>
        <v>0</v>
      </c>
      <c r="FX137" s="7">
        <f>COUNTIF(AnalizaCzyste[Jak się nazywa uczelnia, którą ocenisz?34],"*"&amp;"Tak"&amp;"*")</f>
        <v>0</v>
      </c>
      <c r="FY137" s="7">
        <f>COUNTIF(AnalizaCzyste[Efekty działań ocenianej uczelni na rzesz jakości edukacji są zgodne ze strategią rozwoju w regionie.35],"*"&amp;"Tak"&amp;"*")</f>
        <v>0</v>
      </c>
      <c r="FZ137" s="7">
        <f>COUNTIF(AnalizaCzyste[Wartość wykształcenia zdobywanego przez studentów na ocenianej uczelni jest wysoka.36],"*"&amp;"Tak"&amp;"*")</f>
        <v>0</v>
      </c>
      <c r="GA137" s="7">
        <f>COUNTIF(AnalizaCzyste[Zdobyte przez studentów ocenianej uczelni wykształcenie miało/ma pozytywny wpływ na ich zarobki.37],"*"&amp;"Tak"&amp;"*")</f>
        <v>0</v>
      </c>
      <c r="GB137" s="7">
        <f>COUNTIF(AnalizaCzyste[Efekty działań ocenianej uczelni na rzecz jakości edukacji mają dobry wpływ na rozwój regionu.38],"*"&amp;"Tak"&amp;"*")</f>
        <v>0</v>
      </c>
      <c r="GC137" s="7">
        <f>COUNTIF(AnalizaCzyste[Efekty działań ocenianej uczelni na rzecz jakości edukacji mają dobry wpływ na rozwój Polski.39],"*"&amp;"Tak"&amp;"*")</f>
        <v>0</v>
      </c>
      <c r="GD137" s="7">
        <f>COUNTIF(AnalizaCzyste[Współpraca ocenianej uczelni z biznesem ma pozytywne efekty dla rozwoju regionu / kraju.40],"*"&amp;"Tak"&amp;"*")</f>
        <v>0</v>
      </c>
      <c r="GE137" s="7">
        <f>COUNTIF(AnalizaCzyste[Ogólny poziom mojej satysfakcji z jakości usług edukacyjnych ocenianej uczelni jest wysoki.41],"*"&amp;"Tak"&amp;"*")</f>
        <v>0</v>
      </c>
      <c r="GF137" s="7">
        <f>COUNTIF(AnalizaCzyste[Jakie inne efekty pracy ocenianej uczelni dostrzegasz obecnie?],"*"&amp;"Tak"&amp;"*")</f>
        <v>0</v>
      </c>
      <c r="GG137" s="7">
        <f>COUNTIF(AnalizaCzyste[Czy będziesz oceniać trzecią uczelnię?],"*"&amp;"Tak"&amp;"*")</f>
        <v>0</v>
      </c>
      <c r="GH137" s="7">
        <f>COUNTIF(AnalizaCzyste[Jak się nazywa uczelnia, którą ocenisz?42],"*"&amp;"Tak"&amp;"*")</f>
        <v>0</v>
      </c>
      <c r="GI137" s="7">
        <f>COUNTIF(AnalizaCzyste[Efekty działań ocenianej uczelni na rzesz jakości edukacji są zgodne ze strategią rozwoju w regionie.43],"*"&amp;"Tak"&amp;"*")</f>
        <v>0</v>
      </c>
      <c r="GJ137" s="7">
        <f>COUNTIF(AnalizaCzyste[Wartość wykształcenia zdobywanego przez studentów na ocenianej uczelni jest wysoka.44],"*"&amp;"Tak"&amp;"*")</f>
        <v>0</v>
      </c>
      <c r="GK137" s="7">
        <f>COUNTIF(AnalizaCzyste[Zdobyte przez studentów ocenianej uczelni wykształcenie miało/ma pozytywny wpływ na ich zarobki.45],"*"&amp;"Tak"&amp;"*")</f>
        <v>0</v>
      </c>
      <c r="GL137" s="7">
        <f>COUNTIF(AnalizaCzyste[Efekty działań ocenianej uczelni na rzecz jakości edukacji mają dobry wpływ na rozwój regionu.46],"*"&amp;"Tak"&amp;"*")</f>
        <v>0</v>
      </c>
      <c r="GM137" s="7">
        <f>COUNTIF(AnalizaCzyste[Efekty działań ocenianej uczelni na rzecz jakości edukacji mają dobry wpływ na rozwój Polski.47],"*"&amp;"Tak"&amp;"*")</f>
        <v>0</v>
      </c>
      <c r="GN137" s="7">
        <f>COUNTIF(AnalizaCzyste[Współpraca ocenianej uczelni z biznesem ma pozytywne efekty dla rozwoju regionu / kraju.48],"*"&amp;"Tak"&amp;"*")</f>
        <v>0</v>
      </c>
      <c r="GO137" s="7">
        <f>COUNTIF(AnalizaCzyste[Ogólny poziom mojej satysfakcji z jakości usług edukacyjnych ocenianej uczelni jest wysoki.49],"*"&amp;"Tak"&amp;"*")</f>
        <v>0</v>
      </c>
      <c r="GP137" s="7">
        <f>COUNTIF(AnalizaCzyste[Jakie inne efekty pracy ocenianej uczelni dostrzegasz obecnie?50],"*"&amp;"Tak"&amp;"*")</f>
        <v>0</v>
      </c>
      <c r="GQ137" s="7">
        <f>COUNTIF(AnalizaCzyste[Jakie, Twoim zdaniem, elementy decydują o tym, że uczelnie są lepsze lub gorsze.],"*"&amp;"Tak"&amp;"*")</f>
        <v>5</v>
      </c>
      <c r="GR137" s="7">
        <f>COUNTIF(AnalizaCzyste[Kolumna51],"*"&amp;"Tak"&amp;"*")</f>
        <v>10</v>
      </c>
      <c r="GS137" s="7">
        <f>COUNTIF(AnalizaCzyste[Kolumna52],"*"&amp;"Tak"&amp;"*")</f>
        <v>3</v>
      </c>
      <c r="GT137" s="7">
        <f>COUNTIF(AnalizaCzyste[Płeć],"*"&amp;"Mężczyzna"&amp;"*")</f>
        <v>66</v>
      </c>
      <c r="GU137" s="7">
        <f>COUNTIF(AnalizaCzyste[Rok urodzenia],"*"&amp;"Tak"&amp;"*")</f>
        <v>0</v>
      </c>
      <c r="GV137" s="7"/>
      <c r="GW137" s="7">
        <f>COUNTIF(AnalizaCzyste[Z jakiej wielkości miejscowości pochodzisz? (dotyczy miejscowości, w której się wychowałaś/eś],"*"&amp;"Tak"&amp;"*")</f>
        <v>0</v>
      </c>
    </row>
    <row r="138" spans="1:209" ht="15" thickTop="1" thickBot="1" x14ac:dyDescent="0.5">
      <c r="B138" s="20" t="s">
        <v>2293</v>
      </c>
      <c r="I138" s="7">
        <f>COUNTIF(AnalizaCzyste[Czy jesteś studentem uczelni wyższej?],"*"&amp;"Nie (przejście"&amp;"*")</f>
        <v>119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7">
        <f>COUNTIF(AnalizaCzyste[Czy jesteś absolwentem uczelni wyższej?],"*"&amp;"Nie (przejście"&amp;"*")</f>
        <v>13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7">
        <f>COUNTIF(AnalizaCzyste[Czy jesteś rodzicem / opiekunem absolwenta uczelni wyższej?],"*"&amp;"Nie (przejście"&amp;"*")</f>
        <v>116</v>
      </c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7">
        <f>COUNTIF(AnalizaCzyste[Czy jesteś aktualnie pracownikiem administracyjnym uczelni wyższej?],"*"&amp;"Nie (przejście"&amp;"*")</f>
        <v>129</v>
      </c>
      <c r="CM138" s="8"/>
      <c r="CN138" s="8"/>
      <c r="CO138" s="8"/>
      <c r="CP138" s="8"/>
      <c r="CQ138" s="8"/>
      <c r="CR138" s="8"/>
      <c r="CS138" s="8"/>
      <c r="CT138" s="8"/>
      <c r="CU138" s="8"/>
      <c r="CV138" s="7">
        <f>COUNTIF(AnalizaCzyste[Czy jesteś aktualnie pracownikiem naukowym lub dydaktycznym uczelni wyższej?],"*"&amp;"Nie (przejście"&amp;"*")</f>
        <v>117</v>
      </c>
      <c r="CW138" s="8"/>
      <c r="CX138" s="8"/>
      <c r="CY138" s="8"/>
      <c r="CZ138" s="8"/>
      <c r="DA138" s="8"/>
      <c r="DB138" s="8"/>
      <c r="DC138" s="8"/>
      <c r="DD138" s="8"/>
      <c r="DE138" s="8"/>
      <c r="DF138" s="7">
        <f>COUNTIF(AnalizaCzyste[Czy jesteś przedstawicielem władz uczelni z grupy rektorów, prorektorów, dziekanów, prodziekanów, członków senatu lub członków rady uczelni?],"*"&amp;"Nie (przejście"&amp;"*")</f>
        <v>128</v>
      </c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7">
        <f>COUNTIF(AnalizaCzyste[Czy jesteś przedstawicielem firmy, w której są zatrudniani absolwenci uczelni wyższych (tytuł licencjata, magistra lub wyższy)?],"*"&amp;"Nie (przejście"&amp;"*")</f>
        <v>115</v>
      </c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7">
        <f>COUNTIF(AnalizaCzyste[Czy jesteś przedstawicielem władz samorządowych lub centralnych Rzeczypospolitej Polskiej?],"*"&amp;"Nie (przejście"&amp;"*")</f>
        <v>131</v>
      </c>
      <c r="FJ138" s="7">
        <f>COUNTIF(AnalizaCzyste[Proszę wskaż jaki poziom władzy samorządowej lub centralnej reprezentujesz.],"*"&amp;"Nie (przejście"&amp;"*")</f>
        <v>0</v>
      </c>
      <c r="FK138" s="7">
        <f>COUNTIF(AnalizaCzyste[Proszę o podanie nazwy organu władzy jaki reprezentujesz.],"*"&amp;"Nie (przejście"&amp;"*")</f>
        <v>0</v>
      </c>
      <c r="FL138" s="7">
        <f>COUNTIF(AnalizaCzyste[Ile uczelni będziesz oceniać?26],"*"&amp;"Nie (przejście"&amp;"*")</f>
        <v>0</v>
      </c>
      <c r="FM138" s="7">
        <f>COUNTIF(AnalizaCzyste[Jak się nazywa uczelnia, którą ocenisz?],"*"&amp;"Nie (przejście"&amp;"*")</f>
        <v>0</v>
      </c>
      <c r="FN138" s="7">
        <f>COUNTIF(AnalizaCzyste[Efekty działań ocenianej uczelni na rzesz jakości edukacji są zgodne ze strategią rozwoju w regionie.],"*"&amp;"Nie (przejście"&amp;"*")</f>
        <v>0</v>
      </c>
      <c r="FO138" s="7">
        <f>COUNTIF(AnalizaCzyste[Wartość wykształcenia zdobywanego przez studentów na ocenianej uczelni jest wysoka.27],"*"&amp;"Nie (przejście"&amp;"*")</f>
        <v>0</v>
      </c>
      <c r="FP138" s="7">
        <f>COUNTIF(AnalizaCzyste[Zdobyte przez studentów ocenianej uczelni wykształcenie miało/ma pozytywny wpływ na ich zarobki.28],"*"&amp;"Nie (przejście"&amp;"*")</f>
        <v>0</v>
      </c>
      <c r="FQ138" s="7">
        <f>COUNTIF(AnalizaCzyste[Efekty działań ocenianej uczelni na rzecz jakości edukacji mają dobry wpływ na rozwój regionu.29],"*"&amp;"Nie (przejście"&amp;"*")</f>
        <v>0</v>
      </c>
      <c r="FR138" s="7">
        <f>COUNTIF(AnalizaCzyste[Efekty działań ocenianej uczelni na rzecz jakości edukacji mają dobry wpływ na rozwój Polski.30],"*"&amp;"Nie (przejście"&amp;"*")</f>
        <v>0</v>
      </c>
      <c r="FS138" s="7">
        <f>COUNTIF(AnalizaCzyste[Współpraca ocenianej uczelni z biznesem ma pozytywne efekty dla rozwoju regionu / kraju.31],"*"&amp;"Nie (przejście"&amp;"*")</f>
        <v>0</v>
      </c>
      <c r="FT138" s="7">
        <f>COUNTIF(AnalizaCzyste[Ogólny poziom mojej satysfakcji z jakości usług edukacyjnych ocenianej uczelni jest wysoki.32],"*"&amp;"Nie (przejście"&amp;"*")</f>
        <v>0</v>
      </c>
      <c r="FU138" s="7">
        <f>COUNTIF(AnalizaCzyste[Pole dodatkowe33],"*"&amp;"Nie (przejście"&amp;"*")</f>
        <v>0</v>
      </c>
      <c r="FV138" s="7">
        <f>COUNTIF(AnalizaCzyste[Jakie inne efekty pracy ocenianej uczelni technicznej dostrzegasz obecnie?],"*"&amp;"Nie (przejście"&amp;"*")</f>
        <v>0</v>
      </c>
      <c r="FW138" s="7">
        <f>COUNTIF(AnalizaCzyste[Czy będziesz oceniać drugą uczelnię?],"*"&amp;"Nie (przejście"&amp;"*")</f>
        <v>2</v>
      </c>
      <c r="FX138" s="7">
        <f>COUNTIF(AnalizaCzyste[Jak się nazywa uczelnia, którą ocenisz?34],"*"&amp;"Nie (przejście"&amp;"*")</f>
        <v>0</v>
      </c>
      <c r="FY138" s="7">
        <f>COUNTIF(AnalizaCzyste[Efekty działań ocenianej uczelni na rzesz jakości edukacji są zgodne ze strategią rozwoju w regionie.35],"*"&amp;"Nie (przejście"&amp;"*")</f>
        <v>0</v>
      </c>
      <c r="FZ138" s="7">
        <f>COUNTIF(AnalizaCzyste[Wartość wykształcenia zdobywanego przez studentów na ocenianej uczelni jest wysoka.36],"*"&amp;"Nie (przejście"&amp;"*")</f>
        <v>0</v>
      </c>
      <c r="GA138" s="7">
        <f>COUNTIF(AnalizaCzyste[Zdobyte przez studentów ocenianej uczelni wykształcenie miało/ma pozytywny wpływ na ich zarobki.37],"*"&amp;"Nie (przejście"&amp;"*")</f>
        <v>0</v>
      </c>
      <c r="GB138" s="7">
        <f>COUNTIF(AnalizaCzyste[Efekty działań ocenianej uczelni na rzecz jakości edukacji mają dobry wpływ na rozwój regionu.38],"*"&amp;"Nie (przejście"&amp;"*")</f>
        <v>0</v>
      </c>
      <c r="GC138" s="7">
        <f>COUNTIF(AnalizaCzyste[Efekty działań ocenianej uczelni na rzecz jakości edukacji mają dobry wpływ na rozwój Polski.39],"*"&amp;"Nie (przejście"&amp;"*")</f>
        <v>0</v>
      </c>
      <c r="GD138" s="7">
        <f>COUNTIF(AnalizaCzyste[Współpraca ocenianej uczelni z biznesem ma pozytywne efekty dla rozwoju regionu / kraju.40],"*"&amp;"Nie (przejście"&amp;"*")</f>
        <v>0</v>
      </c>
      <c r="GE138" s="7">
        <f>COUNTIF(AnalizaCzyste[Ogólny poziom mojej satysfakcji z jakości usług edukacyjnych ocenianej uczelni jest wysoki.41],"*"&amp;"Nie (przejście"&amp;"*")</f>
        <v>0</v>
      </c>
      <c r="GF138" s="7">
        <f>COUNTIF(AnalizaCzyste[Jakie inne efekty pracy ocenianej uczelni dostrzegasz obecnie?],"*"&amp;"Nie (przejście"&amp;"*")</f>
        <v>0</v>
      </c>
      <c r="GG138" s="7">
        <f>COUNTIF(AnalizaCzyste[Czy będziesz oceniać trzecią uczelnię?],"*"&amp;"Nie (przejście"&amp;"*")</f>
        <v>0</v>
      </c>
      <c r="GH138" s="7">
        <f>COUNTIF(AnalizaCzyste[Jak się nazywa uczelnia, którą ocenisz?42],"*"&amp;"Nie (przejście"&amp;"*")</f>
        <v>0</v>
      </c>
      <c r="GI138" s="7">
        <f>COUNTIF(AnalizaCzyste[Efekty działań ocenianej uczelni na rzesz jakości edukacji są zgodne ze strategią rozwoju w regionie.43],"*"&amp;"Nie (przejście"&amp;"*")</f>
        <v>0</v>
      </c>
      <c r="GJ138" s="7">
        <f>COUNTIF(AnalizaCzyste[Wartość wykształcenia zdobywanego przez studentów na ocenianej uczelni jest wysoka.44],"*"&amp;"Nie (przejście"&amp;"*")</f>
        <v>0</v>
      </c>
      <c r="GK138" s="7">
        <f>COUNTIF(AnalizaCzyste[Zdobyte przez studentów ocenianej uczelni wykształcenie miało/ma pozytywny wpływ na ich zarobki.45],"*"&amp;"Nie (przejście"&amp;"*")</f>
        <v>0</v>
      </c>
      <c r="GL138" s="7">
        <f>COUNTIF(AnalizaCzyste[Efekty działań ocenianej uczelni na rzecz jakości edukacji mają dobry wpływ na rozwój regionu.46],"*"&amp;"Nie (przejście"&amp;"*")</f>
        <v>0</v>
      </c>
      <c r="GM138" s="7">
        <f>COUNTIF(AnalizaCzyste[Efekty działań ocenianej uczelni na rzecz jakości edukacji mają dobry wpływ na rozwój Polski.47],"*"&amp;"Nie (przejście"&amp;"*")</f>
        <v>0</v>
      </c>
      <c r="GN138" s="7">
        <f>COUNTIF(AnalizaCzyste[Współpraca ocenianej uczelni z biznesem ma pozytywne efekty dla rozwoju regionu / kraju.48],"*"&amp;"Nie (przejście"&amp;"*")</f>
        <v>0</v>
      </c>
      <c r="GO138" s="7">
        <f>COUNTIF(AnalizaCzyste[Ogólny poziom mojej satysfakcji z jakości usług edukacyjnych ocenianej uczelni jest wysoki.49],"*"&amp;"Nie (przejście"&amp;"*")</f>
        <v>0</v>
      </c>
      <c r="GP138" s="7">
        <f>COUNTIF(AnalizaCzyste[Jakie inne efekty pracy ocenianej uczelni dostrzegasz obecnie?50],"*"&amp;"Nie (przejście"&amp;"*")</f>
        <v>0</v>
      </c>
      <c r="GQ138" s="7">
        <f>COUNTIF(AnalizaCzyste[Jakie, Twoim zdaniem, elementy decydują o tym, że uczelnie są lepsze lub gorsze.],"*"&amp;"Nie (przejście"&amp;"*")</f>
        <v>0</v>
      </c>
      <c r="GR138" s="7">
        <f>COUNTIF(AnalizaCzyste[Kolumna51],"*"&amp;"Nie (przejście"&amp;"*")</f>
        <v>0</v>
      </c>
      <c r="GS138" s="7">
        <f>COUNTIF(AnalizaCzyste[Kolumna52],"*"&amp;"Nie (przejście"&amp;"*")</f>
        <v>0</v>
      </c>
      <c r="GT138" s="7">
        <f>COUNTIF(AnalizaCzyste[Płeć],"*"&amp;"Kobieta"&amp;"*")</f>
        <v>67</v>
      </c>
      <c r="GU138" s="7">
        <f>COUNTIF(AnalizaCzyste[Rok urodzenia],"*"&amp;"Nie (przejście"&amp;"*")</f>
        <v>0</v>
      </c>
      <c r="GV138" s="7"/>
      <c r="GW138" s="7">
        <f>COUNTIF(AnalizaCzyste[Z jakiej wielkości miejscowości pochodzisz? (dotyczy miejscowości, w której się wychowałaś/eś],"*"&amp;"Nie (przejście"&amp;"*")</f>
        <v>0</v>
      </c>
    </row>
    <row r="139" spans="1:209" ht="14.65" thickTop="1" x14ac:dyDescent="0.45">
      <c r="B139" s="20" t="s">
        <v>2294</v>
      </c>
      <c r="I139" s="7">
        <f>COUNTBLANK(AnalizaCzyste[Czy jesteś studentem uczelni wyższej?])</f>
        <v>0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7">
        <f>COUNTBLANK(AnalizaCzyste[Czy jesteś absolwentem uczelni wyższej?])</f>
        <v>0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7">
        <f>COUNTBLANK(AnalizaCzyste[Czy jesteś rodzicem / opiekunem absolwenta uczelni wyższej?])</f>
        <v>0</v>
      </c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7">
        <f>COUNTBLANK(AnalizaCzyste[Czy jesteś aktualnie pracownikiem administracyjnym uczelni wyższej?])</f>
        <v>0</v>
      </c>
      <c r="CM139" s="8"/>
      <c r="CN139" s="8"/>
      <c r="CO139" s="8"/>
      <c r="CP139" s="8"/>
      <c r="CQ139" s="8"/>
      <c r="CR139" s="8"/>
      <c r="CS139" s="8"/>
      <c r="CT139" s="8"/>
      <c r="CU139" s="8"/>
      <c r="CV139" s="7">
        <f>COUNTBLANK(AnalizaCzyste[Czy jesteś aktualnie pracownikiem naukowym lub dydaktycznym uczelni wyższej?])</f>
        <v>0</v>
      </c>
      <c r="CW139" s="8"/>
      <c r="CX139" s="8"/>
      <c r="CY139" s="8"/>
      <c r="CZ139" s="8"/>
      <c r="DA139" s="8"/>
      <c r="DB139" s="8"/>
      <c r="DC139" s="8"/>
      <c r="DD139" s="8"/>
      <c r="DE139" s="8"/>
      <c r="DF139" s="7">
        <f>COUNTBLANK(AnalizaCzyste[Czy jesteś przedstawicielem władz uczelni z grupy rektorów, prorektorów, dziekanów, prodziekanów, członków senatu lub członków rady uczelni?])</f>
        <v>0</v>
      </c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7">
        <f>COUNTBLANK(AnalizaCzyste[Czy jesteś przedstawicielem firmy, w której są zatrudniani absolwenci uczelni wyższych (tytuł licencjata, magistra lub wyższy)?])</f>
        <v>0</v>
      </c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7">
        <f>COUNTBLANK(AnalizaCzyste[Czy jesteś przedstawicielem władz samorządowych lub centralnych Rzeczypospolitej Polskiej?])</f>
        <v>0</v>
      </c>
      <c r="FJ139" s="7">
        <f>COUNTBLANK(AnalizaCzyste[Proszę wskaż jaki poziom władzy samorządowej lub centralnej reprezentujesz.])</f>
        <v>66</v>
      </c>
      <c r="FK139" s="7">
        <f>COUNTBLANK(AnalizaCzyste[Proszę o podanie nazwy organu władzy jaki reprezentujesz.])</f>
        <v>131</v>
      </c>
      <c r="FL139" s="7">
        <f>COUNTBLANK(AnalizaCzyste[Ile uczelni będziesz oceniać?26])</f>
        <v>96</v>
      </c>
      <c r="FM139" s="7">
        <f>COUNTBLANK(AnalizaCzyste[Jak się nazywa uczelnia, którą ocenisz?])</f>
        <v>131</v>
      </c>
      <c r="FN139" s="7">
        <f>COUNTBLANK(AnalizaCzyste[Efekty działań ocenianej uczelni na rzesz jakości edukacji są zgodne ze strategią rozwoju w regionie.])</f>
        <v>131</v>
      </c>
      <c r="FO139" s="7">
        <f>COUNTBLANK(AnalizaCzyste[Wartość wykształcenia zdobywanego przez studentów na ocenianej uczelni jest wysoka.27])</f>
        <v>131</v>
      </c>
      <c r="FP139" s="7">
        <f>COUNTBLANK(AnalizaCzyste[Zdobyte przez studentów ocenianej uczelni wykształcenie miało/ma pozytywny wpływ na ich zarobki.28])</f>
        <v>131</v>
      </c>
      <c r="FQ139" s="7">
        <f>COUNTBLANK(AnalizaCzyste[Efekty działań ocenianej uczelni na rzecz jakości edukacji mają dobry wpływ na rozwój regionu.29])</f>
        <v>131</v>
      </c>
      <c r="FR139" s="7">
        <f>COUNTBLANK(AnalizaCzyste[Efekty działań ocenianej uczelni na rzecz jakości edukacji mają dobry wpływ na rozwój Polski.30])</f>
        <v>131</v>
      </c>
      <c r="FS139" s="7">
        <f>COUNTBLANK(AnalizaCzyste[Współpraca ocenianej uczelni z biznesem ma pozytywne efekty dla rozwoju regionu / kraju.31])</f>
        <v>131</v>
      </c>
      <c r="FT139" s="7">
        <f>COUNTBLANK(AnalizaCzyste[Ogólny poziom mojej satysfakcji z jakości usług edukacyjnych ocenianej uczelni jest wysoki.32])</f>
        <v>131</v>
      </c>
      <c r="FU139" s="7">
        <f>COUNTBLANK(AnalizaCzyste[Pole dodatkowe33])</f>
        <v>133</v>
      </c>
      <c r="FV139" s="7">
        <f>COUNTBLANK(AnalizaCzyste[Jakie inne efekty pracy ocenianej uczelni technicznej dostrzegasz obecnie?])</f>
        <v>132</v>
      </c>
      <c r="FW139" s="7">
        <f>COUNTBLANK(AnalizaCzyste[Czy będziesz oceniać drugą uczelnię?])</f>
        <v>131</v>
      </c>
      <c r="FX139" s="7">
        <f>COUNTBLANK(AnalizaCzyste[Jak się nazywa uczelnia, którą ocenisz?34])</f>
        <v>133</v>
      </c>
      <c r="FY139" s="7">
        <f>COUNTBLANK(AnalizaCzyste[Efekty działań ocenianej uczelni na rzesz jakości edukacji są zgodne ze strategią rozwoju w regionie.35])</f>
        <v>133</v>
      </c>
      <c r="FZ139" s="7">
        <f>COUNTBLANK(AnalizaCzyste[Wartość wykształcenia zdobywanego przez studentów na ocenianej uczelni jest wysoka.36])</f>
        <v>133</v>
      </c>
      <c r="GA139" s="7">
        <f>COUNTBLANK(AnalizaCzyste[Zdobyte przez studentów ocenianej uczelni wykształcenie miało/ma pozytywny wpływ na ich zarobki.37])</f>
        <v>133</v>
      </c>
      <c r="GB139" s="7">
        <f>COUNTBLANK(AnalizaCzyste[Efekty działań ocenianej uczelni na rzecz jakości edukacji mają dobry wpływ na rozwój regionu.38])</f>
        <v>133</v>
      </c>
      <c r="GC139" s="7">
        <f>COUNTBLANK(AnalizaCzyste[Efekty działań ocenianej uczelni na rzecz jakości edukacji mają dobry wpływ na rozwój Polski.39])</f>
        <v>133</v>
      </c>
      <c r="GD139" s="7">
        <f>COUNTBLANK(AnalizaCzyste[Współpraca ocenianej uczelni z biznesem ma pozytywne efekty dla rozwoju regionu / kraju.40])</f>
        <v>133</v>
      </c>
      <c r="GE139" s="7">
        <f>COUNTBLANK(AnalizaCzyste[Ogólny poziom mojej satysfakcji z jakości usług edukacyjnych ocenianej uczelni jest wysoki.41])</f>
        <v>133</v>
      </c>
      <c r="GF139" s="7">
        <f>COUNTBLANK(AnalizaCzyste[Jakie inne efekty pracy ocenianej uczelni dostrzegasz obecnie?])</f>
        <v>133</v>
      </c>
      <c r="GG139" s="7">
        <f>COUNTBLANK(AnalizaCzyste[Czy będziesz oceniać trzecią uczelnię?])</f>
        <v>133</v>
      </c>
      <c r="GH139" s="7">
        <f>COUNTBLANK(AnalizaCzyste[Jak się nazywa uczelnia, którą ocenisz?42])</f>
        <v>133</v>
      </c>
      <c r="GI139" s="7">
        <f>COUNTBLANK(AnalizaCzyste[Efekty działań ocenianej uczelni na rzesz jakości edukacji są zgodne ze strategią rozwoju w regionie.43])</f>
        <v>133</v>
      </c>
      <c r="GJ139" s="7">
        <f>COUNTBLANK(AnalizaCzyste[Wartość wykształcenia zdobywanego przez studentów na ocenianej uczelni jest wysoka.44])</f>
        <v>133</v>
      </c>
      <c r="GK139" s="7">
        <f>COUNTBLANK(AnalizaCzyste[Zdobyte przez studentów ocenianej uczelni wykształcenie miało/ma pozytywny wpływ na ich zarobki.45])</f>
        <v>133</v>
      </c>
      <c r="GL139" s="7">
        <f>COUNTBLANK(AnalizaCzyste[Efekty działań ocenianej uczelni na rzecz jakości edukacji mają dobry wpływ na rozwój regionu.46])</f>
        <v>133</v>
      </c>
      <c r="GM139" s="7">
        <f>COUNTBLANK(AnalizaCzyste[Efekty działań ocenianej uczelni na rzecz jakości edukacji mają dobry wpływ na rozwój Polski.47])</f>
        <v>133</v>
      </c>
      <c r="GN139" s="7">
        <f>COUNTBLANK(AnalizaCzyste[Współpraca ocenianej uczelni z biznesem ma pozytywne efekty dla rozwoju regionu / kraju.48])</f>
        <v>133</v>
      </c>
      <c r="GO139" s="7">
        <f>COUNTBLANK(AnalizaCzyste[Ogólny poziom mojej satysfakcji z jakości usług edukacyjnych ocenianej uczelni jest wysoki.49])</f>
        <v>133</v>
      </c>
      <c r="GP139" s="7">
        <f>COUNTBLANK(AnalizaCzyste[Jakie inne efekty pracy ocenianej uczelni dostrzegasz obecnie?50])</f>
        <v>133</v>
      </c>
      <c r="GQ139" s="7">
        <f>COUNTBLANK(AnalizaCzyste[Jakie, Twoim zdaniem, elementy decydują o tym, że uczelnie są lepsze lub gorsze.])</f>
        <v>1</v>
      </c>
      <c r="GR139" s="7">
        <f>COUNTBLANK(AnalizaCzyste[Kolumna51])</f>
        <v>1</v>
      </c>
      <c r="GS139" s="7">
        <f>COUNTBLANK(AnalizaCzyste[Kolumna52])</f>
        <v>1</v>
      </c>
      <c r="GT139" s="7">
        <f>COUNTBLANK(AnalizaCzyste[Płeć])</f>
        <v>0</v>
      </c>
      <c r="GU139" s="7">
        <f>COUNTBLANK(AnalizaCzyste[Rok urodzenia])</f>
        <v>0</v>
      </c>
      <c r="GV139" s="7"/>
      <c r="GW139" s="7">
        <f>COUNTBLANK(AnalizaCzyste[Z jakiej wielkości miejscowości pochodzisz? (dotyczy miejscowości, w której się wychowałaś/eś])</f>
        <v>0</v>
      </c>
    </row>
    <row r="140" spans="1:209" ht="14.65" thickBot="1" x14ac:dyDescent="0.5">
      <c r="I140">
        <f t="shared" ref="I140:BU140" si="0">SUM(I137:I139)</f>
        <v>133</v>
      </c>
      <c r="J140">
        <f t="shared" si="0"/>
        <v>0</v>
      </c>
      <c r="K140">
        <f t="shared" si="0"/>
        <v>0</v>
      </c>
      <c r="L140">
        <f t="shared" si="0"/>
        <v>0</v>
      </c>
      <c r="M140">
        <f t="shared" si="0"/>
        <v>0</v>
      </c>
      <c r="N140">
        <f t="shared" si="0"/>
        <v>0</v>
      </c>
      <c r="O140">
        <f t="shared" si="0"/>
        <v>0</v>
      </c>
      <c r="P140">
        <f t="shared" si="0"/>
        <v>0</v>
      </c>
      <c r="Q140">
        <f t="shared" si="0"/>
        <v>0</v>
      </c>
      <c r="R140">
        <f t="shared" si="0"/>
        <v>0</v>
      </c>
      <c r="S140">
        <f t="shared" si="0"/>
        <v>0</v>
      </c>
      <c r="T140">
        <f t="shared" si="0"/>
        <v>0</v>
      </c>
      <c r="U140">
        <f t="shared" si="0"/>
        <v>0</v>
      </c>
      <c r="V140">
        <f t="shared" si="0"/>
        <v>0</v>
      </c>
      <c r="W140">
        <f t="shared" si="0"/>
        <v>0</v>
      </c>
      <c r="X140">
        <f t="shared" si="0"/>
        <v>0</v>
      </c>
      <c r="Y140">
        <f t="shared" si="0"/>
        <v>133</v>
      </c>
      <c r="Z140">
        <f t="shared" si="0"/>
        <v>0</v>
      </c>
      <c r="AB140">
        <f t="shared" si="0"/>
        <v>0</v>
      </c>
      <c r="AC140">
        <f t="shared" si="0"/>
        <v>0</v>
      </c>
      <c r="AD140">
        <f t="shared" si="0"/>
        <v>0</v>
      </c>
      <c r="AE140">
        <f t="shared" si="0"/>
        <v>0</v>
      </c>
      <c r="AF140">
        <f t="shared" si="0"/>
        <v>0</v>
      </c>
      <c r="AG140">
        <f t="shared" si="0"/>
        <v>0</v>
      </c>
      <c r="AH140">
        <f t="shared" si="0"/>
        <v>0</v>
      </c>
      <c r="AI140">
        <f t="shared" si="0"/>
        <v>0</v>
      </c>
      <c r="AJ140">
        <f t="shared" si="0"/>
        <v>0</v>
      </c>
      <c r="AK140">
        <f t="shared" si="0"/>
        <v>0</v>
      </c>
      <c r="AL140">
        <f t="shared" si="0"/>
        <v>0</v>
      </c>
      <c r="AM140">
        <f t="shared" si="0"/>
        <v>0</v>
      </c>
      <c r="AN140">
        <f t="shared" si="0"/>
        <v>0</v>
      </c>
      <c r="AO140">
        <f t="shared" si="0"/>
        <v>0</v>
      </c>
      <c r="AP140">
        <f t="shared" si="0"/>
        <v>0</v>
      </c>
      <c r="AQ140">
        <f t="shared" si="0"/>
        <v>0</v>
      </c>
      <c r="AR140">
        <f t="shared" si="0"/>
        <v>133</v>
      </c>
      <c r="AS140">
        <f t="shared" si="0"/>
        <v>0</v>
      </c>
      <c r="AT140">
        <f t="shared" si="0"/>
        <v>0</v>
      </c>
      <c r="AU140">
        <f t="shared" si="0"/>
        <v>0</v>
      </c>
      <c r="AV140">
        <f t="shared" si="0"/>
        <v>0</v>
      </c>
      <c r="AW140">
        <f t="shared" si="0"/>
        <v>0</v>
      </c>
      <c r="AX140">
        <f t="shared" si="0"/>
        <v>0</v>
      </c>
      <c r="AY140">
        <f t="shared" si="0"/>
        <v>0</v>
      </c>
      <c r="AZ140">
        <f t="shared" si="0"/>
        <v>0</v>
      </c>
      <c r="BA140">
        <f t="shared" si="0"/>
        <v>0</v>
      </c>
      <c r="BB140">
        <f t="shared" si="0"/>
        <v>0</v>
      </c>
      <c r="BC140">
        <f t="shared" si="0"/>
        <v>0</v>
      </c>
      <c r="BD140">
        <f t="shared" si="0"/>
        <v>0</v>
      </c>
      <c r="BE140">
        <f t="shared" si="0"/>
        <v>0</v>
      </c>
      <c r="BF140">
        <f t="shared" si="0"/>
        <v>0</v>
      </c>
      <c r="BG140">
        <f t="shared" si="0"/>
        <v>0</v>
      </c>
      <c r="BH140">
        <f t="shared" si="0"/>
        <v>0</v>
      </c>
      <c r="BI140">
        <f t="shared" si="0"/>
        <v>0</v>
      </c>
      <c r="BJ140">
        <f t="shared" si="0"/>
        <v>0</v>
      </c>
      <c r="BK140">
        <f t="shared" si="0"/>
        <v>0</v>
      </c>
      <c r="BL140">
        <f t="shared" si="0"/>
        <v>0</v>
      </c>
      <c r="BM140">
        <f t="shared" si="0"/>
        <v>0</v>
      </c>
      <c r="BN140">
        <f t="shared" si="0"/>
        <v>0</v>
      </c>
      <c r="BO140">
        <f t="shared" si="0"/>
        <v>0</v>
      </c>
      <c r="BP140">
        <f t="shared" si="0"/>
        <v>0</v>
      </c>
      <c r="BQ140">
        <f t="shared" si="0"/>
        <v>0</v>
      </c>
      <c r="BR140">
        <f t="shared" si="0"/>
        <v>0</v>
      </c>
      <c r="BS140">
        <f t="shared" si="0"/>
        <v>0</v>
      </c>
      <c r="BT140">
        <f t="shared" si="0"/>
        <v>0</v>
      </c>
      <c r="BU140">
        <f t="shared" si="0"/>
        <v>0</v>
      </c>
      <c r="BV140">
        <f t="shared" ref="BV140:DF140" si="1">SUM(BV137:BV139)</f>
        <v>0</v>
      </c>
      <c r="BW140">
        <f t="shared" si="1"/>
        <v>0</v>
      </c>
      <c r="BX140">
        <f t="shared" si="1"/>
        <v>0</v>
      </c>
      <c r="BY140">
        <f t="shared" si="1"/>
        <v>0</v>
      </c>
      <c r="BZ140">
        <f t="shared" si="1"/>
        <v>0</v>
      </c>
      <c r="CA140">
        <f t="shared" si="1"/>
        <v>0</v>
      </c>
      <c r="CB140">
        <f t="shared" si="1"/>
        <v>0</v>
      </c>
      <c r="CC140">
        <f t="shared" si="1"/>
        <v>0</v>
      </c>
      <c r="CD140">
        <f t="shared" si="1"/>
        <v>0</v>
      </c>
      <c r="CE140">
        <f t="shared" si="1"/>
        <v>0</v>
      </c>
      <c r="CF140">
        <f t="shared" si="1"/>
        <v>0</v>
      </c>
      <c r="CG140">
        <f t="shared" si="1"/>
        <v>0</v>
      </c>
      <c r="CH140">
        <f t="shared" si="1"/>
        <v>0</v>
      </c>
      <c r="CI140">
        <f t="shared" si="1"/>
        <v>0</v>
      </c>
      <c r="CJ140">
        <f t="shared" si="1"/>
        <v>0</v>
      </c>
      <c r="CK140">
        <f t="shared" si="1"/>
        <v>0</v>
      </c>
      <c r="CL140">
        <f t="shared" si="1"/>
        <v>133</v>
      </c>
      <c r="CM140">
        <f t="shared" si="1"/>
        <v>0</v>
      </c>
      <c r="CN140">
        <f t="shared" si="1"/>
        <v>0</v>
      </c>
      <c r="CO140">
        <f t="shared" si="1"/>
        <v>0</v>
      </c>
      <c r="CP140">
        <f t="shared" si="1"/>
        <v>0</v>
      </c>
      <c r="CQ140">
        <f t="shared" si="1"/>
        <v>0</v>
      </c>
      <c r="CR140">
        <f t="shared" si="1"/>
        <v>0</v>
      </c>
      <c r="CS140">
        <f t="shared" si="1"/>
        <v>0</v>
      </c>
      <c r="CT140">
        <f t="shared" si="1"/>
        <v>0</v>
      </c>
      <c r="CU140">
        <f t="shared" si="1"/>
        <v>0</v>
      </c>
      <c r="CV140">
        <f t="shared" si="1"/>
        <v>133</v>
      </c>
      <c r="CW140">
        <f t="shared" si="1"/>
        <v>0</v>
      </c>
      <c r="CX140">
        <f t="shared" si="1"/>
        <v>0</v>
      </c>
      <c r="CY140">
        <f t="shared" si="1"/>
        <v>0</v>
      </c>
      <c r="CZ140">
        <f t="shared" si="1"/>
        <v>0</v>
      </c>
      <c r="DA140">
        <f t="shared" si="1"/>
        <v>0</v>
      </c>
      <c r="DB140">
        <f t="shared" si="1"/>
        <v>0</v>
      </c>
      <c r="DC140">
        <f t="shared" si="1"/>
        <v>0</v>
      </c>
      <c r="DD140">
        <f t="shared" si="1"/>
        <v>0</v>
      </c>
      <c r="DE140">
        <f t="shared" si="1"/>
        <v>0</v>
      </c>
      <c r="DF140">
        <f t="shared" si="1"/>
        <v>133</v>
      </c>
      <c r="DG140">
        <f>SUM(DG137:DG139)</f>
        <v>0</v>
      </c>
      <c r="DH140">
        <f t="shared" ref="DH140:FS140" si="2">SUM(DH137:DH139)</f>
        <v>0</v>
      </c>
      <c r="DI140">
        <f t="shared" si="2"/>
        <v>0</v>
      </c>
      <c r="DJ140">
        <f t="shared" si="2"/>
        <v>0</v>
      </c>
      <c r="DK140">
        <f t="shared" si="2"/>
        <v>0</v>
      </c>
      <c r="DL140">
        <f t="shared" si="2"/>
        <v>0</v>
      </c>
      <c r="DM140">
        <f t="shared" si="2"/>
        <v>0</v>
      </c>
      <c r="DN140">
        <f t="shared" si="2"/>
        <v>0</v>
      </c>
      <c r="DO140">
        <f t="shared" si="2"/>
        <v>0</v>
      </c>
      <c r="DP140">
        <f t="shared" si="2"/>
        <v>0</v>
      </c>
      <c r="DQ140">
        <f t="shared" si="2"/>
        <v>0</v>
      </c>
      <c r="DR140">
        <f t="shared" si="2"/>
        <v>0</v>
      </c>
      <c r="DS140">
        <f t="shared" si="2"/>
        <v>0</v>
      </c>
      <c r="DT140">
        <f t="shared" si="2"/>
        <v>0</v>
      </c>
      <c r="DU140">
        <f t="shared" si="2"/>
        <v>0</v>
      </c>
      <c r="DV140">
        <f t="shared" si="2"/>
        <v>0</v>
      </c>
      <c r="DW140">
        <f t="shared" si="2"/>
        <v>0</v>
      </c>
      <c r="DX140">
        <f t="shared" si="2"/>
        <v>0</v>
      </c>
      <c r="DY140">
        <f t="shared" si="2"/>
        <v>0</v>
      </c>
      <c r="DZ140">
        <f t="shared" si="2"/>
        <v>0</v>
      </c>
      <c r="EA140">
        <f t="shared" si="2"/>
        <v>0</v>
      </c>
      <c r="EB140">
        <f t="shared" si="2"/>
        <v>0</v>
      </c>
      <c r="EC140">
        <f t="shared" si="2"/>
        <v>0</v>
      </c>
      <c r="ED140">
        <f t="shared" si="2"/>
        <v>0</v>
      </c>
      <c r="EE140">
        <f t="shared" si="2"/>
        <v>0</v>
      </c>
      <c r="EF140">
        <f t="shared" si="2"/>
        <v>0</v>
      </c>
      <c r="EG140">
        <f t="shared" si="2"/>
        <v>0</v>
      </c>
      <c r="EH140">
        <f t="shared" si="2"/>
        <v>0</v>
      </c>
      <c r="EI140">
        <f t="shared" si="2"/>
        <v>133</v>
      </c>
      <c r="EJ140">
        <f t="shared" si="2"/>
        <v>0</v>
      </c>
      <c r="EK140">
        <f t="shared" si="2"/>
        <v>0</v>
      </c>
      <c r="EL140">
        <f t="shared" si="2"/>
        <v>0</v>
      </c>
      <c r="EM140">
        <f t="shared" si="2"/>
        <v>0</v>
      </c>
      <c r="EN140">
        <f t="shared" si="2"/>
        <v>0</v>
      </c>
      <c r="EO140">
        <f t="shared" si="2"/>
        <v>0</v>
      </c>
      <c r="EP140">
        <f t="shared" si="2"/>
        <v>0</v>
      </c>
      <c r="EQ140">
        <f t="shared" si="2"/>
        <v>0</v>
      </c>
      <c r="ER140">
        <f t="shared" si="2"/>
        <v>0</v>
      </c>
      <c r="ES140">
        <f t="shared" si="2"/>
        <v>0</v>
      </c>
      <c r="ET140">
        <f t="shared" si="2"/>
        <v>0</v>
      </c>
      <c r="EU140">
        <f t="shared" si="2"/>
        <v>0</v>
      </c>
      <c r="EV140">
        <f t="shared" si="2"/>
        <v>0</v>
      </c>
      <c r="EW140">
        <f t="shared" si="2"/>
        <v>0</v>
      </c>
      <c r="EX140">
        <f t="shared" si="2"/>
        <v>0</v>
      </c>
      <c r="EY140">
        <f t="shared" si="2"/>
        <v>0</v>
      </c>
      <c r="EZ140">
        <f t="shared" si="2"/>
        <v>0</v>
      </c>
      <c r="FA140">
        <f t="shared" si="2"/>
        <v>0</v>
      </c>
      <c r="FB140">
        <f t="shared" si="2"/>
        <v>0</v>
      </c>
      <c r="FC140">
        <f t="shared" si="2"/>
        <v>0</v>
      </c>
      <c r="FD140">
        <f t="shared" si="2"/>
        <v>0</v>
      </c>
      <c r="FE140">
        <f t="shared" si="2"/>
        <v>0</v>
      </c>
      <c r="FF140">
        <f t="shared" si="2"/>
        <v>0</v>
      </c>
      <c r="FG140">
        <f t="shared" si="2"/>
        <v>0</v>
      </c>
      <c r="FH140">
        <f t="shared" si="2"/>
        <v>0</v>
      </c>
      <c r="FI140">
        <f t="shared" si="2"/>
        <v>133</v>
      </c>
      <c r="FJ140">
        <f t="shared" si="2"/>
        <v>66</v>
      </c>
      <c r="FK140">
        <f t="shared" si="2"/>
        <v>131</v>
      </c>
      <c r="FL140">
        <f t="shared" si="2"/>
        <v>96</v>
      </c>
      <c r="FM140">
        <f t="shared" si="2"/>
        <v>131</v>
      </c>
      <c r="FN140">
        <f t="shared" si="2"/>
        <v>131</v>
      </c>
      <c r="FO140">
        <f t="shared" si="2"/>
        <v>131</v>
      </c>
      <c r="FP140">
        <f t="shared" si="2"/>
        <v>131</v>
      </c>
      <c r="FQ140">
        <f t="shared" si="2"/>
        <v>131</v>
      </c>
      <c r="FR140">
        <f t="shared" si="2"/>
        <v>131</v>
      </c>
      <c r="FS140">
        <f t="shared" si="2"/>
        <v>131</v>
      </c>
      <c r="FT140">
        <f t="shared" ref="FT140:GT140" si="3">SUM(FT137:FT139)</f>
        <v>131</v>
      </c>
      <c r="FU140">
        <f t="shared" si="3"/>
        <v>133</v>
      </c>
      <c r="FV140">
        <f t="shared" si="3"/>
        <v>132</v>
      </c>
      <c r="FW140">
        <f t="shared" si="3"/>
        <v>133</v>
      </c>
      <c r="FX140">
        <f t="shared" si="3"/>
        <v>133</v>
      </c>
      <c r="FY140">
        <f t="shared" si="3"/>
        <v>133</v>
      </c>
      <c r="FZ140">
        <f t="shared" si="3"/>
        <v>133</v>
      </c>
      <c r="GA140">
        <f t="shared" si="3"/>
        <v>133</v>
      </c>
      <c r="GB140">
        <f t="shared" si="3"/>
        <v>133</v>
      </c>
      <c r="GC140">
        <f t="shared" si="3"/>
        <v>133</v>
      </c>
      <c r="GD140">
        <f t="shared" si="3"/>
        <v>133</v>
      </c>
      <c r="GE140">
        <f t="shared" si="3"/>
        <v>133</v>
      </c>
      <c r="GF140">
        <f t="shared" si="3"/>
        <v>133</v>
      </c>
      <c r="GG140">
        <f t="shared" si="3"/>
        <v>133</v>
      </c>
      <c r="GH140">
        <f t="shared" si="3"/>
        <v>133</v>
      </c>
      <c r="GI140">
        <f t="shared" si="3"/>
        <v>133</v>
      </c>
      <c r="GJ140">
        <f t="shared" si="3"/>
        <v>133</v>
      </c>
      <c r="GK140">
        <f t="shared" si="3"/>
        <v>133</v>
      </c>
      <c r="GL140">
        <f t="shared" si="3"/>
        <v>133</v>
      </c>
      <c r="GM140">
        <f t="shared" si="3"/>
        <v>133</v>
      </c>
      <c r="GN140">
        <f t="shared" si="3"/>
        <v>133</v>
      </c>
      <c r="GO140">
        <f t="shared" si="3"/>
        <v>133</v>
      </c>
      <c r="GP140">
        <f t="shared" si="3"/>
        <v>133</v>
      </c>
      <c r="GQ140">
        <f t="shared" si="3"/>
        <v>6</v>
      </c>
      <c r="GR140">
        <f t="shared" si="3"/>
        <v>11</v>
      </c>
      <c r="GS140">
        <f t="shared" si="3"/>
        <v>4</v>
      </c>
      <c r="GT140">
        <f t="shared" si="3"/>
        <v>133</v>
      </c>
      <c r="GU140">
        <f>SUM(GU136,GU139)</f>
        <v>133</v>
      </c>
      <c r="GW140">
        <f>SUM(GW136,GW139)</f>
        <v>133</v>
      </c>
    </row>
    <row r="141" spans="1:209" ht="14.65" thickTop="1" x14ac:dyDescent="0.45">
      <c r="I141" s="7"/>
      <c r="DS141">
        <f>SUM(DS66,DS67,DS74,DS84,DS87)</f>
        <v>0</v>
      </c>
      <c r="DT141">
        <f>SUM(DT66,DT67,DT74,DT84,DT87)</f>
        <v>0</v>
      </c>
      <c r="DU141">
        <f>SUM(DU66,DU67,DU74,DU84,DU87)</f>
        <v>0</v>
      </c>
      <c r="DV141">
        <f>SUM(DV66,DV67,DV74,DV84,DV87)</f>
        <v>0</v>
      </c>
      <c r="DW141">
        <f>SUM(DW66,DW67,DW74,DW84,DW87)</f>
        <v>0</v>
      </c>
      <c r="DX141">
        <f>SUM(DX66,DX67,DX74,DX84,DX87)</f>
        <v>0</v>
      </c>
      <c r="DY141">
        <f>SUM(DY66,DY67,DY74,DY84,DY87)</f>
        <v>0</v>
      </c>
      <c r="DZ141">
        <f>SUM(DS141:DY141)</f>
        <v>0</v>
      </c>
      <c r="EA141">
        <f>SUM(EA66,EA67,EA74,EA84,EA87)</f>
        <v>0</v>
      </c>
      <c r="EB141">
        <f>SUM(EB66,EB67,EB74,EB84,EB87)</f>
        <v>0</v>
      </c>
      <c r="EC141">
        <f>SUM(EC66,EC67,EC74,EC84,EC87)</f>
        <v>0</v>
      </c>
      <c r="ED141">
        <f>SUM(ED66,ED67,ED74,ED84,ED87)</f>
        <v>0</v>
      </c>
      <c r="EE141">
        <f>SUM(EE66,EE67,EE74,EE84,EE87)</f>
        <v>0</v>
      </c>
      <c r="EF141">
        <f>SUM(EF66,EF67,EF74,EF84,EF87)</f>
        <v>0</v>
      </c>
      <c r="EG141">
        <f>SUM(EG66,EG67,EG74,EG84,EG87)</f>
        <v>0</v>
      </c>
      <c r="EH141">
        <f>SUM(EA141:EG141)</f>
        <v>0</v>
      </c>
    </row>
    <row r="142" spans="1:209" x14ac:dyDescent="0.45">
      <c r="DS142" s="33" t="e">
        <f t="shared" ref="DS142:DY142" si="4">DS141/$DZ$141</f>
        <v>#DIV/0!</v>
      </c>
      <c r="DT142" s="33" t="e">
        <f t="shared" si="4"/>
        <v>#DIV/0!</v>
      </c>
      <c r="DU142" s="33" t="e">
        <f t="shared" si="4"/>
        <v>#DIV/0!</v>
      </c>
      <c r="DV142" s="33" t="e">
        <f t="shared" si="4"/>
        <v>#DIV/0!</v>
      </c>
      <c r="DW142" s="33" t="e">
        <f t="shared" si="4"/>
        <v>#DIV/0!</v>
      </c>
      <c r="DX142" s="33" t="e">
        <f t="shared" si="4"/>
        <v>#DIV/0!</v>
      </c>
      <c r="DY142" s="33" t="e">
        <f t="shared" si="4"/>
        <v>#DIV/0!</v>
      </c>
      <c r="DZ142" s="33" t="e">
        <f>SUM(DS142:DY142)</f>
        <v>#DIV/0!</v>
      </c>
      <c r="EA142" s="33" t="e">
        <f t="shared" ref="EA142:EG142" si="5">EA141/$DZ$141</f>
        <v>#DIV/0!</v>
      </c>
      <c r="EB142" s="33" t="e">
        <f t="shared" si="5"/>
        <v>#DIV/0!</v>
      </c>
      <c r="EC142" s="33" t="e">
        <f t="shared" si="5"/>
        <v>#DIV/0!</v>
      </c>
      <c r="ED142" s="33" t="e">
        <f t="shared" si="5"/>
        <v>#DIV/0!</v>
      </c>
      <c r="EE142" s="33" t="e">
        <f t="shared" si="5"/>
        <v>#DIV/0!</v>
      </c>
      <c r="EF142" s="33" t="e">
        <f t="shared" si="5"/>
        <v>#DIV/0!</v>
      </c>
      <c r="EG142" s="33" t="e">
        <f t="shared" si="5"/>
        <v>#DIV/0!</v>
      </c>
      <c r="EH142" s="33" t="e">
        <f>SUM(EA142:EG142)</f>
        <v>#DIV/0!</v>
      </c>
    </row>
  </sheetData>
  <sheetProtection formatCells="0" formatColumns="0" formatRows="0" insertColumns="0" insertRows="0" insertHyperlinks="0" deleteColumns="0" deleteRows="0" sort="0" autoFilter="0" pivotTables="0"/>
  <conditionalFormatting sqref="E2:E135">
    <cfRule type="duplicateValues" dxfId="101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workbookViewId="0">
      <selection activeCell="C7" sqref="C7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2315</v>
      </c>
      <c r="C2" s="20" t="s">
        <v>2312</v>
      </c>
    </row>
    <row r="3" spans="2:3" x14ac:dyDescent="0.45">
      <c r="B3">
        <v>1930</v>
      </c>
      <c r="C3" s="20" t="s">
        <v>2314</v>
      </c>
    </row>
    <row r="4" spans="2:3" x14ac:dyDescent="0.45">
      <c r="B4">
        <v>1955</v>
      </c>
      <c r="C4" s="20" t="s">
        <v>2449</v>
      </c>
    </row>
    <row r="5" spans="2:3" x14ac:dyDescent="0.45">
      <c r="B5">
        <v>1965</v>
      </c>
      <c r="C5" s="20" t="s">
        <v>2450</v>
      </c>
    </row>
    <row r="6" spans="2:3" x14ac:dyDescent="0.45">
      <c r="B6">
        <v>1975</v>
      </c>
      <c r="C6" s="20" t="s">
        <v>2451</v>
      </c>
    </row>
    <row r="7" spans="2:3" x14ac:dyDescent="0.45">
      <c r="B7">
        <v>1985</v>
      </c>
      <c r="C7" s="20" t="s">
        <v>2452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2319</v>
      </c>
      <c r="C11" s="20" t="s">
        <v>2324</v>
      </c>
    </row>
    <row r="12" spans="2:3" x14ac:dyDescent="0.45">
      <c r="B12" s="28" t="s">
        <v>987</v>
      </c>
      <c r="C12" s="20" t="s">
        <v>2323</v>
      </c>
    </row>
    <row r="13" spans="2:3" x14ac:dyDescent="0.45">
      <c r="B13" s="28" t="s">
        <v>1503</v>
      </c>
      <c r="C13" s="20" t="s">
        <v>2321</v>
      </c>
    </row>
    <row r="14" spans="2:3" x14ac:dyDescent="0.45">
      <c r="B14" s="28" t="s">
        <v>234</v>
      </c>
      <c r="C14" s="20" t="s">
        <v>2321</v>
      </c>
    </row>
    <row r="15" spans="2:3" ht="28.5" x14ac:dyDescent="0.45">
      <c r="B15" s="28" t="s">
        <v>2270</v>
      </c>
      <c r="C15" s="20" t="s">
        <v>2321</v>
      </c>
    </row>
    <row r="16" spans="2:3" x14ac:dyDescent="0.45">
      <c r="B16" s="28" t="s">
        <v>2269</v>
      </c>
      <c r="C16" s="20" t="s">
        <v>2321</v>
      </c>
    </row>
    <row r="17" spans="2:3" ht="28.5" x14ac:dyDescent="0.45">
      <c r="B17" s="28" t="s">
        <v>2268</v>
      </c>
      <c r="C17" s="20" t="s">
        <v>2321</v>
      </c>
    </row>
    <row r="18" spans="2:3" x14ac:dyDescent="0.45">
      <c r="B18" s="28" t="s">
        <v>995</v>
      </c>
      <c r="C18" s="20" t="s">
        <v>2321</v>
      </c>
    </row>
    <row r="19" spans="2:3" x14ac:dyDescent="0.45">
      <c r="B19" s="28" t="s">
        <v>1461</v>
      </c>
      <c r="C19" s="20" t="s">
        <v>2321</v>
      </c>
    </row>
    <row r="20" spans="2:3" x14ac:dyDescent="0.45">
      <c r="B20" s="28" t="s">
        <v>428</v>
      </c>
      <c r="C20" s="20" t="s">
        <v>2321</v>
      </c>
    </row>
    <row r="21" spans="2:3" x14ac:dyDescent="0.45">
      <c r="B21" s="28" t="s">
        <v>191</v>
      </c>
      <c r="C21" s="20" t="s">
        <v>2321</v>
      </c>
    </row>
    <row r="22" spans="2:3" x14ac:dyDescent="0.45">
      <c r="B22" s="28" t="s">
        <v>2318</v>
      </c>
      <c r="C22" s="20" t="s">
        <v>2321</v>
      </c>
    </row>
    <row r="23" spans="2:3" x14ac:dyDescent="0.45">
      <c r="B23" s="28" t="s">
        <v>1415</v>
      </c>
      <c r="C23" s="20" t="s">
        <v>2321</v>
      </c>
    </row>
    <row r="24" spans="2:3" x14ac:dyDescent="0.45">
      <c r="B24" s="28" t="s">
        <v>1090</v>
      </c>
      <c r="C24" s="20" t="s">
        <v>2321</v>
      </c>
    </row>
    <row r="25" spans="2:3" x14ac:dyDescent="0.45">
      <c r="B25" s="28" t="s">
        <v>862</v>
      </c>
      <c r="C25" s="20" t="s">
        <v>2321</v>
      </c>
    </row>
    <row r="26" spans="2:3" x14ac:dyDescent="0.45">
      <c r="B26" s="28" t="s">
        <v>1290</v>
      </c>
      <c r="C26" s="20" t="s">
        <v>2323</v>
      </c>
    </row>
    <row r="27" spans="2:3" x14ac:dyDescent="0.45">
      <c r="B27" s="28" t="s">
        <v>1514</v>
      </c>
      <c r="C27" s="20" t="s">
        <v>2322</v>
      </c>
    </row>
    <row r="28" spans="2:3" ht="28.5" x14ac:dyDescent="0.45">
      <c r="B28" s="28" t="s">
        <v>2271</v>
      </c>
      <c r="C28" s="20" t="s">
        <v>2321</v>
      </c>
    </row>
    <row r="29" spans="2:3" ht="28.5" x14ac:dyDescent="0.45">
      <c r="B29" s="28" t="s">
        <v>553</v>
      </c>
      <c r="C29" s="20" t="s">
        <v>2321</v>
      </c>
    </row>
    <row r="30" spans="2:3" ht="28.5" x14ac:dyDescent="0.45">
      <c r="B30" s="28" t="s">
        <v>1472</v>
      </c>
      <c r="C30" s="20" t="s">
        <v>2321</v>
      </c>
    </row>
    <row r="31" spans="2:3" x14ac:dyDescent="0.45">
      <c r="B31" s="28" t="s">
        <v>223</v>
      </c>
      <c r="C31" s="20" t="s">
        <v>2321</v>
      </c>
    </row>
    <row r="32" spans="2:3" x14ac:dyDescent="0.45">
      <c r="B32" s="28" t="s">
        <v>445</v>
      </c>
      <c r="C32" s="20" t="s">
        <v>2321</v>
      </c>
    </row>
    <row r="33" spans="2:7" ht="28.5" x14ac:dyDescent="0.45">
      <c r="B33" s="28" t="s">
        <v>2272</v>
      </c>
      <c r="C33" s="20" t="s">
        <v>2321</v>
      </c>
    </row>
    <row r="34" spans="2:7" x14ac:dyDescent="0.45">
      <c r="B34" s="28" t="s">
        <v>813</v>
      </c>
      <c r="C34" s="20" t="s">
        <v>2321</v>
      </c>
    </row>
    <row r="35" spans="2:7" x14ac:dyDescent="0.45">
      <c r="B35" s="28" t="s">
        <v>1712</v>
      </c>
      <c r="C35" s="20" t="s">
        <v>2321</v>
      </c>
    </row>
    <row r="36" spans="2:7" ht="28.5" x14ac:dyDescent="0.45">
      <c r="B36" s="28" t="s">
        <v>1636</v>
      </c>
      <c r="C36" s="20" t="s">
        <v>2321</v>
      </c>
    </row>
    <row r="37" spans="2:7" x14ac:dyDescent="0.45">
      <c r="B37" s="28" t="s">
        <v>975</v>
      </c>
      <c r="C37" s="20" t="s">
        <v>2321</v>
      </c>
    </row>
    <row r="38" spans="2:7" x14ac:dyDescent="0.45">
      <c r="B38" s="28" t="s">
        <v>701</v>
      </c>
      <c r="C38" s="20" t="s">
        <v>2321</v>
      </c>
    </row>
    <row r="39" spans="2:7" x14ac:dyDescent="0.45">
      <c r="B39" s="28" t="s">
        <v>800</v>
      </c>
      <c r="C39" s="20" t="s">
        <v>2321</v>
      </c>
    </row>
    <row r="40" spans="2:7" x14ac:dyDescent="0.45">
      <c r="B40" s="28" t="s">
        <v>160</v>
      </c>
      <c r="C40" s="20" t="s">
        <v>2321</v>
      </c>
    </row>
    <row r="41" spans="2:7" x14ac:dyDescent="0.45">
      <c r="B41" s="28" t="s">
        <v>1439</v>
      </c>
      <c r="C41" s="20" t="s">
        <v>2323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46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00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99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opLeftCell="A67" workbookViewId="0">
      <selection activeCell="I111" sqref="I111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 t="e">
        <f>A17/$A$25</f>
        <v>#REF!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 t="e">
        <f t="shared" ref="C18:C24" si="0">A18/$A$25</f>
        <v>#REF!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 t="e">
        <f t="shared" si="0"/>
        <v>#REF!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 t="e">
        <f t="shared" si="0"/>
        <v>#REF!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 t="e">
        <f t="shared" si="0"/>
        <v>#REF!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 t="e">
        <f t="shared" si="0"/>
        <v>#REF!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 t="e">
        <f t="shared" si="0"/>
        <v>#REF!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 t="e">
        <f t="shared" si="0"/>
        <v>#REF!</v>
      </c>
      <c r="D24" t="s">
        <v>2290</v>
      </c>
    </row>
    <row r="25" spans="1:4" x14ac:dyDescent="0.45">
      <c r="A25" s="29" t="e">
        <f>COUNTIF(#REF!,"*"&amp;"Tak"&amp;"*")</f>
        <v>#REF!</v>
      </c>
      <c r="B25" s="29" t="s">
        <v>2304</v>
      </c>
      <c r="C25" s="31" t="e">
        <f>SUM(C17:C24)</f>
        <v>#REF!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43" t="e">
        <f>COUNTIFS(AnalizaCzyste[Płeć],"*"&amp;B29&amp;"*",#REF!,"*"&amp;"Tak"&amp;"*")</f>
        <v>#REF!</v>
      </c>
      <c r="B29" t="s">
        <v>140</v>
      </c>
      <c r="C29" s="30" t="e">
        <f>A29/$A$31</f>
        <v>#REF!</v>
      </c>
    </row>
    <row r="30" spans="1:4" x14ac:dyDescent="0.45">
      <c r="A30" s="43" t="e">
        <f>COUNTIFS(AnalizaCzyste[Płeć],"*"&amp;B30&amp;"*",#REF!,"*"&amp;"Tak"&amp;"*")</f>
        <v>#REF!</v>
      </c>
      <c r="B30" t="s">
        <v>186</v>
      </c>
      <c r="C30" s="30" t="e">
        <f>A30/$A$31</f>
        <v>#REF!</v>
      </c>
    </row>
    <row r="31" spans="1:4" x14ac:dyDescent="0.45">
      <c r="A31" s="29" t="e">
        <f>SUM(A29:A30)</f>
        <v>#REF!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 t="e">
        <f>COUNTIFS(AnalizaCzyste[GrupaWiekowa],B35,#REF!,"*"&amp;"Tak"&amp;"*")</f>
        <v>#REF!</v>
      </c>
      <c r="B35" t="s">
        <v>2314</v>
      </c>
      <c r="C35" s="33" t="e">
        <f>A35/$A$42</f>
        <v>#REF!</v>
      </c>
    </row>
    <row r="36" spans="1:3" x14ac:dyDescent="0.45">
      <c r="A36" t="e">
        <f>COUNTIFS(AnalizaCzyste[GrupaWiekowa],B36,#REF!,"*"&amp;"Tak"&amp;"*")</f>
        <v>#REF!</v>
      </c>
      <c r="B36" s="20" t="s">
        <v>2449</v>
      </c>
      <c r="C36" s="33" t="e">
        <f t="shared" ref="C36:C41" si="1">A36/$A$42</f>
        <v>#REF!</v>
      </c>
    </row>
    <row r="37" spans="1:3" x14ac:dyDescent="0.45">
      <c r="A37" t="e">
        <f>COUNTIFS(AnalizaCzyste[GrupaWiekowa],B37,#REF!,"*"&amp;"Tak"&amp;"*")</f>
        <v>#REF!</v>
      </c>
      <c r="B37" s="20" t="s">
        <v>2450</v>
      </c>
      <c r="C37" s="33" t="e">
        <f t="shared" si="1"/>
        <v>#REF!</v>
      </c>
    </row>
    <row r="38" spans="1:3" x14ac:dyDescent="0.45">
      <c r="A38" t="e">
        <f>COUNTIFS(AnalizaCzyste[GrupaWiekowa],B38,#REF!,"*"&amp;"Tak"&amp;"*")</f>
        <v>#REF!</v>
      </c>
      <c r="B38" s="20" t="s">
        <v>2451</v>
      </c>
      <c r="C38" s="33" t="e">
        <f t="shared" si="1"/>
        <v>#REF!</v>
      </c>
    </row>
    <row r="39" spans="1:3" x14ac:dyDescent="0.45">
      <c r="A39" t="e">
        <f>COUNTIFS(AnalizaCzyste[GrupaWiekowa],B39,#REF!,"*"&amp;"Tak"&amp;"*")</f>
        <v>#REF!</v>
      </c>
      <c r="B39" s="20" t="s">
        <v>2452</v>
      </c>
      <c r="C39" s="33" t="e">
        <f t="shared" si="1"/>
        <v>#REF!</v>
      </c>
    </row>
    <row r="40" spans="1:3" x14ac:dyDescent="0.45">
      <c r="A40" t="e">
        <f>COUNTIFS(AnalizaCzyste[GrupaWiekowa],B40,#REF!,"*"&amp;"Tak"&amp;"*")</f>
        <v>#REF!</v>
      </c>
      <c r="B40" t="s">
        <v>2313</v>
      </c>
      <c r="C40" s="33" t="e">
        <f t="shared" si="1"/>
        <v>#REF!</v>
      </c>
    </row>
    <row r="41" spans="1:3" x14ac:dyDescent="0.45">
      <c r="A41" t="e">
        <f>COUNTIFS(AnalizaCzyste[GrupaWiekowa],"#N/D",#REF!,"*"&amp;"Tak"&amp;"*")</f>
        <v>#REF!</v>
      </c>
      <c r="B41" s="20" t="s">
        <v>2448</v>
      </c>
      <c r="C41" s="33" t="e">
        <f t="shared" si="1"/>
        <v>#REF!</v>
      </c>
    </row>
    <row r="42" spans="1:3" x14ac:dyDescent="0.45">
      <c r="A42" s="29" t="e">
        <f>SUM(A35:A41)</f>
        <v>#REF!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 t="e">
        <f>COUNTIFS(AnalizaCzyste[Z jakiej wielkości miejscowości pochodzisz? (dotyczy miejscowości, w której się wychowałaś/eś],B46,#REF!,"*"&amp;"Tak"&amp;"*")</f>
        <v>#REF!</v>
      </c>
      <c r="B46" t="s">
        <v>141</v>
      </c>
      <c r="C46" s="33" t="e">
        <f>A46/$A$52</f>
        <v>#REF!</v>
      </c>
    </row>
    <row r="47" spans="1:3" x14ac:dyDescent="0.45">
      <c r="A47" t="e">
        <f>COUNTIFS(AnalizaCzyste[Z jakiej wielkości miejscowości pochodzisz? (dotyczy miejscowości, w której się wychowałaś/eś],B47,#REF!,"*"&amp;"Tak"&amp;"*")</f>
        <v>#REF!</v>
      </c>
      <c r="B47" t="s">
        <v>398</v>
      </c>
      <c r="C47" s="33" t="e">
        <f t="shared" ref="C47:C51" si="2">A47/$A$52</f>
        <v>#REF!</v>
      </c>
    </row>
    <row r="48" spans="1:3" x14ac:dyDescent="0.45">
      <c r="A48" t="e">
        <f>COUNTIFS(AnalizaCzyste[Z jakiej wielkości miejscowości pochodzisz? (dotyczy miejscowości, w której się wychowałaś/eś],B48,#REF!,"*"&amp;"Tak"&amp;"*")</f>
        <v>#REF!</v>
      </c>
      <c r="B48" t="s">
        <v>246</v>
      </c>
      <c r="C48" s="33" t="e">
        <f t="shared" si="2"/>
        <v>#REF!</v>
      </c>
    </row>
    <row r="49" spans="1:5" x14ac:dyDescent="0.45">
      <c r="A49" t="e">
        <f>COUNTIFS(AnalizaCzyste[Z jakiej wielkości miejscowości pochodzisz? (dotyczy miejscowości, w której się wychowałaś/eś],B49,#REF!,"*"&amp;"Tak"&amp;"*")</f>
        <v>#REF!</v>
      </c>
      <c r="B49" t="s">
        <v>220</v>
      </c>
      <c r="C49" s="33" t="e">
        <f t="shared" si="2"/>
        <v>#REF!</v>
      </c>
    </row>
    <row r="50" spans="1:5" x14ac:dyDescent="0.45">
      <c r="A50" t="e">
        <f>COUNTIFS(AnalizaCzyste[Z jakiej wielkości miejscowości pochodzisz? (dotyczy miejscowości, w której się wychowałaś/eś],B50,#REF!,"*"&amp;"Tak"&amp;"*")</f>
        <v>#REF!</v>
      </c>
      <c r="B50" t="s">
        <v>1630</v>
      </c>
      <c r="C50" s="33" t="e">
        <f t="shared" si="2"/>
        <v>#REF!</v>
      </c>
    </row>
    <row r="51" spans="1:5" x14ac:dyDescent="0.45">
      <c r="A51" t="e">
        <f>COUNTIFS(AnalizaCzyste[Z jakiej wielkości miejscowości pochodzisz? (dotyczy miejscowości, w której się wychowałaś/eś],B51,#REF!,"*"&amp;"Tak"&amp;"*")</f>
        <v>#REF!</v>
      </c>
      <c r="B51" t="s">
        <v>483</v>
      </c>
      <c r="C51" s="33" t="e">
        <f t="shared" si="2"/>
        <v>#REF!</v>
      </c>
    </row>
    <row r="52" spans="1:5" x14ac:dyDescent="0.45">
      <c r="A52" s="29" t="e">
        <f>SUM(A46:A51)</f>
        <v>#REF!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2426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44">
        <f>SUM(D134:D141)/C143</f>
        <v>5.0714285714285712</v>
      </c>
      <c r="E142" s="20" t="s">
        <v>2353</v>
      </c>
      <c r="F142" s="44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2406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44">
        <f>SUM(D147:D153)/C156</f>
        <v>4.7857142857142856</v>
      </c>
      <c r="E155" s="20" t="s">
        <v>2353</v>
      </c>
      <c r="F155" s="44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44">
        <f>SUM(D159:D166)/C168</f>
        <v>4.5714285714285712</v>
      </c>
      <c r="E167" s="20" t="s">
        <v>2353</v>
      </c>
      <c r="F167" s="44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2426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44">
        <f>SUM(D173:D179)/C182</f>
        <v>5.1932773109243699</v>
      </c>
      <c r="E181" s="20" t="s">
        <v>2353</v>
      </c>
      <c r="F181" s="44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2404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44">
        <f>SUM(D186:D192)/C195</f>
        <v>5.1092436974789912</v>
      </c>
      <c r="E194" s="20" t="s">
        <v>2353</v>
      </c>
      <c r="F194" s="44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44">
        <f>SUM(D198:D204)/C207</f>
        <v>4.9579831932773111</v>
      </c>
      <c r="E206" s="20" t="s">
        <v>2353</v>
      </c>
      <c r="F206" s="44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2426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2353</v>
      </c>
      <c r="L218" s="44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2353</v>
      </c>
      <c r="L231" s="44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2404</v>
      </c>
    </row>
    <row r="233" spans="1:13" x14ac:dyDescent="0.45">
      <c r="B233" s="20"/>
      <c r="D233" s="33"/>
      <c r="F233" s="44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2353</v>
      </c>
      <c r="L243" s="44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2404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44">
        <f>SUM(D250:D256)/C259</f>
        <v>6.75</v>
      </c>
      <c r="E258" s="20" t="s">
        <v>2353</v>
      </c>
      <c r="F258" s="44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2404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44">
        <f>SUM(D263:D269)/C272</f>
        <v>6.25</v>
      </c>
      <c r="E271" s="20" t="s">
        <v>2353</v>
      </c>
      <c r="F271" s="44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2404</v>
      </c>
    </row>
    <row r="273" spans="1:7" x14ac:dyDescent="0.45">
      <c r="B273" s="20"/>
      <c r="D273" s="33"/>
      <c r="F273" s="44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44">
        <f>SUM(D275:D281)/C284</f>
        <v>6</v>
      </c>
      <c r="E283" s="20" t="s">
        <v>2353</v>
      </c>
      <c r="F283" s="44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2404</v>
      </c>
    </row>
    <row r="285" spans="1:7" x14ac:dyDescent="0.45">
      <c r="B285" s="20"/>
      <c r="D285" s="33"/>
      <c r="F285" s="44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44">
        <f>SUM(D287:D293)/C296</f>
        <v>6.75</v>
      </c>
      <c r="E295" s="20" t="s">
        <v>2353</v>
      </c>
      <c r="F295" s="44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2404</v>
      </c>
    </row>
    <row r="297" spans="1:7" x14ac:dyDescent="0.45">
      <c r="B297" s="20"/>
      <c r="D297" s="33"/>
      <c r="F297" s="44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44">
        <f>SUM(D299:D305)/C308</f>
        <v>6.5</v>
      </c>
      <c r="E307" s="20" t="s">
        <v>2353</v>
      </c>
      <c r="F307" s="44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2404</v>
      </c>
    </row>
    <row r="309" spans="1:7" x14ac:dyDescent="0.45">
      <c r="B309" s="20"/>
      <c r="D309" s="33"/>
      <c r="F309" s="44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44">
        <f>SUM(D311:D317)/C320</f>
        <v>6.5</v>
      </c>
      <c r="E319" s="20" t="s">
        <v>2353</v>
      </c>
      <c r="F319" s="44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2426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44">
        <f>SUM(D323:D329)/C332</f>
        <v>6</v>
      </c>
      <c r="E331" s="20" t="s">
        <v>2353</v>
      </c>
      <c r="F331" s="44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2404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44">
        <f>SUM(D336:D342)/C345</f>
        <v>6.0625</v>
      </c>
      <c r="E344" s="20" t="s">
        <v>2353</v>
      </c>
      <c r="F344" s="44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44">
        <f>SUM(D348:D354)/C357</f>
        <v>5.4375</v>
      </c>
      <c r="E356" s="20" t="s">
        <v>2353</v>
      </c>
      <c r="F356" s="44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2404</v>
      </c>
    </row>
    <row r="358" spans="1:7" x14ac:dyDescent="0.45">
      <c r="B358" s="20"/>
      <c r="D358" s="33"/>
      <c r="F358" s="44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44">
        <f>SUM(D360:D366)/C369</f>
        <v>5.875</v>
      </c>
      <c r="E368" s="20" t="s">
        <v>2353</v>
      </c>
      <c r="F368" s="44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2404</v>
      </c>
    </row>
    <row r="370" spans="1:7" x14ac:dyDescent="0.45">
      <c r="B370" s="20"/>
      <c r="D370" s="33"/>
      <c r="F370" s="44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44">
        <f>SUM(D372:D378)/C381</f>
        <v>5.6875</v>
      </c>
      <c r="E380" s="20" t="s">
        <v>2353</v>
      </c>
      <c r="F380" s="44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2404</v>
      </c>
    </row>
    <row r="382" spans="1:7" x14ac:dyDescent="0.45">
      <c r="B382" s="20"/>
      <c r="D382" s="33"/>
      <c r="F382" s="44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44">
        <f>SUM(D384:D390)/C393</f>
        <v>5.4375</v>
      </c>
      <c r="E392" s="20" t="s">
        <v>2353</v>
      </c>
      <c r="F392" s="44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2404</v>
      </c>
    </row>
    <row r="394" spans="1:7" x14ac:dyDescent="0.45">
      <c r="B394" s="20"/>
      <c r="D394" s="33"/>
      <c r="F394" s="44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44">
        <f>SUM(D396:D402)/C405</f>
        <v>5.8</v>
      </c>
      <c r="E404" s="20" t="s">
        <v>2353</v>
      </c>
      <c r="F404" s="44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2404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44">
        <f>SUM(D409:D415)/C418</f>
        <v>5.8</v>
      </c>
      <c r="E417" s="20" t="s">
        <v>2353</v>
      </c>
      <c r="F417" s="44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2404</v>
      </c>
    </row>
    <row r="419" spans="1:7" x14ac:dyDescent="0.45">
      <c r="B419" s="20"/>
      <c r="D419" s="33"/>
      <c r="F419" s="44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44">
        <f>SUM(D421:D427)/C430</f>
        <v>6</v>
      </c>
      <c r="E429" s="20" t="s">
        <v>2353</v>
      </c>
      <c r="F429" s="44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2404</v>
      </c>
    </row>
    <row r="431" spans="1:7" x14ac:dyDescent="0.45">
      <c r="B431" s="20"/>
      <c r="D431" s="33"/>
      <c r="F431" s="44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44">
        <f>SUM(D433:D439)/C442</f>
        <v>5.6</v>
      </c>
      <c r="E441" s="20" t="s">
        <v>2353</v>
      </c>
      <c r="F441" s="44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2404</v>
      </c>
    </row>
    <row r="443" spans="1:7" x14ac:dyDescent="0.45">
      <c r="B443" s="20"/>
      <c r="D443" s="33"/>
      <c r="F443" s="44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44">
        <f>SUM(D445:D451)/C454</f>
        <v>5.75</v>
      </c>
      <c r="E453" s="20" t="s">
        <v>2353</v>
      </c>
      <c r="F453" s="44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2404</v>
      </c>
    </row>
    <row r="455" spans="1:7" x14ac:dyDescent="0.45">
      <c r="B455" s="20"/>
      <c r="D455" s="33"/>
      <c r="F455" s="44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44">
        <f>SUM(D457:D463)/C466</f>
        <v>5.75</v>
      </c>
      <c r="E465" s="20" t="s">
        <v>2353</v>
      </c>
      <c r="F465" s="44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2404</v>
      </c>
    </row>
    <row r="467" spans="1:7" x14ac:dyDescent="0.45">
      <c r="B467" s="20"/>
      <c r="D467" s="33"/>
      <c r="F467" s="44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44">
        <f>SUM(D469:D475)/C478</f>
        <v>6</v>
      </c>
      <c r="E477" s="20" t="s">
        <v>2353</v>
      </c>
      <c r="F477" s="44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2404</v>
      </c>
    </row>
    <row r="479" spans="1:7" x14ac:dyDescent="0.45">
      <c r="B479" s="20"/>
      <c r="D479" s="33"/>
      <c r="F479" s="44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44">
        <f>SUM(D481:D487)/C490</f>
        <v>5.117647058823529</v>
      </c>
      <c r="E489" s="20" t="s">
        <v>2353</v>
      </c>
      <c r="F489" s="44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2404</v>
      </c>
    </row>
    <row r="491" spans="1:20" x14ac:dyDescent="0.45">
      <c r="B491" s="20"/>
      <c r="D491" s="33"/>
      <c r="F491" s="44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2426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2353</v>
      </c>
      <c r="L501" s="44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2353</v>
      </c>
      <c r="L514" s="44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2404</v>
      </c>
    </row>
    <row r="516" spans="1:13" x14ac:dyDescent="0.45">
      <c r="B516" s="20"/>
      <c r="D516" s="33"/>
      <c r="F516" s="44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2353</v>
      </c>
      <c r="L526" s="44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2404</v>
      </c>
    </row>
    <row r="528" spans="1:13" x14ac:dyDescent="0.45">
      <c r="B528" s="20"/>
      <c r="D528" s="33"/>
      <c r="F528" s="44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44">
        <f>SUM(D530:D536)/C539</f>
        <v>6.5</v>
      </c>
      <c r="E538" s="20" t="s">
        <v>2353</v>
      </c>
      <c r="F538" s="44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2404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44">
        <f>SUM(D544:D550)/C553</f>
        <v>6</v>
      </c>
      <c r="E552" s="20" t="s">
        <v>2353</v>
      </c>
      <c r="F552" s="44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44">
        <f>SUM(D556:D562)/C565</f>
        <v>6</v>
      </c>
      <c r="E564" s="20" t="s">
        <v>2353</v>
      </c>
      <c r="F564" s="44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44">
        <f>SUM(D568:D574)/C577</f>
        <v>6.5</v>
      </c>
      <c r="E576" s="20" t="s">
        <v>2353</v>
      </c>
      <c r="F576" s="44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44">
        <f>SUM(D580:D586)/C589</f>
        <v>6.5</v>
      </c>
      <c r="E588" s="20" t="s">
        <v>2353</v>
      </c>
      <c r="F588" s="44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44">
        <f>SUM(D592:D598)/C601</f>
        <v>6</v>
      </c>
      <c r="E600" s="20" t="s">
        <v>2353</v>
      </c>
      <c r="F600" s="44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44">
        <f>SUM(D604:D610)/C613</f>
        <v>6</v>
      </c>
      <c r="E612" s="20" t="s">
        <v>2353</v>
      </c>
      <c r="F612" s="44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2404</v>
      </c>
    </row>
    <row r="618" spans="1:7" x14ac:dyDescent="0.45">
      <c r="B618" s="20" t="s">
        <v>2434</v>
      </c>
      <c r="C618" s="53">
        <v>5.0709999999999997</v>
      </c>
    </row>
    <row r="619" spans="1:7" x14ac:dyDescent="0.45">
      <c r="B619" s="20" t="s">
        <v>2435</v>
      </c>
      <c r="C619" s="53">
        <v>5.1929999999999996</v>
      </c>
    </row>
    <row r="620" spans="1:7" x14ac:dyDescent="0.45">
      <c r="B620" s="20" t="s">
        <v>2436</v>
      </c>
      <c r="C620" s="53">
        <v>5.6959999999999997</v>
      </c>
    </row>
    <row r="621" spans="1:7" x14ac:dyDescent="0.45">
      <c r="B621" s="20" t="s">
        <v>2437</v>
      </c>
      <c r="C621" s="53">
        <v>6.75</v>
      </c>
    </row>
    <row r="622" spans="1:7" x14ac:dyDescent="0.45">
      <c r="B622" s="20" t="s">
        <v>2438</v>
      </c>
      <c r="C622" s="53">
        <v>6</v>
      </c>
    </row>
    <row r="623" spans="1:7" x14ac:dyDescent="0.45">
      <c r="B623" s="20" t="s">
        <v>2439</v>
      </c>
      <c r="C623" s="53">
        <v>5.8</v>
      </c>
    </row>
    <row r="624" spans="1:7" x14ac:dyDescent="0.45">
      <c r="B624" s="20" t="s">
        <v>2440</v>
      </c>
      <c r="C624" s="53">
        <v>4.8</v>
      </c>
    </row>
    <row r="625" spans="1:16" x14ac:dyDescent="0.45">
      <c r="B625" s="20" t="s">
        <v>2441</v>
      </c>
      <c r="C625" s="53">
        <v>6.5</v>
      </c>
    </row>
    <row r="628" spans="1:16" x14ac:dyDescent="0.45">
      <c r="B628" s="20" t="s">
        <v>2433</v>
      </c>
      <c r="C628" s="44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</sheetData>
  <conditionalFormatting sqref="N141">
    <cfRule type="cellIs" dxfId="98" priority="6" operator="lessThan">
      <formula>O141</formula>
    </cfRule>
  </conditionalFormatting>
  <conditionalFormatting sqref="N180">
    <cfRule type="cellIs" dxfId="97" priority="5" operator="lessThan">
      <formula>O180</formula>
    </cfRule>
  </conditionalFormatting>
  <conditionalFormatting sqref="N330">
    <cfRule type="cellIs" dxfId="96" priority="2" operator="lessThan">
      <formula>O330</formula>
    </cfRule>
  </conditionalFormatting>
  <conditionalFormatting sqref="T217">
    <cfRule type="cellIs" dxfId="95" priority="3" operator="lessThan">
      <formula>U217</formula>
    </cfRule>
  </conditionalFormatting>
  <conditionalFormatting sqref="T500">
    <cfRule type="cellIs" dxfId="94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  <vt:lpstr>Zestawienia_ilościowe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2023-05-27T09:34:12Z</dcterms:modified>
  <cp:category>wyniki indywidualne</cp:category>
</cp:coreProperties>
</file>