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C794AFAB-D240-4900-8CDE-199BED82B765}" xr6:coauthVersionLast="47" xr6:coauthVersionMax="47" xr10:uidLastSave="{00000000-0000-0000-0000-000000000000}"/>
  <bookViews>
    <workbookView xWindow="-2140" yWindow="-21710" windowWidth="37690" windowHeight="21820" xr2:uid="{5CDD05D1-B91C-47AD-9058-2B6F85536433}"/>
  </bookViews>
  <sheets>
    <sheet name="Ankiety_analiza(czyszczone)" sheetId="5" r:id="rId1"/>
    <sheet name="TabeleGrup" sheetId="8" r:id="rId2"/>
    <sheet name="PivotCzyste" sheetId="6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Zestawienia_ilościowe" sheetId="7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B34" i="5" l="1"/>
  <c r="AM34" i="5"/>
  <c r="HH34" i="5"/>
  <c r="B35" i="5"/>
  <c r="AM35" i="5"/>
  <c r="HH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DH36" i="5"/>
  <c r="DR36" i="5"/>
  <c r="EU36" i="5"/>
  <c r="FU36" i="5"/>
  <c r="HF36" i="5"/>
  <c r="HG36" i="5"/>
  <c r="HI36" i="5"/>
  <c r="HJ36" i="5"/>
  <c r="HK36" i="5"/>
  <c r="HL36" i="5"/>
  <c r="HM36" i="5"/>
  <c r="B8" i="5"/>
  <c r="AM8" i="5"/>
  <c r="HH8" i="5"/>
  <c r="B11" i="5"/>
  <c r="AM11" i="5"/>
  <c r="HH11" i="5"/>
  <c r="C35" i="5" l="1"/>
  <c r="C34" i="5"/>
  <c r="C8" i="5"/>
  <c r="C11" i="5"/>
  <c r="G37" i="5" l="1"/>
  <c r="B31" i="5"/>
  <c r="G649" i="7"/>
  <c r="G650" i="7"/>
  <c r="G651" i="7"/>
  <c r="G652" i="7"/>
  <c r="G653" i="7"/>
  <c r="G654" i="7"/>
  <c r="G655" i="7"/>
  <c r="G648" i="7"/>
  <c r="F646" i="7"/>
  <c r="F656" i="7"/>
  <c r="F655" i="7"/>
  <c r="F654" i="7"/>
  <c r="F653" i="7"/>
  <c r="F652" i="7"/>
  <c r="F651" i="7"/>
  <c r="F650" i="7"/>
  <c r="F649" i="7"/>
  <c r="F648" i="7"/>
  <c r="F645" i="7"/>
  <c r="F644" i="7"/>
  <c r="F643" i="7"/>
  <c r="F642" i="7"/>
  <c r="F641" i="7"/>
  <c r="F640" i="7"/>
  <c r="F639" i="7"/>
  <c r="F638" i="7"/>
  <c r="ES41" i="5"/>
  <c r="ER41" i="5"/>
  <c r="EQ41" i="5"/>
  <c r="EP41" i="5"/>
  <c r="EO41" i="5"/>
  <c r="EN41" i="5"/>
  <c r="EM41" i="5"/>
  <c r="EK41" i="5"/>
  <c r="EJ41" i="5"/>
  <c r="EI41" i="5"/>
  <c r="EH41" i="5"/>
  <c r="EG41" i="5"/>
  <c r="EF41" i="5"/>
  <c r="EE41" i="5"/>
  <c r="C628" i="7"/>
  <c r="M494" i="7"/>
  <c r="M495" i="7"/>
  <c r="M496" i="7"/>
  <c r="M497" i="7"/>
  <c r="M498" i="7"/>
  <c r="M499" i="7"/>
  <c r="M493" i="7"/>
  <c r="U500" i="7"/>
  <c r="G324" i="7"/>
  <c r="G325" i="7"/>
  <c r="G326" i="7"/>
  <c r="G327" i="7"/>
  <c r="G328" i="7"/>
  <c r="G329" i="7"/>
  <c r="O330" i="7"/>
  <c r="G323" i="7"/>
  <c r="M211" i="7"/>
  <c r="M212" i="7"/>
  <c r="M213" i="7"/>
  <c r="M214" i="7"/>
  <c r="M215" i="7"/>
  <c r="M216" i="7"/>
  <c r="M210" i="7"/>
  <c r="U217" i="7"/>
  <c r="G174" i="7"/>
  <c r="G175" i="7"/>
  <c r="G176" i="7"/>
  <c r="G177" i="7"/>
  <c r="G178" i="7"/>
  <c r="G179" i="7"/>
  <c r="G173" i="7"/>
  <c r="O180" i="7"/>
  <c r="G134" i="7"/>
  <c r="F51" i="8"/>
  <c r="F50" i="8"/>
  <c r="F49" i="8"/>
  <c r="F48" i="8"/>
  <c r="F47" i="8"/>
  <c r="F46" i="8"/>
  <c r="F45" i="8"/>
  <c r="G140" i="7"/>
  <c r="D50" i="8"/>
  <c r="G139" i="7" s="1"/>
  <c r="D51" i="8"/>
  <c r="O141" i="7"/>
  <c r="F540" i="7"/>
  <c r="L503" i="7"/>
  <c r="F406" i="7"/>
  <c r="F333" i="7"/>
  <c r="F260" i="7"/>
  <c r="L220" i="7"/>
  <c r="F183" i="7"/>
  <c r="D58" i="8"/>
  <c r="E58" i="8"/>
  <c r="F58" i="8"/>
  <c r="G58" i="8"/>
  <c r="H58" i="8"/>
  <c r="I58" i="8"/>
  <c r="J58" i="8"/>
  <c r="D59" i="8"/>
  <c r="E59" i="8"/>
  <c r="F59" i="8"/>
  <c r="G59" i="8"/>
  <c r="H59" i="8"/>
  <c r="I59" i="8"/>
  <c r="J59" i="8"/>
  <c r="D60" i="8"/>
  <c r="E60" i="8"/>
  <c r="F60" i="8"/>
  <c r="G60" i="8"/>
  <c r="H60" i="8"/>
  <c r="I60" i="8"/>
  <c r="J60" i="8"/>
  <c r="D61" i="8"/>
  <c r="E61" i="8"/>
  <c r="F61" i="8"/>
  <c r="G61" i="8"/>
  <c r="H61" i="8"/>
  <c r="I61" i="8"/>
  <c r="J61" i="8"/>
  <c r="D62" i="8"/>
  <c r="E62" i="8"/>
  <c r="F62" i="8"/>
  <c r="G62" i="8"/>
  <c r="H62" i="8"/>
  <c r="I62" i="8"/>
  <c r="J62" i="8"/>
  <c r="D63" i="8"/>
  <c r="E63" i="8"/>
  <c r="F63" i="8"/>
  <c r="G63" i="8"/>
  <c r="H63" i="8"/>
  <c r="I63" i="8"/>
  <c r="J63" i="8"/>
  <c r="D64" i="8"/>
  <c r="E64" i="8"/>
  <c r="F64" i="8"/>
  <c r="G64" i="8"/>
  <c r="H64" i="8"/>
  <c r="I64" i="8"/>
  <c r="J64" i="8"/>
  <c r="D65" i="8"/>
  <c r="E65" i="8"/>
  <c r="F65" i="8"/>
  <c r="G65" i="8"/>
  <c r="H65" i="8"/>
  <c r="I65" i="8"/>
  <c r="J65" i="8"/>
  <c r="D66" i="8"/>
  <c r="E66" i="8"/>
  <c r="F66" i="8"/>
  <c r="G66" i="8"/>
  <c r="H66" i="8"/>
  <c r="I66" i="8"/>
  <c r="J66" i="8"/>
  <c r="D67" i="8"/>
  <c r="E67" i="8"/>
  <c r="F67" i="8"/>
  <c r="G67" i="8"/>
  <c r="H67" i="8"/>
  <c r="I67" i="8"/>
  <c r="J67" i="8"/>
  <c r="D68" i="8"/>
  <c r="E68" i="8"/>
  <c r="F68" i="8"/>
  <c r="G68" i="8"/>
  <c r="H68" i="8"/>
  <c r="I68" i="8"/>
  <c r="J68" i="8"/>
  <c r="D69" i="8"/>
  <c r="E69" i="8"/>
  <c r="F69" i="8"/>
  <c r="G69" i="8"/>
  <c r="H69" i="8"/>
  <c r="I69" i="8"/>
  <c r="J69" i="8"/>
  <c r="D70" i="8"/>
  <c r="E70" i="8"/>
  <c r="F70" i="8"/>
  <c r="G70" i="8"/>
  <c r="H70" i="8"/>
  <c r="I70" i="8"/>
  <c r="J70" i="8"/>
  <c r="D71" i="8"/>
  <c r="E71" i="8"/>
  <c r="F71" i="8"/>
  <c r="G71" i="8"/>
  <c r="H71" i="8"/>
  <c r="I71" i="8"/>
  <c r="J71" i="8"/>
  <c r="D72" i="8"/>
  <c r="E72" i="8"/>
  <c r="F72" i="8"/>
  <c r="G72" i="8"/>
  <c r="H72" i="8"/>
  <c r="I72" i="8"/>
  <c r="J72" i="8"/>
  <c r="D73" i="8"/>
  <c r="E73" i="8"/>
  <c r="F73" i="8"/>
  <c r="G73" i="8"/>
  <c r="H73" i="8"/>
  <c r="I73" i="8"/>
  <c r="J73" i="8"/>
  <c r="D74" i="8"/>
  <c r="E74" i="8"/>
  <c r="F74" i="8"/>
  <c r="G74" i="8"/>
  <c r="H74" i="8"/>
  <c r="I74" i="8"/>
  <c r="J74" i="8"/>
  <c r="D75" i="8"/>
  <c r="E75" i="8"/>
  <c r="F75" i="8"/>
  <c r="G75" i="8"/>
  <c r="H75" i="8"/>
  <c r="I75" i="8"/>
  <c r="J75" i="8"/>
  <c r="D76" i="8"/>
  <c r="E76" i="8"/>
  <c r="F76" i="8"/>
  <c r="G76" i="8"/>
  <c r="H76" i="8"/>
  <c r="I76" i="8"/>
  <c r="J76" i="8"/>
  <c r="D77" i="8"/>
  <c r="E77" i="8"/>
  <c r="F77" i="8"/>
  <c r="G77" i="8"/>
  <c r="H77" i="8"/>
  <c r="I77" i="8"/>
  <c r="J77" i="8"/>
  <c r="D78" i="8"/>
  <c r="E78" i="8"/>
  <c r="F78" i="8"/>
  <c r="G78" i="8"/>
  <c r="H78" i="8"/>
  <c r="I78" i="8"/>
  <c r="J78" i="8"/>
  <c r="D79" i="8"/>
  <c r="E79" i="8"/>
  <c r="F79" i="8"/>
  <c r="G79" i="8"/>
  <c r="H79" i="8"/>
  <c r="I79" i="8"/>
  <c r="J79" i="8"/>
  <c r="D80" i="8"/>
  <c r="E80" i="8"/>
  <c r="F80" i="8"/>
  <c r="G80" i="8"/>
  <c r="H80" i="8"/>
  <c r="I80" i="8"/>
  <c r="J80" i="8"/>
  <c r="D81" i="8"/>
  <c r="E81" i="8"/>
  <c r="F81" i="8"/>
  <c r="G81" i="8"/>
  <c r="H81" i="8"/>
  <c r="I81" i="8"/>
  <c r="J81" i="8"/>
  <c r="D82" i="8"/>
  <c r="E82" i="8"/>
  <c r="F82" i="8"/>
  <c r="G82" i="8"/>
  <c r="H82" i="8"/>
  <c r="I82" i="8"/>
  <c r="J82" i="8"/>
  <c r="D83" i="8"/>
  <c r="E83" i="8"/>
  <c r="F83" i="8"/>
  <c r="G83" i="8"/>
  <c r="H83" i="8"/>
  <c r="I83" i="8"/>
  <c r="J83" i="8"/>
  <c r="D84" i="8"/>
  <c r="E84" i="8"/>
  <c r="F84" i="8"/>
  <c r="G84" i="8"/>
  <c r="H84" i="8"/>
  <c r="I84" i="8"/>
  <c r="J84" i="8"/>
  <c r="D85" i="8"/>
  <c r="E85" i="8"/>
  <c r="F85" i="8"/>
  <c r="G85" i="8"/>
  <c r="H85" i="8"/>
  <c r="I85" i="8"/>
  <c r="J85" i="8"/>
  <c r="D86" i="8"/>
  <c r="E86" i="8"/>
  <c r="F86" i="8"/>
  <c r="G86" i="8"/>
  <c r="H86" i="8"/>
  <c r="I86" i="8"/>
  <c r="J86" i="8"/>
  <c r="D87" i="8"/>
  <c r="E87" i="8"/>
  <c r="F87" i="8"/>
  <c r="G87" i="8"/>
  <c r="H87" i="8"/>
  <c r="I87" i="8"/>
  <c r="J87" i="8"/>
  <c r="D88" i="8"/>
  <c r="E88" i="8"/>
  <c r="F88" i="8"/>
  <c r="G88" i="8"/>
  <c r="H88" i="8"/>
  <c r="I88" i="8"/>
  <c r="J88" i="8"/>
  <c r="D89" i="8"/>
  <c r="E89" i="8"/>
  <c r="F89" i="8"/>
  <c r="G89" i="8"/>
  <c r="H89" i="8"/>
  <c r="I89" i="8"/>
  <c r="J89" i="8"/>
  <c r="D90" i="8"/>
  <c r="E90" i="8"/>
  <c r="F90" i="8"/>
  <c r="G90" i="8"/>
  <c r="H90" i="8"/>
  <c r="I90" i="8"/>
  <c r="J90" i="8"/>
  <c r="D91" i="8"/>
  <c r="E91" i="8"/>
  <c r="F91" i="8"/>
  <c r="G91" i="8"/>
  <c r="H91" i="8"/>
  <c r="I91" i="8"/>
  <c r="J91" i="8"/>
  <c r="D92" i="8"/>
  <c r="E92" i="8"/>
  <c r="F92" i="8"/>
  <c r="G92" i="8"/>
  <c r="H92" i="8"/>
  <c r="I92" i="8"/>
  <c r="J92" i="8"/>
  <c r="D93" i="8"/>
  <c r="E93" i="8"/>
  <c r="F93" i="8"/>
  <c r="G93" i="8"/>
  <c r="H93" i="8"/>
  <c r="I93" i="8"/>
  <c r="J93" i="8"/>
  <c r="D94" i="8"/>
  <c r="E94" i="8"/>
  <c r="F94" i="8"/>
  <c r="G94" i="8"/>
  <c r="H94" i="8"/>
  <c r="I94" i="8"/>
  <c r="J94" i="8"/>
  <c r="D95" i="8"/>
  <c r="E95" i="8"/>
  <c r="F95" i="8"/>
  <c r="G95" i="8"/>
  <c r="H95" i="8"/>
  <c r="I95" i="8"/>
  <c r="J95" i="8"/>
  <c r="D96" i="8"/>
  <c r="E96" i="8"/>
  <c r="F96" i="8"/>
  <c r="G96" i="8"/>
  <c r="H96" i="8"/>
  <c r="I96" i="8"/>
  <c r="J96" i="8"/>
  <c r="D97" i="8"/>
  <c r="E97" i="8"/>
  <c r="F97" i="8"/>
  <c r="G97" i="8"/>
  <c r="H97" i="8"/>
  <c r="I97" i="8"/>
  <c r="J97" i="8"/>
  <c r="D98" i="8"/>
  <c r="E98" i="8"/>
  <c r="F98" i="8"/>
  <c r="G98" i="8"/>
  <c r="H98" i="8"/>
  <c r="I98" i="8"/>
  <c r="J98" i="8"/>
  <c r="D99" i="8"/>
  <c r="E99" i="8"/>
  <c r="F99" i="8"/>
  <c r="G99" i="8"/>
  <c r="H99" i="8"/>
  <c r="I99" i="8"/>
  <c r="J99" i="8"/>
  <c r="D100" i="8"/>
  <c r="E100" i="8"/>
  <c r="F100" i="8"/>
  <c r="G100" i="8"/>
  <c r="H100" i="8"/>
  <c r="I100" i="8"/>
  <c r="J100" i="8"/>
  <c r="D101" i="8"/>
  <c r="E101" i="8"/>
  <c r="F101" i="8"/>
  <c r="G101" i="8"/>
  <c r="H101" i="8"/>
  <c r="I101" i="8"/>
  <c r="J101" i="8"/>
  <c r="D102" i="8"/>
  <c r="E102" i="8"/>
  <c r="F102" i="8"/>
  <c r="G102" i="8"/>
  <c r="H102" i="8"/>
  <c r="I102" i="8"/>
  <c r="J102" i="8"/>
  <c r="D103" i="8"/>
  <c r="E103" i="8"/>
  <c r="F103" i="8"/>
  <c r="G103" i="8"/>
  <c r="H103" i="8"/>
  <c r="I103" i="8"/>
  <c r="J103" i="8"/>
  <c r="D104" i="8"/>
  <c r="E104" i="8"/>
  <c r="F104" i="8"/>
  <c r="G104" i="8"/>
  <c r="H104" i="8"/>
  <c r="I104" i="8"/>
  <c r="J104" i="8"/>
  <c r="D105" i="8"/>
  <c r="E105" i="8"/>
  <c r="F105" i="8"/>
  <c r="G105" i="8"/>
  <c r="H105" i="8"/>
  <c r="I105" i="8"/>
  <c r="J105" i="8"/>
  <c r="D106" i="8"/>
  <c r="E106" i="8"/>
  <c r="F106" i="8"/>
  <c r="G106" i="8"/>
  <c r="H106" i="8"/>
  <c r="I106" i="8"/>
  <c r="J106" i="8"/>
  <c r="D107" i="8"/>
  <c r="E107" i="8"/>
  <c r="F107" i="8"/>
  <c r="G107" i="8"/>
  <c r="H107" i="8"/>
  <c r="I107" i="8"/>
  <c r="J107" i="8"/>
  <c r="D108" i="8"/>
  <c r="E108" i="8"/>
  <c r="F108" i="8"/>
  <c r="G108" i="8"/>
  <c r="H108" i="8"/>
  <c r="I108" i="8"/>
  <c r="J108" i="8"/>
  <c r="D109" i="8"/>
  <c r="E109" i="8"/>
  <c r="F109" i="8"/>
  <c r="G109" i="8"/>
  <c r="H109" i="8"/>
  <c r="I109" i="8"/>
  <c r="J109" i="8"/>
  <c r="D110" i="8"/>
  <c r="E110" i="8"/>
  <c r="F110" i="8"/>
  <c r="G110" i="8"/>
  <c r="H110" i="8"/>
  <c r="I110" i="8"/>
  <c r="J110" i="8"/>
  <c r="D111" i="8"/>
  <c r="E111" i="8"/>
  <c r="F111" i="8"/>
  <c r="G111" i="8"/>
  <c r="H111" i="8"/>
  <c r="I111" i="8"/>
  <c r="J111" i="8"/>
  <c r="D112" i="8"/>
  <c r="E112" i="8"/>
  <c r="F112" i="8"/>
  <c r="G112" i="8"/>
  <c r="H112" i="8"/>
  <c r="I112" i="8"/>
  <c r="J112" i="8"/>
  <c r="D113" i="8"/>
  <c r="E113" i="8"/>
  <c r="F113" i="8"/>
  <c r="G113" i="8"/>
  <c r="H113" i="8"/>
  <c r="I113" i="8"/>
  <c r="J113" i="8"/>
  <c r="D114" i="8"/>
  <c r="E114" i="8"/>
  <c r="F114" i="8"/>
  <c r="G114" i="8"/>
  <c r="H114" i="8"/>
  <c r="I114" i="8"/>
  <c r="J114" i="8"/>
  <c r="D115" i="8"/>
  <c r="E115" i="8"/>
  <c r="F115" i="8"/>
  <c r="G115" i="8"/>
  <c r="H115" i="8"/>
  <c r="I115" i="8"/>
  <c r="J115" i="8"/>
  <c r="D116" i="8"/>
  <c r="E116" i="8"/>
  <c r="F116" i="8"/>
  <c r="G116" i="8"/>
  <c r="H116" i="8"/>
  <c r="I116" i="8"/>
  <c r="J116" i="8"/>
  <c r="D117" i="8"/>
  <c r="E117" i="8"/>
  <c r="F117" i="8"/>
  <c r="G117" i="8"/>
  <c r="H117" i="8"/>
  <c r="I117" i="8"/>
  <c r="J117" i="8"/>
  <c r="D118" i="8"/>
  <c r="E118" i="8"/>
  <c r="F118" i="8"/>
  <c r="G118" i="8"/>
  <c r="H118" i="8"/>
  <c r="I118" i="8"/>
  <c r="J118" i="8"/>
  <c r="D119" i="8"/>
  <c r="E119" i="8"/>
  <c r="F119" i="8"/>
  <c r="G119" i="8"/>
  <c r="H119" i="8"/>
  <c r="I119" i="8"/>
  <c r="J119" i="8"/>
  <c r="D120" i="8"/>
  <c r="E120" i="8"/>
  <c r="F120" i="8"/>
  <c r="G120" i="8"/>
  <c r="H120" i="8"/>
  <c r="I120" i="8"/>
  <c r="J120" i="8"/>
  <c r="D121" i="8"/>
  <c r="E121" i="8"/>
  <c r="F121" i="8"/>
  <c r="G121" i="8"/>
  <c r="H121" i="8"/>
  <c r="I121" i="8"/>
  <c r="J121" i="8"/>
  <c r="D122" i="8"/>
  <c r="E122" i="8"/>
  <c r="F122" i="8"/>
  <c r="G122" i="8"/>
  <c r="H122" i="8"/>
  <c r="I122" i="8"/>
  <c r="J122" i="8"/>
  <c r="D123" i="8"/>
  <c r="E123" i="8"/>
  <c r="F123" i="8"/>
  <c r="G123" i="8"/>
  <c r="H123" i="8"/>
  <c r="I123" i="8"/>
  <c r="J123" i="8"/>
  <c r="D124" i="8"/>
  <c r="E124" i="8"/>
  <c r="F124" i="8"/>
  <c r="G124" i="8"/>
  <c r="H124" i="8"/>
  <c r="I124" i="8"/>
  <c r="J124" i="8"/>
  <c r="D125" i="8"/>
  <c r="E125" i="8"/>
  <c r="F125" i="8"/>
  <c r="G125" i="8"/>
  <c r="H125" i="8"/>
  <c r="I125" i="8"/>
  <c r="J125" i="8"/>
  <c r="D126" i="8"/>
  <c r="E126" i="8"/>
  <c r="F126" i="8"/>
  <c r="G126" i="8"/>
  <c r="H126" i="8"/>
  <c r="I126" i="8"/>
  <c r="J126" i="8"/>
  <c r="D127" i="8"/>
  <c r="E127" i="8"/>
  <c r="F127" i="8"/>
  <c r="G127" i="8"/>
  <c r="H127" i="8"/>
  <c r="I127" i="8"/>
  <c r="J127" i="8"/>
  <c r="D128" i="8"/>
  <c r="E128" i="8"/>
  <c r="F128" i="8"/>
  <c r="G128" i="8"/>
  <c r="H128" i="8"/>
  <c r="I128" i="8"/>
  <c r="J128" i="8"/>
  <c r="D129" i="8"/>
  <c r="E129" i="8"/>
  <c r="F129" i="8"/>
  <c r="G129" i="8"/>
  <c r="H129" i="8"/>
  <c r="I129" i="8"/>
  <c r="J129" i="8"/>
  <c r="D130" i="8"/>
  <c r="E130" i="8"/>
  <c r="F130" i="8"/>
  <c r="G130" i="8"/>
  <c r="H130" i="8"/>
  <c r="I130" i="8"/>
  <c r="J130" i="8"/>
  <c r="D131" i="8"/>
  <c r="E131" i="8"/>
  <c r="F131" i="8"/>
  <c r="G131" i="8"/>
  <c r="H131" i="8"/>
  <c r="I131" i="8"/>
  <c r="J131" i="8"/>
  <c r="D132" i="8"/>
  <c r="E132" i="8"/>
  <c r="F132" i="8"/>
  <c r="G132" i="8"/>
  <c r="H132" i="8"/>
  <c r="I132" i="8"/>
  <c r="J132" i="8"/>
  <c r="D133" i="8"/>
  <c r="E133" i="8"/>
  <c r="F133" i="8"/>
  <c r="G133" i="8"/>
  <c r="H133" i="8"/>
  <c r="I133" i="8"/>
  <c r="J133" i="8"/>
  <c r="D134" i="8"/>
  <c r="E134" i="8"/>
  <c r="F134" i="8"/>
  <c r="G134" i="8"/>
  <c r="H134" i="8"/>
  <c r="I134" i="8"/>
  <c r="J134" i="8"/>
  <c r="D135" i="8"/>
  <c r="E135" i="8"/>
  <c r="F135" i="8"/>
  <c r="G135" i="8"/>
  <c r="H135" i="8"/>
  <c r="I135" i="8"/>
  <c r="J135" i="8"/>
  <c r="D136" i="8"/>
  <c r="E136" i="8"/>
  <c r="F136" i="8"/>
  <c r="G136" i="8"/>
  <c r="H136" i="8"/>
  <c r="I136" i="8"/>
  <c r="J136" i="8"/>
  <c r="D137" i="8"/>
  <c r="E137" i="8"/>
  <c r="F137" i="8"/>
  <c r="G137" i="8"/>
  <c r="H137" i="8"/>
  <c r="I137" i="8"/>
  <c r="J137" i="8"/>
  <c r="D138" i="8"/>
  <c r="E138" i="8"/>
  <c r="F138" i="8"/>
  <c r="G138" i="8"/>
  <c r="H138" i="8"/>
  <c r="I138" i="8"/>
  <c r="J138" i="8"/>
  <c r="D139" i="8"/>
  <c r="E139" i="8"/>
  <c r="F139" i="8"/>
  <c r="G139" i="8"/>
  <c r="H139" i="8"/>
  <c r="I139" i="8"/>
  <c r="J139" i="8"/>
  <c r="D140" i="8"/>
  <c r="E140" i="8"/>
  <c r="F140" i="8"/>
  <c r="G140" i="8"/>
  <c r="H140" i="8"/>
  <c r="I140" i="8"/>
  <c r="J140" i="8"/>
  <c r="D141" i="8"/>
  <c r="E141" i="8"/>
  <c r="F141" i="8"/>
  <c r="G141" i="8"/>
  <c r="H141" i="8"/>
  <c r="I141" i="8"/>
  <c r="J141" i="8"/>
  <c r="D142" i="8"/>
  <c r="E142" i="8"/>
  <c r="F142" i="8"/>
  <c r="G142" i="8"/>
  <c r="H142" i="8"/>
  <c r="I142" i="8"/>
  <c r="J142" i="8"/>
  <c r="D143" i="8"/>
  <c r="E143" i="8"/>
  <c r="F143" i="8"/>
  <c r="G143" i="8"/>
  <c r="H143" i="8"/>
  <c r="I143" i="8"/>
  <c r="J143" i="8"/>
  <c r="D144" i="8"/>
  <c r="E144" i="8"/>
  <c r="F144" i="8"/>
  <c r="G144" i="8"/>
  <c r="H144" i="8"/>
  <c r="I144" i="8"/>
  <c r="J144" i="8"/>
  <c r="D145" i="8"/>
  <c r="E145" i="8"/>
  <c r="F145" i="8"/>
  <c r="G145" i="8"/>
  <c r="H145" i="8"/>
  <c r="I145" i="8"/>
  <c r="J145" i="8"/>
  <c r="D146" i="8"/>
  <c r="E146" i="8"/>
  <c r="F146" i="8"/>
  <c r="G146" i="8"/>
  <c r="H146" i="8"/>
  <c r="I146" i="8"/>
  <c r="J146" i="8"/>
  <c r="D147" i="8"/>
  <c r="E147" i="8"/>
  <c r="F147" i="8"/>
  <c r="G147" i="8"/>
  <c r="H147" i="8"/>
  <c r="I147" i="8"/>
  <c r="J147" i="8"/>
  <c r="D148" i="8"/>
  <c r="E148" i="8"/>
  <c r="F148" i="8"/>
  <c r="G148" i="8"/>
  <c r="H148" i="8"/>
  <c r="I148" i="8"/>
  <c r="J148" i="8"/>
  <c r="D149" i="8"/>
  <c r="E149" i="8"/>
  <c r="F149" i="8"/>
  <c r="G149" i="8"/>
  <c r="H149" i="8"/>
  <c r="I149" i="8"/>
  <c r="J149" i="8"/>
  <c r="D150" i="8"/>
  <c r="E150" i="8"/>
  <c r="F150" i="8"/>
  <c r="G150" i="8"/>
  <c r="H150" i="8"/>
  <c r="I150" i="8"/>
  <c r="J150" i="8"/>
  <c r="D151" i="8"/>
  <c r="E151" i="8"/>
  <c r="F151" i="8"/>
  <c r="G151" i="8"/>
  <c r="H151" i="8"/>
  <c r="I151" i="8"/>
  <c r="J151" i="8"/>
  <c r="D152" i="8"/>
  <c r="E152" i="8"/>
  <c r="F152" i="8"/>
  <c r="G152" i="8"/>
  <c r="H152" i="8"/>
  <c r="I152" i="8"/>
  <c r="J152" i="8"/>
  <c r="D153" i="8"/>
  <c r="E153" i="8"/>
  <c r="F153" i="8"/>
  <c r="G153" i="8"/>
  <c r="H153" i="8"/>
  <c r="I153" i="8"/>
  <c r="J153" i="8"/>
  <c r="D154" i="8"/>
  <c r="E154" i="8"/>
  <c r="F154" i="8"/>
  <c r="G154" i="8"/>
  <c r="H154" i="8"/>
  <c r="I154" i="8"/>
  <c r="J154" i="8"/>
  <c r="D155" i="8"/>
  <c r="E155" i="8"/>
  <c r="F155" i="8"/>
  <c r="G155" i="8"/>
  <c r="H155" i="8"/>
  <c r="I155" i="8"/>
  <c r="J155" i="8"/>
  <c r="D156" i="8"/>
  <c r="E156" i="8"/>
  <c r="F156" i="8"/>
  <c r="G156" i="8"/>
  <c r="H156" i="8"/>
  <c r="I156" i="8"/>
  <c r="J156" i="8"/>
  <c r="D157" i="8"/>
  <c r="E157" i="8"/>
  <c r="F157" i="8"/>
  <c r="G157" i="8"/>
  <c r="H157" i="8"/>
  <c r="I157" i="8"/>
  <c r="J157" i="8"/>
  <c r="D158" i="8"/>
  <c r="E158" i="8"/>
  <c r="F158" i="8"/>
  <c r="G158" i="8"/>
  <c r="H158" i="8"/>
  <c r="I158" i="8"/>
  <c r="J158" i="8"/>
  <c r="D159" i="8"/>
  <c r="E159" i="8"/>
  <c r="F159" i="8"/>
  <c r="G159" i="8"/>
  <c r="H159" i="8"/>
  <c r="I159" i="8"/>
  <c r="J159" i="8"/>
  <c r="D160" i="8"/>
  <c r="E160" i="8"/>
  <c r="F160" i="8"/>
  <c r="G160" i="8"/>
  <c r="H160" i="8"/>
  <c r="I160" i="8"/>
  <c r="J160" i="8"/>
  <c r="D161" i="8"/>
  <c r="E161" i="8"/>
  <c r="F161" i="8"/>
  <c r="G161" i="8"/>
  <c r="H161" i="8"/>
  <c r="I161" i="8"/>
  <c r="J161" i="8"/>
  <c r="D162" i="8"/>
  <c r="E162" i="8"/>
  <c r="F162" i="8"/>
  <c r="G162" i="8"/>
  <c r="H162" i="8"/>
  <c r="I162" i="8"/>
  <c r="J162" i="8"/>
  <c r="D163" i="8"/>
  <c r="E163" i="8"/>
  <c r="F163" i="8"/>
  <c r="G163" i="8"/>
  <c r="H163" i="8"/>
  <c r="I163" i="8"/>
  <c r="J163" i="8"/>
  <c r="D164" i="8"/>
  <c r="E164" i="8"/>
  <c r="F164" i="8"/>
  <c r="G164" i="8"/>
  <c r="H164" i="8"/>
  <c r="I164" i="8"/>
  <c r="J164" i="8"/>
  <c r="D165" i="8"/>
  <c r="E165" i="8"/>
  <c r="F165" i="8"/>
  <c r="G165" i="8"/>
  <c r="H165" i="8"/>
  <c r="I165" i="8"/>
  <c r="J165" i="8"/>
  <c r="D166" i="8"/>
  <c r="E166" i="8"/>
  <c r="F166" i="8"/>
  <c r="G166" i="8"/>
  <c r="H166" i="8"/>
  <c r="I166" i="8"/>
  <c r="J166" i="8"/>
  <c r="D167" i="8"/>
  <c r="E167" i="8"/>
  <c r="F167" i="8"/>
  <c r="G167" i="8"/>
  <c r="H167" i="8"/>
  <c r="I167" i="8"/>
  <c r="J167" i="8"/>
  <c r="D168" i="8"/>
  <c r="E168" i="8"/>
  <c r="F168" i="8"/>
  <c r="G168" i="8"/>
  <c r="H168" i="8"/>
  <c r="I168" i="8"/>
  <c r="J168" i="8"/>
  <c r="D169" i="8"/>
  <c r="E169" i="8"/>
  <c r="F169" i="8"/>
  <c r="G169" i="8"/>
  <c r="H169" i="8"/>
  <c r="I169" i="8"/>
  <c r="J169" i="8"/>
  <c r="D170" i="8"/>
  <c r="E170" i="8"/>
  <c r="F170" i="8"/>
  <c r="G170" i="8"/>
  <c r="H170" i="8"/>
  <c r="I170" i="8"/>
  <c r="J170" i="8"/>
  <c r="D171" i="8"/>
  <c r="E171" i="8"/>
  <c r="F171" i="8"/>
  <c r="G171" i="8"/>
  <c r="H171" i="8"/>
  <c r="I171" i="8"/>
  <c r="J171" i="8"/>
  <c r="D172" i="8"/>
  <c r="E172" i="8"/>
  <c r="F172" i="8"/>
  <c r="G172" i="8"/>
  <c r="H172" i="8"/>
  <c r="I172" i="8"/>
  <c r="J172" i="8"/>
  <c r="D173" i="8"/>
  <c r="E173" i="8"/>
  <c r="F173" i="8"/>
  <c r="G173" i="8"/>
  <c r="H173" i="8"/>
  <c r="I173" i="8"/>
  <c r="J173" i="8"/>
  <c r="D174" i="8"/>
  <c r="E174" i="8"/>
  <c r="F174" i="8"/>
  <c r="G174" i="8"/>
  <c r="H174" i="8"/>
  <c r="I174" i="8"/>
  <c r="J174" i="8"/>
  <c r="D175" i="8"/>
  <c r="E175" i="8"/>
  <c r="F175" i="8"/>
  <c r="G175" i="8"/>
  <c r="H175" i="8"/>
  <c r="I175" i="8"/>
  <c r="J175" i="8"/>
  <c r="D176" i="8"/>
  <c r="E176" i="8"/>
  <c r="F176" i="8"/>
  <c r="G176" i="8"/>
  <c r="H176" i="8"/>
  <c r="I176" i="8"/>
  <c r="J176" i="8"/>
  <c r="E57" i="8"/>
  <c r="F57" i="8"/>
  <c r="G57" i="8"/>
  <c r="H57" i="8"/>
  <c r="I57" i="8"/>
  <c r="J57" i="8"/>
  <c r="D57" i="8"/>
  <c r="F144" i="7"/>
  <c r="C531" i="7"/>
  <c r="C532" i="7"/>
  <c r="C533" i="7"/>
  <c r="C534" i="7"/>
  <c r="C535" i="7"/>
  <c r="C536" i="7"/>
  <c r="C537" i="7"/>
  <c r="D537" i="7" s="1"/>
  <c r="C530" i="7"/>
  <c r="C605" i="7"/>
  <c r="C606" i="7"/>
  <c r="C607" i="7"/>
  <c r="C608" i="7"/>
  <c r="C609" i="7"/>
  <c r="C610" i="7"/>
  <c r="C611" i="7"/>
  <c r="D611" i="7" s="1"/>
  <c r="C604" i="7"/>
  <c r="C593" i="7"/>
  <c r="C594" i="7"/>
  <c r="C595" i="7"/>
  <c r="C596" i="7"/>
  <c r="C597" i="7"/>
  <c r="C598" i="7"/>
  <c r="C599" i="7"/>
  <c r="D599" i="7" s="1"/>
  <c r="C592" i="7"/>
  <c r="C581" i="7"/>
  <c r="C582" i="7"/>
  <c r="C583" i="7"/>
  <c r="C584" i="7"/>
  <c r="C585" i="7"/>
  <c r="C586" i="7"/>
  <c r="C587" i="7"/>
  <c r="D587" i="7" s="1"/>
  <c r="C580" i="7"/>
  <c r="C569" i="7"/>
  <c r="C570" i="7"/>
  <c r="C571" i="7"/>
  <c r="C572" i="7"/>
  <c r="C573" i="7"/>
  <c r="C574" i="7"/>
  <c r="C575" i="7"/>
  <c r="D575" i="7" s="1"/>
  <c r="C568" i="7"/>
  <c r="C557" i="7"/>
  <c r="C558" i="7"/>
  <c r="C559" i="7"/>
  <c r="C560" i="7"/>
  <c r="C561" i="7"/>
  <c r="C562" i="7"/>
  <c r="C563" i="7"/>
  <c r="D563" i="7" s="1"/>
  <c r="C556" i="7"/>
  <c r="E507" i="7"/>
  <c r="E508" i="7"/>
  <c r="I508" i="7" s="1"/>
  <c r="E509" i="7"/>
  <c r="I509" i="7" s="1"/>
  <c r="E510" i="7"/>
  <c r="E511" i="7"/>
  <c r="I511" i="7" s="1"/>
  <c r="E512" i="7"/>
  <c r="I512" i="7" s="1"/>
  <c r="E513" i="7"/>
  <c r="I513" i="7" s="1"/>
  <c r="E506" i="7"/>
  <c r="I506" i="7" s="1"/>
  <c r="D506" i="7"/>
  <c r="H506" i="7" s="1"/>
  <c r="C519" i="7"/>
  <c r="G519" i="7" s="1"/>
  <c r="D519" i="7"/>
  <c r="E519" i="7"/>
  <c r="I519" i="7" s="1"/>
  <c r="C520" i="7"/>
  <c r="G520" i="7" s="1"/>
  <c r="D520" i="7"/>
  <c r="H520" i="7" s="1"/>
  <c r="E520" i="7"/>
  <c r="I520" i="7" s="1"/>
  <c r="C521" i="7"/>
  <c r="G521" i="7" s="1"/>
  <c r="D521" i="7"/>
  <c r="H521" i="7" s="1"/>
  <c r="E521" i="7"/>
  <c r="I521" i="7" s="1"/>
  <c r="C522" i="7"/>
  <c r="G522" i="7" s="1"/>
  <c r="D522" i="7"/>
  <c r="H522" i="7" s="1"/>
  <c r="E522" i="7"/>
  <c r="C523" i="7"/>
  <c r="G523" i="7" s="1"/>
  <c r="D523" i="7"/>
  <c r="H523" i="7" s="1"/>
  <c r="E523" i="7"/>
  <c r="C524" i="7"/>
  <c r="G524" i="7" s="1"/>
  <c r="D524" i="7"/>
  <c r="H524" i="7" s="1"/>
  <c r="E524" i="7"/>
  <c r="I524" i="7" s="1"/>
  <c r="C525" i="7"/>
  <c r="G525" i="7" s="1"/>
  <c r="D525" i="7"/>
  <c r="H525" i="7" s="1"/>
  <c r="E525" i="7"/>
  <c r="I525" i="7" s="1"/>
  <c r="E518" i="7"/>
  <c r="I518" i="7" s="1"/>
  <c r="D518" i="7"/>
  <c r="C518" i="7"/>
  <c r="D507" i="7"/>
  <c r="H507" i="7" s="1"/>
  <c r="D508" i="7"/>
  <c r="H508" i="7" s="1"/>
  <c r="D509" i="7"/>
  <c r="H509" i="7" s="1"/>
  <c r="D510" i="7"/>
  <c r="H510" i="7" s="1"/>
  <c r="D511" i="7"/>
  <c r="H511" i="7" s="1"/>
  <c r="D512" i="7"/>
  <c r="H512" i="7" s="1"/>
  <c r="D513" i="7"/>
  <c r="H513" i="7" s="1"/>
  <c r="C507" i="7"/>
  <c r="G507" i="7" s="1"/>
  <c r="C508" i="7"/>
  <c r="G508" i="7" s="1"/>
  <c r="C509" i="7"/>
  <c r="G509" i="7" s="1"/>
  <c r="C510" i="7"/>
  <c r="G510" i="7" s="1"/>
  <c r="C511" i="7"/>
  <c r="G511" i="7" s="1"/>
  <c r="C512" i="7"/>
  <c r="G512" i="7" s="1"/>
  <c r="C513" i="7"/>
  <c r="G513" i="7" s="1"/>
  <c r="C506" i="7"/>
  <c r="E494" i="7"/>
  <c r="E495" i="7"/>
  <c r="I495" i="7" s="1"/>
  <c r="E496" i="7"/>
  <c r="I496" i="7" s="1"/>
  <c r="E497" i="7"/>
  <c r="I497" i="7" s="1"/>
  <c r="E498" i="7"/>
  <c r="I498" i="7" s="1"/>
  <c r="E499" i="7"/>
  <c r="I499" i="7" s="1"/>
  <c r="E500" i="7"/>
  <c r="I500" i="7" s="1"/>
  <c r="E493" i="7"/>
  <c r="D494" i="7"/>
  <c r="H494" i="7" s="1"/>
  <c r="D495" i="7"/>
  <c r="H495" i="7" s="1"/>
  <c r="D496" i="7"/>
  <c r="H496" i="7" s="1"/>
  <c r="D497" i="7"/>
  <c r="H497" i="7" s="1"/>
  <c r="D498" i="7"/>
  <c r="H498" i="7" s="1"/>
  <c r="D499" i="7"/>
  <c r="H499" i="7" s="1"/>
  <c r="D500" i="7"/>
  <c r="H500" i="7" s="1"/>
  <c r="D493" i="7"/>
  <c r="C494" i="7"/>
  <c r="G494" i="7" s="1"/>
  <c r="C495" i="7"/>
  <c r="G495" i="7" s="1"/>
  <c r="C496" i="7"/>
  <c r="G496" i="7" s="1"/>
  <c r="C497" i="7"/>
  <c r="F497" i="7" s="1"/>
  <c r="C498" i="7"/>
  <c r="G498" i="7" s="1"/>
  <c r="C499" i="7"/>
  <c r="G499" i="7" s="1"/>
  <c r="C500" i="7"/>
  <c r="G500" i="7" s="1"/>
  <c r="C493" i="7"/>
  <c r="G493" i="7" s="1"/>
  <c r="C470" i="7"/>
  <c r="C471" i="7"/>
  <c r="C472" i="7"/>
  <c r="C473" i="7"/>
  <c r="C474" i="7"/>
  <c r="C475" i="7"/>
  <c r="C476" i="7"/>
  <c r="D476" i="7" s="1"/>
  <c r="C469" i="7"/>
  <c r="C458" i="7"/>
  <c r="C459" i="7"/>
  <c r="C460" i="7"/>
  <c r="C461" i="7"/>
  <c r="C462" i="7"/>
  <c r="C463" i="7"/>
  <c r="C464" i="7"/>
  <c r="D464" i="7" s="1"/>
  <c r="C457" i="7"/>
  <c r="C446" i="7"/>
  <c r="C447" i="7"/>
  <c r="C448" i="7"/>
  <c r="C449" i="7"/>
  <c r="C450" i="7"/>
  <c r="C451" i="7"/>
  <c r="C452" i="7"/>
  <c r="D452" i="7" s="1"/>
  <c r="C445" i="7"/>
  <c r="C434" i="7"/>
  <c r="C435" i="7"/>
  <c r="C436" i="7"/>
  <c r="C437" i="7"/>
  <c r="C438" i="7"/>
  <c r="C439" i="7"/>
  <c r="C440" i="7"/>
  <c r="D440" i="7" s="1"/>
  <c r="C433" i="7"/>
  <c r="C422" i="7"/>
  <c r="C423" i="7"/>
  <c r="C424" i="7"/>
  <c r="C425" i="7"/>
  <c r="C426" i="7"/>
  <c r="C427" i="7"/>
  <c r="C428" i="7"/>
  <c r="D428" i="7" s="1"/>
  <c r="C421" i="7"/>
  <c r="C410" i="7"/>
  <c r="C411" i="7"/>
  <c r="C412" i="7"/>
  <c r="D412" i="7" s="1"/>
  <c r="C413" i="7"/>
  <c r="C414" i="7"/>
  <c r="D414" i="7" s="1"/>
  <c r="C415" i="7"/>
  <c r="C416" i="7"/>
  <c r="D416" i="7" s="1"/>
  <c r="C409" i="7"/>
  <c r="C397" i="7"/>
  <c r="C398" i="7"/>
  <c r="C399" i="7"/>
  <c r="C400" i="7"/>
  <c r="D400" i="7" s="1"/>
  <c r="C401" i="7"/>
  <c r="C402" i="7"/>
  <c r="D402" i="7" s="1"/>
  <c r="C403" i="7"/>
  <c r="D403" i="7" s="1"/>
  <c r="C396" i="7"/>
  <c r="C385" i="7"/>
  <c r="C386" i="7"/>
  <c r="C387" i="7"/>
  <c r="D387" i="7" s="1"/>
  <c r="C388" i="7"/>
  <c r="C389" i="7"/>
  <c r="D389" i="7" s="1"/>
  <c r="C390" i="7"/>
  <c r="C391" i="7"/>
  <c r="D391" i="7" s="1"/>
  <c r="C384" i="7"/>
  <c r="C373" i="7"/>
  <c r="C374" i="7"/>
  <c r="C375" i="7"/>
  <c r="C376" i="7"/>
  <c r="C377" i="7"/>
  <c r="C378" i="7"/>
  <c r="C379" i="7"/>
  <c r="D379" i="7" s="1"/>
  <c r="C372" i="7"/>
  <c r="C361" i="7"/>
  <c r="C362" i="7"/>
  <c r="C363" i="7"/>
  <c r="D363" i="7" s="1"/>
  <c r="C364" i="7"/>
  <c r="C365" i="7"/>
  <c r="D365" i="7" s="1"/>
  <c r="C366" i="7"/>
  <c r="C367" i="7"/>
  <c r="D367" i="7" s="1"/>
  <c r="C360" i="7"/>
  <c r="C349" i="7"/>
  <c r="C350" i="7"/>
  <c r="C351" i="7"/>
  <c r="C352" i="7"/>
  <c r="C353" i="7"/>
  <c r="C354" i="7"/>
  <c r="C355" i="7"/>
  <c r="D355" i="7" s="1"/>
  <c r="C348" i="7"/>
  <c r="C337" i="7"/>
  <c r="C338" i="7"/>
  <c r="C339" i="7"/>
  <c r="C340" i="7"/>
  <c r="C341" i="7"/>
  <c r="C342" i="7"/>
  <c r="C343" i="7"/>
  <c r="D343" i="7" s="1"/>
  <c r="C336" i="7"/>
  <c r="C312" i="7"/>
  <c r="C313" i="7"/>
  <c r="C314" i="7"/>
  <c r="C315" i="7"/>
  <c r="C316" i="7"/>
  <c r="C317" i="7"/>
  <c r="C318" i="7"/>
  <c r="D318" i="7" s="1"/>
  <c r="C311" i="7"/>
  <c r="C300" i="7"/>
  <c r="C301" i="7"/>
  <c r="C302" i="7"/>
  <c r="C303" i="7"/>
  <c r="C304" i="7"/>
  <c r="C305" i="7"/>
  <c r="C306" i="7"/>
  <c r="D306" i="7" s="1"/>
  <c r="C299" i="7"/>
  <c r="C288" i="7"/>
  <c r="C289" i="7"/>
  <c r="C290" i="7"/>
  <c r="C291" i="7"/>
  <c r="C292" i="7"/>
  <c r="C293" i="7"/>
  <c r="C294" i="7"/>
  <c r="D294" i="7" s="1"/>
  <c r="C287" i="7"/>
  <c r="C276" i="7"/>
  <c r="D276" i="7" s="1"/>
  <c r="C277" i="7"/>
  <c r="C278" i="7"/>
  <c r="D278" i="7" s="1"/>
  <c r="C279" i="7"/>
  <c r="C280" i="7"/>
  <c r="D280" i="7" s="1"/>
  <c r="C281" i="7"/>
  <c r="C282" i="7"/>
  <c r="D282" i="7" s="1"/>
  <c r="C275" i="7"/>
  <c r="C264" i="7"/>
  <c r="C265" i="7"/>
  <c r="C266" i="7"/>
  <c r="C267" i="7"/>
  <c r="C268" i="7"/>
  <c r="C269" i="7"/>
  <c r="C263" i="7"/>
  <c r="C270" i="7"/>
  <c r="D270" i="7" s="1"/>
  <c r="E211" i="7"/>
  <c r="I211" i="7" s="1"/>
  <c r="E212" i="7"/>
  <c r="I212" i="7" s="1"/>
  <c r="E213" i="7"/>
  <c r="I213" i="7" s="1"/>
  <c r="E214" i="7"/>
  <c r="I214" i="7" s="1"/>
  <c r="E215" i="7"/>
  <c r="I215" i="7" s="1"/>
  <c r="E216" i="7"/>
  <c r="I216" i="7" s="1"/>
  <c r="E217" i="7"/>
  <c r="I217" i="7" s="1"/>
  <c r="E210" i="7"/>
  <c r="I210" i="7" s="1"/>
  <c r="E224" i="7"/>
  <c r="I224" i="7" s="1"/>
  <c r="E225" i="7"/>
  <c r="I225" i="7" s="1"/>
  <c r="E226" i="7"/>
  <c r="I226" i="7" s="1"/>
  <c r="E227" i="7"/>
  <c r="I227" i="7" s="1"/>
  <c r="E228" i="7"/>
  <c r="I228" i="7" s="1"/>
  <c r="E229" i="7"/>
  <c r="I229" i="7" s="1"/>
  <c r="E230" i="7"/>
  <c r="I230" i="7" s="1"/>
  <c r="E223" i="7"/>
  <c r="I223" i="7" s="1"/>
  <c r="E236" i="7"/>
  <c r="I236" i="7" s="1"/>
  <c r="E237" i="7"/>
  <c r="I237" i="7" s="1"/>
  <c r="E238" i="7"/>
  <c r="I238" i="7" s="1"/>
  <c r="E239" i="7"/>
  <c r="I239" i="7" s="1"/>
  <c r="E240" i="7"/>
  <c r="I240" i="7" s="1"/>
  <c r="E241" i="7"/>
  <c r="I241" i="7" s="1"/>
  <c r="E242" i="7"/>
  <c r="I242" i="7" s="1"/>
  <c r="E235" i="7"/>
  <c r="I235" i="7" s="1"/>
  <c r="D236" i="7"/>
  <c r="H236" i="7" s="1"/>
  <c r="D237" i="7"/>
  <c r="H237" i="7" s="1"/>
  <c r="D238" i="7"/>
  <c r="H238" i="7" s="1"/>
  <c r="D239" i="7"/>
  <c r="H239" i="7" s="1"/>
  <c r="D240" i="7"/>
  <c r="H240" i="7" s="1"/>
  <c r="D241" i="7"/>
  <c r="H241" i="7" s="1"/>
  <c r="D242" i="7"/>
  <c r="H242" i="7" s="1"/>
  <c r="D235" i="7"/>
  <c r="H235" i="7" s="1"/>
  <c r="C236" i="7"/>
  <c r="G236" i="7" s="1"/>
  <c r="C237" i="7"/>
  <c r="G237" i="7" s="1"/>
  <c r="C238" i="7"/>
  <c r="G238" i="7" s="1"/>
  <c r="C239" i="7"/>
  <c r="G239" i="7" s="1"/>
  <c r="C240" i="7"/>
  <c r="G240" i="7" s="1"/>
  <c r="C241" i="7"/>
  <c r="G241" i="7" s="1"/>
  <c r="C242" i="7"/>
  <c r="G242" i="7" s="1"/>
  <c r="C235" i="7"/>
  <c r="G235" i="7" s="1"/>
  <c r="D224" i="7"/>
  <c r="H224" i="7" s="1"/>
  <c r="D225" i="7"/>
  <c r="H225" i="7" s="1"/>
  <c r="D226" i="7"/>
  <c r="H226" i="7" s="1"/>
  <c r="D227" i="7"/>
  <c r="H227" i="7" s="1"/>
  <c r="D228" i="7"/>
  <c r="H228" i="7" s="1"/>
  <c r="D229" i="7"/>
  <c r="H229" i="7" s="1"/>
  <c r="D230" i="7"/>
  <c r="H230" i="7" s="1"/>
  <c r="D223" i="7"/>
  <c r="H223" i="7" s="1"/>
  <c r="C224" i="7"/>
  <c r="G224" i="7" s="1"/>
  <c r="C225" i="7"/>
  <c r="G225" i="7" s="1"/>
  <c r="C226" i="7"/>
  <c r="C227" i="7"/>
  <c r="G227" i="7" s="1"/>
  <c r="C228" i="7"/>
  <c r="G228" i="7" s="1"/>
  <c r="C229" i="7"/>
  <c r="G229" i="7" s="1"/>
  <c r="C230" i="7"/>
  <c r="G230" i="7" s="1"/>
  <c r="C223" i="7"/>
  <c r="G223" i="7" s="1"/>
  <c r="D211" i="7"/>
  <c r="H211" i="7" s="1"/>
  <c r="D212" i="7"/>
  <c r="H212" i="7" s="1"/>
  <c r="D213" i="7"/>
  <c r="H213" i="7" s="1"/>
  <c r="D214" i="7"/>
  <c r="H214" i="7" s="1"/>
  <c r="D215" i="7"/>
  <c r="H215" i="7" s="1"/>
  <c r="D216" i="7"/>
  <c r="H216" i="7" s="1"/>
  <c r="D217" i="7"/>
  <c r="H217" i="7" s="1"/>
  <c r="D210" i="7"/>
  <c r="H210" i="7" s="1"/>
  <c r="BF40" i="5"/>
  <c r="C199" i="7"/>
  <c r="C200" i="7"/>
  <c r="C201" i="7"/>
  <c r="C202" i="7"/>
  <c r="C203" i="7"/>
  <c r="C204" i="7"/>
  <c r="C205" i="7"/>
  <c r="D205" i="7" s="1"/>
  <c r="C198" i="7"/>
  <c r="C187" i="7"/>
  <c r="C188" i="7"/>
  <c r="D188" i="7" s="1"/>
  <c r="C189" i="7"/>
  <c r="C190" i="7"/>
  <c r="D190" i="7" s="1"/>
  <c r="C191" i="7"/>
  <c r="C192" i="7"/>
  <c r="D192" i="7" s="1"/>
  <c r="C193" i="7"/>
  <c r="D193" i="7" s="1"/>
  <c r="C186" i="7"/>
  <c r="D186" i="7" s="1"/>
  <c r="C160" i="7"/>
  <c r="C161" i="7"/>
  <c r="D161" i="7" s="1"/>
  <c r="C162" i="7"/>
  <c r="C163" i="7"/>
  <c r="D163" i="7" s="1"/>
  <c r="C164" i="7"/>
  <c r="C165" i="7"/>
  <c r="D165" i="7" s="1"/>
  <c r="C166" i="7"/>
  <c r="D166" i="7" s="1"/>
  <c r="C159" i="7"/>
  <c r="C148" i="7"/>
  <c r="C149" i="7"/>
  <c r="D149" i="7" s="1"/>
  <c r="C150" i="7"/>
  <c r="C151" i="7"/>
  <c r="D151" i="7" s="1"/>
  <c r="C152" i="7"/>
  <c r="C153" i="7"/>
  <c r="D153" i="7" s="1"/>
  <c r="C154" i="7"/>
  <c r="D154" i="7" s="1"/>
  <c r="C147" i="7"/>
  <c r="D147" i="7" s="1"/>
  <c r="C545" i="7"/>
  <c r="C546" i="7"/>
  <c r="D546" i="7" s="1"/>
  <c r="C547" i="7"/>
  <c r="C548" i="7"/>
  <c r="D548" i="7" s="1"/>
  <c r="C549" i="7"/>
  <c r="C550" i="7"/>
  <c r="D550" i="7" s="1"/>
  <c r="C551" i="7"/>
  <c r="D551" i="7" s="1"/>
  <c r="C544" i="7"/>
  <c r="D544" i="7" s="1"/>
  <c r="C482" i="7"/>
  <c r="C483" i="7"/>
  <c r="D483" i="7" s="1"/>
  <c r="C484" i="7"/>
  <c r="C485" i="7"/>
  <c r="D485" i="7" s="1"/>
  <c r="C486" i="7"/>
  <c r="C487" i="7"/>
  <c r="C488" i="7"/>
  <c r="D488" i="7" s="1"/>
  <c r="C481" i="7"/>
  <c r="C324" i="7"/>
  <c r="C325" i="7"/>
  <c r="D325" i="7" s="1"/>
  <c r="C326" i="7"/>
  <c r="C327" i="7"/>
  <c r="D327" i="7" s="1"/>
  <c r="C328" i="7"/>
  <c r="C329" i="7"/>
  <c r="D329" i="7" s="1"/>
  <c r="C330" i="7"/>
  <c r="D330" i="7" s="1"/>
  <c r="C323" i="7"/>
  <c r="C251" i="7"/>
  <c r="C252" i="7"/>
  <c r="D252" i="7" s="1"/>
  <c r="C253" i="7"/>
  <c r="C254" i="7"/>
  <c r="D254" i="7" s="1"/>
  <c r="C255" i="7"/>
  <c r="C256" i="7"/>
  <c r="D256" i="7" s="1"/>
  <c r="C257" i="7"/>
  <c r="D257" i="7" s="1"/>
  <c r="C250" i="7"/>
  <c r="C211" i="7"/>
  <c r="C212" i="7"/>
  <c r="G212" i="7" s="1"/>
  <c r="C213" i="7"/>
  <c r="G213" i="7" s="1"/>
  <c r="C214" i="7"/>
  <c r="G214" i="7" s="1"/>
  <c r="C215" i="7"/>
  <c r="G215" i="7" s="1"/>
  <c r="C216" i="7"/>
  <c r="G216" i="7" s="1"/>
  <c r="C217" i="7"/>
  <c r="G217" i="7" s="1"/>
  <c r="C210" i="7"/>
  <c r="G210" i="7" s="1"/>
  <c r="C174" i="7"/>
  <c r="C175" i="7"/>
  <c r="D175" i="7" s="1"/>
  <c r="C176" i="7"/>
  <c r="C177" i="7"/>
  <c r="D177" i="7" s="1"/>
  <c r="C178" i="7"/>
  <c r="C179" i="7"/>
  <c r="D179" i="7" s="1"/>
  <c r="C180" i="7"/>
  <c r="D180" i="7" s="1"/>
  <c r="C173" i="7"/>
  <c r="D173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M3" i="5"/>
  <c r="AM30" i="5"/>
  <c r="AM24" i="5"/>
  <c r="AM7" i="5"/>
  <c r="AM23" i="5"/>
  <c r="AM13" i="5"/>
  <c r="AM27" i="5"/>
  <c r="AM32" i="5"/>
  <c r="AM5" i="5"/>
  <c r="AM29" i="5"/>
  <c r="AM9" i="5"/>
  <c r="AM15" i="5"/>
  <c r="AM22" i="5"/>
  <c r="AM6" i="5"/>
  <c r="AM18" i="5"/>
  <c r="AM17" i="5"/>
  <c r="AM20" i="5"/>
  <c r="AM19" i="5"/>
  <c r="AM14" i="5"/>
  <c r="AM28" i="5"/>
  <c r="AM16" i="5"/>
  <c r="AM4" i="5"/>
  <c r="AM31" i="5"/>
  <c r="AM33" i="5"/>
  <c r="AM21" i="5"/>
  <c r="AM25" i="5"/>
  <c r="AM26" i="5"/>
  <c r="AM10" i="5"/>
  <c r="AM12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H13" i="5"/>
  <c r="HH27" i="5"/>
  <c r="HH16" i="5"/>
  <c r="HH24" i="5"/>
  <c r="HH32" i="5"/>
  <c r="HH7" i="5"/>
  <c r="HH3" i="5"/>
  <c r="HH4" i="5"/>
  <c r="HH30" i="5"/>
  <c r="HH31" i="5"/>
  <c r="HH5" i="5"/>
  <c r="HH29" i="5"/>
  <c r="HH33" i="5"/>
  <c r="HH23" i="5"/>
  <c r="HH21" i="5"/>
  <c r="HH25" i="5"/>
  <c r="HH22" i="5"/>
  <c r="HH26" i="5"/>
  <c r="HH9" i="5"/>
  <c r="HH10" i="5"/>
  <c r="HH15" i="5"/>
  <c r="HH28" i="5"/>
  <c r="HH6" i="5"/>
  <c r="HH14" i="5"/>
  <c r="HH18" i="5"/>
  <c r="HH17" i="5"/>
  <c r="HH20" i="5"/>
  <c r="HH19" i="5"/>
  <c r="HH12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Q40" i="5"/>
  <c r="DP40" i="5"/>
  <c r="DO40" i="5"/>
  <c r="DN40" i="5"/>
  <c r="DM40" i="5"/>
  <c r="DL40" i="5"/>
  <c r="DK40" i="5"/>
  <c r="DJ40" i="5"/>
  <c r="DI40" i="5"/>
  <c r="DG40" i="5"/>
  <c r="DF40" i="5"/>
  <c r="DE40" i="5"/>
  <c r="DD40" i="5"/>
  <c r="DC40" i="5"/>
  <c r="DB40" i="5"/>
  <c r="DA40" i="5"/>
  <c r="CZ40" i="5"/>
  <c r="CY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E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L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HI39" i="5"/>
  <c r="HG39" i="5"/>
  <c r="HF39" i="5"/>
  <c r="HE39" i="5"/>
  <c r="HD39" i="5"/>
  <c r="HC39" i="5"/>
  <c r="HB39" i="5"/>
  <c r="HA39" i="5"/>
  <c r="GZ39" i="5"/>
  <c r="GY39" i="5"/>
  <c r="GX39" i="5"/>
  <c r="GW39" i="5"/>
  <c r="GV39" i="5"/>
  <c r="GU39" i="5"/>
  <c r="GT39" i="5"/>
  <c r="GS39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A39" i="5"/>
  <c r="FZ39" i="5"/>
  <c r="FY39" i="5"/>
  <c r="FX39" i="5"/>
  <c r="FW39" i="5"/>
  <c r="FV39" i="5"/>
  <c r="FU39" i="5"/>
  <c r="EU39" i="5"/>
  <c r="DR39" i="5"/>
  <c r="DH39" i="5"/>
  <c r="CX39" i="5"/>
  <c r="BD39" i="5"/>
  <c r="AK39" i="5"/>
  <c r="U39" i="5"/>
  <c r="HI38" i="5"/>
  <c r="HG38" i="5"/>
  <c r="HF38" i="5"/>
  <c r="HE38" i="5"/>
  <c r="HD38" i="5"/>
  <c r="HC38" i="5"/>
  <c r="HB38" i="5"/>
  <c r="HA38" i="5"/>
  <c r="GZ38" i="5"/>
  <c r="GY38" i="5"/>
  <c r="GX38" i="5"/>
  <c r="GW38" i="5"/>
  <c r="GV38" i="5"/>
  <c r="GU38" i="5"/>
  <c r="GT38" i="5"/>
  <c r="GS38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EU38" i="5"/>
  <c r="DR38" i="5"/>
  <c r="DH38" i="5"/>
  <c r="CX38" i="5"/>
  <c r="BD38" i="5"/>
  <c r="AK38" i="5"/>
  <c r="U38" i="5"/>
  <c r="HI37" i="5"/>
  <c r="HG37" i="5"/>
  <c r="HF37" i="5"/>
  <c r="HE37" i="5"/>
  <c r="HD37" i="5"/>
  <c r="HC37" i="5"/>
  <c r="HB37" i="5"/>
  <c r="HA37" i="5"/>
  <c r="GZ37" i="5"/>
  <c r="GY37" i="5"/>
  <c r="GX37" i="5"/>
  <c r="GW37" i="5"/>
  <c r="GV37" i="5"/>
  <c r="GU37" i="5"/>
  <c r="GT37" i="5"/>
  <c r="GS37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EU37" i="5"/>
  <c r="DR37" i="5"/>
  <c r="DH37" i="5"/>
  <c r="CX37" i="5"/>
  <c r="BD37" i="5"/>
  <c r="AK37" i="5"/>
  <c r="U37" i="5"/>
  <c r="B26" i="5"/>
  <c r="B25" i="5"/>
  <c r="B21" i="5"/>
  <c r="B22" i="5"/>
  <c r="B28" i="5"/>
  <c r="B14" i="5"/>
  <c r="B3" i="5"/>
  <c r="B16" i="5"/>
  <c r="B6" i="5"/>
  <c r="B33" i="5"/>
  <c r="B10" i="5"/>
  <c r="B5" i="5"/>
  <c r="B12" i="5"/>
  <c r="B19" i="5"/>
  <c r="B27" i="5"/>
  <c r="B20" i="5"/>
  <c r="B18" i="5"/>
  <c r="B17" i="5"/>
  <c r="B15" i="5"/>
  <c r="B4" i="5"/>
  <c r="B32" i="5"/>
  <c r="B9" i="5"/>
  <c r="B29" i="5"/>
  <c r="B13" i="5"/>
  <c r="B23" i="5"/>
  <c r="B7" i="5"/>
  <c r="B30" i="5"/>
  <c r="B24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EU40" i="5" l="1"/>
  <c r="GB40" i="5"/>
  <c r="GJ40" i="5"/>
  <c r="GR40" i="5"/>
  <c r="FY40" i="5"/>
  <c r="GG40" i="5"/>
  <c r="GW40" i="5"/>
  <c r="FX40" i="5"/>
  <c r="GN40" i="5"/>
  <c r="GV40" i="5"/>
  <c r="GZ40" i="5"/>
  <c r="DH40" i="5"/>
  <c r="FZ40" i="5"/>
  <c r="GH40" i="5"/>
  <c r="GX40" i="5"/>
  <c r="GI40" i="5"/>
  <c r="GQ40" i="5"/>
  <c r="GY40" i="5"/>
  <c r="FU40" i="5"/>
  <c r="GC40" i="5"/>
  <c r="GK40" i="5"/>
  <c r="GS40" i="5"/>
  <c r="HA40" i="5"/>
  <c r="GT40" i="5"/>
  <c r="FW40" i="5"/>
  <c r="GE40" i="5"/>
  <c r="GM40" i="5"/>
  <c r="GL40" i="5"/>
  <c r="FV40" i="5"/>
  <c r="GD40" i="5"/>
  <c r="A81" i="7"/>
  <c r="BD40" i="5"/>
  <c r="HB40" i="5"/>
  <c r="GO40" i="5"/>
  <c r="CX40" i="5"/>
  <c r="GP40" i="5"/>
  <c r="DR40" i="5"/>
  <c r="EL41" i="5"/>
  <c r="EE42" i="5" s="1"/>
  <c r="ET41" i="5"/>
  <c r="D49" i="8"/>
  <c r="F519" i="7"/>
  <c r="H519" i="7"/>
  <c r="J519" i="7" s="1"/>
  <c r="D526" i="7"/>
  <c r="D527" i="7" s="1"/>
  <c r="F523" i="7"/>
  <c r="D531" i="7"/>
  <c r="D533" i="7"/>
  <c r="C538" i="7"/>
  <c r="C539" i="7" s="1"/>
  <c r="K540" i="7" s="1"/>
  <c r="D535" i="7"/>
  <c r="D530" i="7"/>
  <c r="D532" i="7"/>
  <c r="D534" i="7"/>
  <c r="D536" i="7"/>
  <c r="D605" i="7"/>
  <c r="D607" i="7"/>
  <c r="D609" i="7"/>
  <c r="C612" i="7"/>
  <c r="C613" i="7" s="1"/>
  <c r="D604" i="7"/>
  <c r="D606" i="7"/>
  <c r="D608" i="7"/>
  <c r="D610" i="7"/>
  <c r="C600" i="7"/>
  <c r="C601" i="7" s="1"/>
  <c r="D593" i="7"/>
  <c r="D595" i="7"/>
  <c r="D597" i="7"/>
  <c r="D592" i="7"/>
  <c r="D594" i="7"/>
  <c r="D596" i="7"/>
  <c r="D598" i="7"/>
  <c r="D581" i="7"/>
  <c r="D583" i="7"/>
  <c r="C588" i="7"/>
  <c r="C589" i="7" s="1"/>
  <c r="D585" i="7"/>
  <c r="D580" i="7"/>
  <c r="D582" i="7"/>
  <c r="D584" i="7"/>
  <c r="D586" i="7"/>
  <c r="C576" i="7"/>
  <c r="C577" i="7" s="1"/>
  <c r="D569" i="7"/>
  <c r="D571" i="7"/>
  <c r="D573" i="7"/>
  <c r="D568" i="7"/>
  <c r="D570" i="7"/>
  <c r="D572" i="7"/>
  <c r="D574" i="7"/>
  <c r="C564" i="7"/>
  <c r="C565" i="7" s="1"/>
  <c r="D557" i="7"/>
  <c r="D559" i="7"/>
  <c r="D561" i="7"/>
  <c r="D556" i="7"/>
  <c r="D558" i="7"/>
  <c r="D560" i="7"/>
  <c r="D562" i="7"/>
  <c r="F498" i="7"/>
  <c r="F510" i="7"/>
  <c r="G497" i="7"/>
  <c r="J497" i="7" s="1"/>
  <c r="F522" i="7"/>
  <c r="E526" i="7"/>
  <c r="E527" i="7" s="1"/>
  <c r="I522" i="7"/>
  <c r="J522" i="7" s="1"/>
  <c r="J524" i="7"/>
  <c r="I523" i="7"/>
  <c r="J523" i="7" s="1"/>
  <c r="J525" i="7"/>
  <c r="J520" i="7"/>
  <c r="H518" i="7"/>
  <c r="F518" i="7"/>
  <c r="G518" i="7"/>
  <c r="J521" i="7"/>
  <c r="C526" i="7"/>
  <c r="F520" i="7"/>
  <c r="F524" i="7"/>
  <c r="F521" i="7"/>
  <c r="F525" i="7"/>
  <c r="E514" i="7"/>
  <c r="E515" i="7" s="1"/>
  <c r="I510" i="7"/>
  <c r="J510" i="7" s="1"/>
  <c r="F506" i="7"/>
  <c r="F511" i="7"/>
  <c r="J513" i="7"/>
  <c r="J509" i="7"/>
  <c r="J512" i="7"/>
  <c r="D514" i="7"/>
  <c r="D515" i="7" s="1"/>
  <c r="F507" i="7"/>
  <c r="G506" i="7"/>
  <c r="J506" i="7" s="1"/>
  <c r="J508" i="7"/>
  <c r="J511" i="7"/>
  <c r="C514" i="7"/>
  <c r="F508" i="7"/>
  <c r="F512" i="7"/>
  <c r="I507" i="7"/>
  <c r="J507" i="7" s="1"/>
  <c r="F509" i="7"/>
  <c r="F513" i="7"/>
  <c r="F494" i="7"/>
  <c r="E501" i="7"/>
  <c r="E502" i="7" s="1"/>
  <c r="F493" i="7"/>
  <c r="J499" i="7"/>
  <c r="H493" i="7"/>
  <c r="J495" i="7"/>
  <c r="I493" i="7"/>
  <c r="D501" i="7"/>
  <c r="D502" i="7" s="1"/>
  <c r="J496" i="7"/>
  <c r="J500" i="7"/>
  <c r="J498" i="7"/>
  <c r="C501" i="7"/>
  <c r="F495" i="7"/>
  <c r="F499" i="7"/>
  <c r="I494" i="7"/>
  <c r="J494" i="7" s="1"/>
  <c r="F496" i="7"/>
  <c r="F500" i="7"/>
  <c r="D470" i="7"/>
  <c r="D472" i="7"/>
  <c r="C477" i="7"/>
  <c r="C478" i="7" s="1"/>
  <c r="D474" i="7"/>
  <c r="D469" i="7"/>
  <c r="D471" i="7"/>
  <c r="D473" i="7"/>
  <c r="D475" i="7"/>
  <c r="D458" i="7"/>
  <c r="D460" i="7"/>
  <c r="D462" i="7"/>
  <c r="C465" i="7"/>
  <c r="C466" i="7" s="1"/>
  <c r="D457" i="7"/>
  <c r="D459" i="7"/>
  <c r="D461" i="7"/>
  <c r="D463" i="7"/>
  <c r="D446" i="7"/>
  <c r="D448" i="7"/>
  <c r="D450" i="7"/>
  <c r="C453" i="7"/>
  <c r="C454" i="7" s="1"/>
  <c r="D445" i="7"/>
  <c r="D447" i="7"/>
  <c r="D449" i="7"/>
  <c r="D451" i="7"/>
  <c r="C441" i="7"/>
  <c r="C442" i="7" s="1"/>
  <c r="D434" i="7"/>
  <c r="D436" i="7"/>
  <c r="D438" i="7"/>
  <c r="D433" i="7"/>
  <c r="D435" i="7"/>
  <c r="D437" i="7"/>
  <c r="D439" i="7"/>
  <c r="D422" i="7"/>
  <c r="D424" i="7"/>
  <c r="D426" i="7"/>
  <c r="C429" i="7"/>
  <c r="C430" i="7" s="1"/>
  <c r="D421" i="7"/>
  <c r="D423" i="7"/>
  <c r="D425" i="7"/>
  <c r="D427" i="7"/>
  <c r="D410" i="7"/>
  <c r="C417" i="7"/>
  <c r="C418" i="7" s="1"/>
  <c r="D409" i="7"/>
  <c r="D411" i="7"/>
  <c r="D413" i="7"/>
  <c r="D415" i="7"/>
  <c r="D385" i="7"/>
  <c r="C392" i="7"/>
  <c r="C393" i="7" s="1"/>
  <c r="D384" i="7"/>
  <c r="D386" i="7"/>
  <c r="D388" i="7"/>
  <c r="D390" i="7"/>
  <c r="D373" i="7"/>
  <c r="D375" i="7"/>
  <c r="D377" i="7"/>
  <c r="C380" i="7"/>
  <c r="C381" i="7" s="1"/>
  <c r="D372" i="7"/>
  <c r="D374" i="7"/>
  <c r="D376" i="7"/>
  <c r="D378" i="7"/>
  <c r="D361" i="7"/>
  <c r="C368" i="7"/>
  <c r="C369" i="7" s="1"/>
  <c r="D360" i="7"/>
  <c r="D362" i="7"/>
  <c r="D364" i="7"/>
  <c r="D366" i="7"/>
  <c r="C356" i="7"/>
  <c r="C357" i="7" s="1"/>
  <c r="D349" i="7"/>
  <c r="D351" i="7"/>
  <c r="D353" i="7"/>
  <c r="D348" i="7"/>
  <c r="D350" i="7"/>
  <c r="D352" i="7"/>
  <c r="D354" i="7"/>
  <c r="D337" i="7"/>
  <c r="D339" i="7"/>
  <c r="D341" i="7"/>
  <c r="C344" i="7"/>
  <c r="C345" i="7" s="1"/>
  <c r="D336" i="7"/>
  <c r="D338" i="7"/>
  <c r="D340" i="7"/>
  <c r="D342" i="7"/>
  <c r="D312" i="7"/>
  <c r="D314" i="7"/>
  <c r="D316" i="7"/>
  <c r="C319" i="7"/>
  <c r="C320" i="7" s="1"/>
  <c r="D311" i="7"/>
  <c r="D313" i="7"/>
  <c r="D315" i="7"/>
  <c r="D317" i="7"/>
  <c r="F226" i="7"/>
  <c r="D302" i="7"/>
  <c r="C307" i="7"/>
  <c r="C308" i="7" s="1"/>
  <c r="D300" i="7"/>
  <c r="D304" i="7"/>
  <c r="D299" i="7"/>
  <c r="D301" i="7"/>
  <c r="D303" i="7"/>
  <c r="D305" i="7"/>
  <c r="D288" i="7"/>
  <c r="D290" i="7"/>
  <c r="D292" i="7"/>
  <c r="C295" i="7"/>
  <c r="C296" i="7" s="1"/>
  <c r="D287" i="7"/>
  <c r="D289" i="7"/>
  <c r="D291" i="7"/>
  <c r="D293" i="7"/>
  <c r="C283" i="7"/>
  <c r="C284" i="7" s="1"/>
  <c r="D275" i="7"/>
  <c r="D277" i="7"/>
  <c r="D279" i="7"/>
  <c r="D281" i="7"/>
  <c r="J214" i="7"/>
  <c r="F211" i="7"/>
  <c r="C271" i="7"/>
  <c r="C272" i="7" s="1"/>
  <c r="D264" i="7"/>
  <c r="D266" i="7"/>
  <c r="D268" i="7"/>
  <c r="D263" i="7"/>
  <c r="D265" i="7"/>
  <c r="D267" i="7"/>
  <c r="D269" i="7"/>
  <c r="C32" i="5"/>
  <c r="HF40" i="5"/>
  <c r="C29" i="5"/>
  <c r="C9" i="5"/>
  <c r="C21" i="5"/>
  <c r="J215" i="7"/>
  <c r="G226" i="7"/>
  <c r="J226" i="7" s="1"/>
  <c r="J217" i="7"/>
  <c r="F236" i="7"/>
  <c r="J212" i="7"/>
  <c r="F224" i="7"/>
  <c r="F237" i="7"/>
  <c r="E243" i="7"/>
  <c r="E244" i="7" s="1"/>
  <c r="J239" i="7"/>
  <c r="J237" i="7"/>
  <c r="J240" i="7"/>
  <c r="J236" i="7"/>
  <c r="J238" i="7"/>
  <c r="J235" i="7"/>
  <c r="D243" i="7"/>
  <c r="D244" i="7" s="1"/>
  <c r="F240" i="7"/>
  <c r="J241" i="7"/>
  <c r="J242" i="7"/>
  <c r="C243" i="7"/>
  <c r="F241" i="7"/>
  <c r="F238" i="7"/>
  <c r="F242" i="7"/>
  <c r="F235" i="7"/>
  <c r="F239" i="7"/>
  <c r="J213" i="7"/>
  <c r="J210" i="7"/>
  <c r="J216" i="7"/>
  <c r="F228" i="7"/>
  <c r="G211" i="7"/>
  <c r="J211" i="7" s="1"/>
  <c r="F215" i="7"/>
  <c r="E231" i="7"/>
  <c r="E232" i="7" s="1"/>
  <c r="J227" i="7"/>
  <c r="J230" i="7"/>
  <c r="J229" i="7"/>
  <c r="J223" i="7"/>
  <c r="D231" i="7"/>
  <c r="D232" i="7" s="1"/>
  <c r="J224" i="7"/>
  <c r="J225" i="7"/>
  <c r="J228" i="7"/>
  <c r="C231" i="7"/>
  <c r="F225" i="7"/>
  <c r="F229" i="7"/>
  <c r="F230" i="7"/>
  <c r="F223" i="7"/>
  <c r="F227" i="7"/>
  <c r="F217" i="7"/>
  <c r="F212" i="7"/>
  <c r="F214" i="7"/>
  <c r="F216" i="7"/>
  <c r="F213" i="7"/>
  <c r="D218" i="7"/>
  <c r="D199" i="7"/>
  <c r="C206" i="7"/>
  <c r="C207" i="7" s="1"/>
  <c r="D201" i="7"/>
  <c r="D203" i="7"/>
  <c r="D198" i="7"/>
  <c r="D200" i="7"/>
  <c r="D202" i="7"/>
  <c r="D204" i="7"/>
  <c r="D187" i="7"/>
  <c r="D189" i="7"/>
  <c r="D191" i="7"/>
  <c r="C194" i="7"/>
  <c r="C195" i="7" s="1"/>
  <c r="D159" i="7"/>
  <c r="D160" i="7"/>
  <c r="D162" i="7"/>
  <c r="D164" i="7"/>
  <c r="C167" i="7"/>
  <c r="C168" i="7" s="1"/>
  <c r="D148" i="7"/>
  <c r="D150" i="7"/>
  <c r="D152" i="7"/>
  <c r="C155" i="7"/>
  <c r="C156" i="7" s="1"/>
  <c r="C142" i="7"/>
  <c r="C143" i="7" s="1"/>
  <c r="D134" i="7"/>
  <c r="D398" i="7"/>
  <c r="C181" i="7"/>
  <c r="C182" i="7" s="1"/>
  <c r="D545" i="7"/>
  <c r="D547" i="7"/>
  <c r="D549" i="7"/>
  <c r="C552" i="7"/>
  <c r="C553" i="7" s="1"/>
  <c r="D487" i="7"/>
  <c r="D481" i="7"/>
  <c r="D482" i="7"/>
  <c r="D484" i="7"/>
  <c r="D486" i="7"/>
  <c r="C489" i="7"/>
  <c r="C490" i="7" s="1"/>
  <c r="D396" i="7"/>
  <c r="D397" i="7"/>
  <c r="D399" i="7"/>
  <c r="D401" i="7"/>
  <c r="C404" i="7"/>
  <c r="C405" i="7" s="1"/>
  <c r="K406" i="7" s="1"/>
  <c r="D323" i="7"/>
  <c r="D324" i="7"/>
  <c r="D326" i="7"/>
  <c r="D328" i="7"/>
  <c r="C331" i="7"/>
  <c r="C332" i="7" s="1"/>
  <c r="D250" i="7"/>
  <c r="D251" i="7"/>
  <c r="D253" i="7"/>
  <c r="D255" i="7"/>
  <c r="C258" i="7"/>
  <c r="C259" i="7" s="1"/>
  <c r="K260" i="7" s="1"/>
  <c r="C218" i="7"/>
  <c r="C219" i="7" s="1"/>
  <c r="D174" i="7"/>
  <c r="D176" i="7"/>
  <c r="D178" i="7"/>
  <c r="C33" i="5"/>
  <c r="C23" i="5"/>
  <c r="C18" i="5"/>
  <c r="C19" i="5"/>
  <c r="C30" i="5"/>
  <c r="C16" i="5"/>
  <c r="C26" i="5"/>
  <c r="C12" i="5"/>
  <c r="C28" i="5"/>
  <c r="C5" i="5"/>
  <c r="GN164" i="3"/>
  <c r="GF164" i="3"/>
  <c r="FX164" i="3"/>
  <c r="FP164" i="3"/>
  <c r="HB164" i="3"/>
  <c r="A52" i="7"/>
  <c r="C46" i="7" s="1"/>
  <c r="C27" i="5"/>
  <c r="GU40" i="5"/>
  <c r="C17" i="5"/>
  <c r="A35" i="7"/>
  <c r="A120" i="7"/>
  <c r="A40" i="7"/>
  <c r="GA40" i="5"/>
  <c r="A39" i="7"/>
  <c r="C31" i="5"/>
  <c r="A38" i="7"/>
  <c r="A37" i="7"/>
  <c r="A31" i="7"/>
  <c r="C29" i="7" s="1"/>
  <c r="A36" i="7"/>
  <c r="A41" i="7"/>
  <c r="C3" i="5"/>
  <c r="C24" i="5"/>
  <c r="GG164" i="3"/>
  <c r="DK268" i="1"/>
  <c r="C22" i="5"/>
  <c r="C13" i="5"/>
  <c r="C7" i="5"/>
  <c r="A121" i="7"/>
  <c r="A122" i="7"/>
  <c r="C15" i="5"/>
  <c r="C25" i="5"/>
  <c r="A117" i="7"/>
  <c r="C6" i="5"/>
  <c r="C10" i="5"/>
  <c r="C14" i="5"/>
  <c r="C20" i="5"/>
  <c r="C4" i="5"/>
  <c r="A77" i="7"/>
  <c r="A82" i="7"/>
  <c r="A80" i="7"/>
  <c r="A79" i="7"/>
  <c r="A78" i="7"/>
  <c r="HD40" i="5"/>
  <c r="HG40" i="5"/>
  <c r="HI40" i="5"/>
  <c r="GF40" i="5"/>
  <c r="C18" i="7"/>
  <c r="U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HE40" i="5"/>
  <c r="AK40" i="5"/>
  <c r="HC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ES42" i="5" l="1"/>
  <c r="EJ42" i="5"/>
  <c r="EK42" i="5"/>
  <c r="ER42" i="5"/>
  <c r="EI42" i="5"/>
  <c r="EQ42" i="5"/>
  <c r="EH42" i="5"/>
  <c r="EP42" i="5"/>
  <c r="EF42" i="5"/>
  <c r="EL42" i="5" s="1"/>
  <c r="EM42" i="5"/>
  <c r="EO42" i="5"/>
  <c r="EG42" i="5"/>
  <c r="EN42" i="5"/>
  <c r="K333" i="7"/>
  <c r="D181" i="7"/>
  <c r="D183" i="7" s="1"/>
  <c r="D48" i="8"/>
  <c r="G138" i="7"/>
  <c r="K183" i="7"/>
  <c r="K144" i="7"/>
  <c r="H218" i="7"/>
  <c r="Q220" i="7"/>
  <c r="D258" i="7"/>
  <c r="D260" i="7" s="1"/>
  <c r="D552" i="7"/>
  <c r="D155" i="7"/>
  <c r="D167" i="7"/>
  <c r="D206" i="7"/>
  <c r="D417" i="7"/>
  <c r="D194" i="7"/>
  <c r="D295" i="7"/>
  <c r="D307" i="7"/>
  <c r="D331" i="7"/>
  <c r="D271" i="7"/>
  <c r="D319" i="7"/>
  <c r="D344" i="7"/>
  <c r="D356" i="7"/>
  <c r="D368" i="7"/>
  <c r="J493" i="7"/>
  <c r="D489" i="7"/>
  <c r="D142" i="7"/>
  <c r="D283" i="7"/>
  <c r="D429" i="7"/>
  <c r="D441" i="7"/>
  <c r="D453" i="7"/>
  <c r="D465" i="7"/>
  <c r="D477" i="7"/>
  <c r="D564" i="7"/>
  <c r="D576" i="7"/>
  <c r="D577" i="7" s="1"/>
  <c r="D588" i="7"/>
  <c r="D600" i="7"/>
  <c r="D601" i="7" s="1"/>
  <c r="D612" i="7"/>
  <c r="D404" i="7"/>
  <c r="D406" i="7" s="1"/>
  <c r="D380" i="7"/>
  <c r="D392" i="7"/>
  <c r="D538" i="7"/>
  <c r="D540" i="7" s="1"/>
  <c r="J518" i="7"/>
  <c r="F526" i="7"/>
  <c r="C527" i="7"/>
  <c r="F514" i="7"/>
  <c r="C515" i="7"/>
  <c r="F501" i="7"/>
  <c r="C502" i="7"/>
  <c r="F243" i="7"/>
  <c r="C244" i="7"/>
  <c r="I218" i="7"/>
  <c r="G218" i="7"/>
  <c r="F231" i="7"/>
  <c r="C232" i="7"/>
  <c r="E218" i="7"/>
  <c r="E219" i="7" s="1"/>
  <c r="D219" i="7"/>
  <c r="F210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ET42" i="5" l="1"/>
  <c r="D144" i="7"/>
  <c r="D333" i="7"/>
  <c r="Q503" i="7"/>
  <c r="D47" i="8"/>
  <c r="G137" i="7"/>
  <c r="D539" i="7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0" i="7"/>
  <c r="F530" i="7" s="1"/>
  <c r="E586" i="7"/>
  <c r="F586" i="7" s="1"/>
  <c r="E584" i="7"/>
  <c r="F584" i="7" s="1"/>
  <c r="E585" i="7"/>
  <c r="F585" i="7" s="1"/>
  <c r="E583" i="7"/>
  <c r="F583" i="7" s="1"/>
  <c r="E582" i="7"/>
  <c r="F582" i="7" s="1"/>
  <c r="E581" i="7"/>
  <c r="F581" i="7" s="1"/>
  <c r="E580" i="7"/>
  <c r="F580" i="7" s="1"/>
  <c r="E573" i="7"/>
  <c r="F573" i="7" s="1"/>
  <c r="E570" i="7"/>
  <c r="F570" i="7" s="1"/>
  <c r="E568" i="7"/>
  <c r="F568" i="7" s="1"/>
  <c r="E571" i="7"/>
  <c r="F571" i="7" s="1"/>
  <c r="E572" i="7"/>
  <c r="F572" i="7" s="1"/>
  <c r="E569" i="7"/>
  <c r="F569" i="7" s="1"/>
  <c r="E574" i="7"/>
  <c r="F574" i="7" s="1"/>
  <c r="E608" i="7"/>
  <c r="F608" i="7" s="1"/>
  <c r="E607" i="7"/>
  <c r="F607" i="7" s="1"/>
  <c r="E610" i="7"/>
  <c r="F610" i="7" s="1"/>
  <c r="E609" i="7"/>
  <c r="F609" i="7" s="1"/>
  <c r="E606" i="7"/>
  <c r="F606" i="7" s="1"/>
  <c r="E605" i="7"/>
  <c r="F605" i="7" s="1"/>
  <c r="E604" i="7"/>
  <c r="F604" i="7" s="1"/>
  <c r="D589" i="7"/>
  <c r="E556" i="7"/>
  <c r="F556" i="7" s="1"/>
  <c r="E561" i="7"/>
  <c r="F561" i="7" s="1"/>
  <c r="E562" i="7"/>
  <c r="F562" i="7" s="1"/>
  <c r="E560" i="7"/>
  <c r="F560" i="7" s="1"/>
  <c r="E559" i="7"/>
  <c r="F559" i="7" s="1"/>
  <c r="E558" i="7"/>
  <c r="F558" i="7" s="1"/>
  <c r="E557" i="7"/>
  <c r="F557" i="7" s="1"/>
  <c r="D565" i="7"/>
  <c r="D613" i="7"/>
  <c r="E595" i="7"/>
  <c r="F595" i="7" s="1"/>
  <c r="E593" i="7"/>
  <c r="F593" i="7" s="1"/>
  <c r="E594" i="7"/>
  <c r="F594" i="7" s="1"/>
  <c r="E598" i="7"/>
  <c r="F598" i="7" s="1"/>
  <c r="E597" i="7"/>
  <c r="F597" i="7" s="1"/>
  <c r="E592" i="7"/>
  <c r="F592" i="7" s="1"/>
  <c r="E596" i="7"/>
  <c r="F596" i="7" s="1"/>
  <c r="I526" i="7"/>
  <c r="H526" i="7"/>
  <c r="F527" i="7"/>
  <c r="J526" i="7" s="1"/>
  <c r="G526" i="7"/>
  <c r="G527" i="7" s="1"/>
  <c r="I514" i="7"/>
  <c r="H514" i="7"/>
  <c r="F515" i="7"/>
  <c r="J514" i="7" s="1"/>
  <c r="G514" i="7"/>
  <c r="G515" i="7" s="1"/>
  <c r="I501" i="7"/>
  <c r="H501" i="7"/>
  <c r="F502" i="7"/>
  <c r="J501" i="7" s="1"/>
  <c r="G501" i="7"/>
  <c r="G502" i="7" s="1"/>
  <c r="D478" i="7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69" i="7"/>
  <c r="F469" i="7" s="1"/>
  <c r="D466" i="7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57" i="7"/>
  <c r="F457" i="7" s="1"/>
  <c r="D454" i="7"/>
  <c r="E447" i="7"/>
  <c r="F447" i="7" s="1"/>
  <c r="E448" i="7"/>
  <c r="F448" i="7" s="1"/>
  <c r="E449" i="7"/>
  <c r="F449" i="7" s="1"/>
  <c r="E450" i="7"/>
  <c r="F450" i="7" s="1"/>
  <c r="E451" i="7"/>
  <c r="F451" i="7" s="1"/>
  <c r="E445" i="7"/>
  <c r="F445" i="7" s="1"/>
  <c r="E446" i="7"/>
  <c r="F446" i="7" s="1"/>
  <c r="D442" i="7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33" i="7"/>
  <c r="F433" i="7" s="1"/>
  <c r="D430" i="7"/>
  <c r="E422" i="7"/>
  <c r="F422" i="7" s="1"/>
  <c r="E421" i="7"/>
  <c r="F421" i="7" s="1"/>
  <c r="E423" i="7"/>
  <c r="F423" i="7" s="1"/>
  <c r="E424" i="7"/>
  <c r="F424" i="7" s="1"/>
  <c r="E425" i="7"/>
  <c r="F425" i="7" s="1"/>
  <c r="E426" i="7"/>
  <c r="F426" i="7" s="1"/>
  <c r="E427" i="7"/>
  <c r="F427" i="7" s="1"/>
  <c r="D418" i="7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09" i="7"/>
  <c r="F409" i="7" s="1"/>
  <c r="D393" i="7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84" i="7"/>
  <c r="F384" i="7" s="1"/>
  <c r="D381" i="7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2" i="7"/>
  <c r="F372" i="7" s="1"/>
  <c r="D369" i="7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0" i="7"/>
  <c r="F360" i="7" s="1"/>
  <c r="D345" i="7"/>
  <c r="E338" i="7"/>
  <c r="F338" i="7" s="1"/>
  <c r="E339" i="7"/>
  <c r="F339" i="7" s="1"/>
  <c r="E340" i="7"/>
  <c r="F340" i="7" s="1"/>
  <c r="E341" i="7"/>
  <c r="F341" i="7" s="1"/>
  <c r="E342" i="7"/>
  <c r="F342" i="7" s="1"/>
  <c r="E336" i="7"/>
  <c r="F336" i="7" s="1"/>
  <c r="E337" i="7"/>
  <c r="F337" i="7" s="1"/>
  <c r="D357" i="7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48" i="7"/>
  <c r="F348" i="7" s="1"/>
  <c r="D320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1" i="7"/>
  <c r="F311" i="7" s="1"/>
  <c r="D308" i="7"/>
  <c r="E300" i="7"/>
  <c r="F300" i="7" s="1"/>
  <c r="E301" i="7"/>
  <c r="F301" i="7" s="1"/>
  <c r="E302" i="7"/>
  <c r="F302" i="7" s="1"/>
  <c r="E303" i="7"/>
  <c r="F303" i="7" s="1"/>
  <c r="E304" i="7"/>
  <c r="F304" i="7" s="1"/>
  <c r="E299" i="7"/>
  <c r="F299" i="7" s="1"/>
  <c r="E305" i="7"/>
  <c r="F305" i="7" s="1"/>
  <c r="D296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87" i="7"/>
  <c r="F287" i="7" s="1"/>
  <c r="D284" i="7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75" i="7"/>
  <c r="F275" i="7" s="1"/>
  <c r="D272" i="7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I243" i="7"/>
  <c r="H243" i="7"/>
  <c r="F244" i="7"/>
  <c r="J243" i="7" s="1"/>
  <c r="G243" i="7"/>
  <c r="G244" i="7" s="1"/>
  <c r="I231" i="7"/>
  <c r="H231" i="7"/>
  <c r="F232" i="7"/>
  <c r="J231" i="7" s="1"/>
  <c r="G231" i="7"/>
  <c r="G232" i="7" s="1"/>
  <c r="F219" i="7"/>
  <c r="J218" i="7" s="1"/>
  <c r="F218" i="7"/>
  <c r="D207" i="7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487" i="7"/>
  <c r="F487" i="7" s="1"/>
  <c r="E481" i="7"/>
  <c r="F481" i="7" s="1"/>
  <c r="E482" i="7"/>
  <c r="F482" i="7" s="1"/>
  <c r="E483" i="7"/>
  <c r="F483" i="7" s="1"/>
  <c r="E486" i="7"/>
  <c r="F486" i="7" s="1"/>
  <c r="E484" i="7"/>
  <c r="F484" i="7" s="1"/>
  <c r="E485" i="7"/>
  <c r="F485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396" i="7"/>
  <c r="F396" i="7" s="1"/>
  <c r="E545" i="7"/>
  <c r="F545" i="7" s="1"/>
  <c r="E546" i="7"/>
  <c r="F546" i="7" s="1"/>
  <c r="E547" i="7"/>
  <c r="F547" i="7" s="1"/>
  <c r="E548" i="7"/>
  <c r="F548" i="7" s="1"/>
  <c r="E549" i="7"/>
  <c r="F549" i="7" s="1"/>
  <c r="E544" i="7"/>
  <c r="F544" i="7" s="1"/>
  <c r="E550" i="7"/>
  <c r="F550" i="7" s="1"/>
  <c r="D182" i="7"/>
  <c r="E178" i="7"/>
  <c r="F178" i="7" s="1"/>
  <c r="E179" i="7"/>
  <c r="F179" i="7" s="1"/>
  <c r="E173" i="7"/>
  <c r="F173" i="7" s="1"/>
  <c r="E174" i="7"/>
  <c r="F174" i="7" s="1"/>
  <c r="E177" i="7"/>
  <c r="F177" i="7" s="1"/>
  <c r="E175" i="7"/>
  <c r="F175" i="7" s="1"/>
  <c r="E176" i="7"/>
  <c r="F176" i="7" s="1"/>
  <c r="E137" i="7"/>
  <c r="F137" i="7" s="1"/>
  <c r="E138" i="7"/>
  <c r="F138" i="7" s="1"/>
  <c r="E139" i="7"/>
  <c r="F139" i="7" s="1"/>
  <c r="E140" i="7"/>
  <c r="F140" i="7" s="1"/>
  <c r="E134" i="7"/>
  <c r="F134" i="7" s="1"/>
  <c r="E136" i="7"/>
  <c r="F136" i="7" s="1"/>
  <c r="E135" i="7"/>
  <c r="F135" i="7" s="1"/>
  <c r="E149" i="7"/>
  <c r="F149" i="7" s="1"/>
  <c r="E150" i="7"/>
  <c r="F150" i="7" s="1"/>
  <c r="E151" i="7"/>
  <c r="F151" i="7" s="1"/>
  <c r="E152" i="7"/>
  <c r="F152" i="7" s="1"/>
  <c r="E153" i="7"/>
  <c r="F153" i="7" s="1"/>
  <c r="E148" i="7"/>
  <c r="F148" i="7" s="1"/>
  <c r="E147" i="7"/>
  <c r="F147" i="7" s="1"/>
  <c r="E250" i="7"/>
  <c r="F250" i="7" s="1"/>
  <c r="E251" i="7"/>
  <c r="F251" i="7" s="1"/>
  <c r="E252" i="7"/>
  <c r="F252" i="7" s="1"/>
  <c r="E253" i="7"/>
  <c r="F253" i="7" s="1"/>
  <c r="E256" i="7"/>
  <c r="F256" i="7" s="1"/>
  <c r="E254" i="7"/>
  <c r="F254" i="7" s="1"/>
  <c r="E255" i="7"/>
  <c r="F255" i="7" s="1"/>
  <c r="E160" i="7"/>
  <c r="F160" i="7" s="1"/>
  <c r="E161" i="7"/>
  <c r="F161" i="7" s="1"/>
  <c r="E162" i="7"/>
  <c r="F162" i="7" s="1"/>
  <c r="E163" i="7"/>
  <c r="F163" i="7" s="1"/>
  <c r="E159" i="7"/>
  <c r="F159" i="7" s="1"/>
  <c r="E164" i="7"/>
  <c r="F164" i="7" s="1"/>
  <c r="E165" i="7"/>
  <c r="F165" i="7" s="1"/>
  <c r="E327" i="7"/>
  <c r="F327" i="7" s="1"/>
  <c r="E328" i="7"/>
  <c r="F328" i="7" s="1"/>
  <c r="E329" i="7"/>
  <c r="F329" i="7" s="1"/>
  <c r="E323" i="7"/>
  <c r="F323" i="7" s="1"/>
  <c r="E326" i="7"/>
  <c r="F326" i="7" s="1"/>
  <c r="E324" i="7"/>
  <c r="F324" i="7" s="1"/>
  <c r="E325" i="7"/>
  <c r="F325" i="7" s="1"/>
  <c r="D195" i="7"/>
  <c r="E192" i="7"/>
  <c r="F192" i="7" s="1"/>
  <c r="E186" i="7"/>
  <c r="F186" i="7" s="1"/>
  <c r="E187" i="7"/>
  <c r="F187" i="7" s="1"/>
  <c r="E188" i="7"/>
  <c r="F188" i="7" s="1"/>
  <c r="E189" i="7"/>
  <c r="F189" i="7" s="1"/>
  <c r="E191" i="7"/>
  <c r="F191" i="7" s="1"/>
  <c r="E190" i="7"/>
  <c r="F190" i="7" s="1"/>
  <c r="D168" i="7"/>
  <c r="D156" i="7"/>
  <c r="D143" i="7"/>
  <c r="D332" i="7"/>
  <c r="D490" i="7"/>
  <c r="D405" i="7"/>
  <c r="D553" i="7"/>
  <c r="G219" i="7"/>
  <c r="D259" i="7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F181" i="7" l="1"/>
  <c r="F182" i="7" s="1"/>
  <c r="J219" i="7"/>
  <c r="J502" i="7"/>
  <c r="D46" i="8"/>
  <c r="G136" i="7"/>
  <c r="F538" i="7"/>
  <c r="F539" i="7" s="1"/>
  <c r="F600" i="7"/>
  <c r="F601" i="7" s="1"/>
  <c r="F564" i="7"/>
  <c r="F565" i="7" s="1"/>
  <c r="F588" i="7"/>
  <c r="F589" i="7" s="1"/>
  <c r="F612" i="7"/>
  <c r="F613" i="7" s="1"/>
  <c r="F576" i="7"/>
  <c r="F577" i="7" s="1"/>
  <c r="F477" i="7"/>
  <c r="F478" i="7" s="1"/>
  <c r="F453" i="7"/>
  <c r="F454" i="7" s="1"/>
  <c r="F465" i="7"/>
  <c r="F466" i="7" s="1"/>
  <c r="F429" i="7"/>
  <c r="F430" i="7" s="1"/>
  <c r="F441" i="7"/>
  <c r="F442" i="7" s="1"/>
  <c r="F380" i="7"/>
  <c r="F381" i="7" s="1"/>
  <c r="F417" i="7"/>
  <c r="F418" i="7" s="1"/>
  <c r="F392" i="7"/>
  <c r="F393" i="7" s="1"/>
  <c r="F368" i="7"/>
  <c r="F369" i="7" s="1"/>
  <c r="F344" i="7"/>
  <c r="F345" i="7" s="1"/>
  <c r="F356" i="7"/>
  <c r="F357" i="7" s="1"/>
  <c r="F283" i="7"/>
  <c r="F284" i="7" s="1"/>
  <c r="F295" i="7"/>
  <c r="F296" i="7" s="1"/>
  <c r="F319" i="7"/>
  <c r="F320" i="7" s="1"/>
  <c r="F307" i="7"/>
  <c r="F308" i="7" s="1"/>
  <c r="F271" i="7"/>
  <c r="F272" i="7" s="1"/>
  <c r="K211" i="7"/>
  <c r="L211" i="7" s="1"/>
  <c r="K210" i="7"/>
  <c r="L210" i="7" s="1"/>
  <c r="K212" i="7"/>
  <c r="L212" i="7" s="1"/>
  <c r="K213" i="7"/>
  <c r="L213" i="7" s="1"/>
  <c r="K214" i="7"/>
  <c r="L214" i="7" s="1"/>
  <c r="K215" i="7"/>
  <c r="L215" i="7" s="1"/>
  <c r="K216" i="7"/>
  <c r="L216" i="7" s="1"/>
  <c r="F155" i="7"/>
  <c r="F156" i="7" s="1"/>
  <c r="F489" i="7"/>
  <c r="F490" i="7" s="1"/>
  <c r="F206" i="7"/>
  <c r="F207" i="7" s="1"/>
  <c r="F142" i="7"/>
  <c r="F143" i="7" s="1"/>
  <c r="F167" i="7"/>
  <c r="F168" i="7" s="1"/>
  <c r="F404" i="7"/>
  <c r="F405" i="7" s="1"/>
  <c r="F331" i="7"/>
  <c r="F332" i="7" s="1"/>
  <c r="F552" i="7"/>
  <c r="F553" i="7" s="1"/>
  <c r="F258" i="7"/>
  <c r="F259" i="7" s="1"/>
  <c r="F194" i="7"/>
  <c r="F195" i="7" s="1"/>
  <c r="H324" i="7" l="1"/>
  <c r="I324" i="7" s="1"/>
  <c r="H325" i="7"/>
  <c r="I325" i="7" s="1"/>
  <c r="H326" i="7"/>
  <c r="I326" i="7" s="1"/>
  <c r="H327" i="7"/>
  <c r="I327" i="7" s="1"/>
  <c r="H328" i="7"/>
  <c r="I328" i="7" s="1"/>
  <c r="H329" i="7"/>
  <c r="I329" i="7" s="1"/>
  <c r="J329" i="7" s="1"/>
  <c r="K329" i="7" s="1"/>
  <c r="L329" i="7" s="1"/>
  <c r="M329" i="7" s="1"/>
  <c r="N329" i="7" s="1"/>
  <c r="H323" i="7"/>
  <c r="I323" i="7" s="1"/>
  <c r="H138" i="7"/>
  <c r="I138" i="7" s="1"/>
  <c r="H140" i="7"/>
  <c r="I140" i="7" s="1"/>
  <c r="J140" i="7" s="1"/>
  <c r="K140" i="7" s="1"/>
  <c r="L140" i="7" s="1"/>
  <c r="M140" i="7" s="1"/>
  <c r="N140" i="7" s="1"/>
  <c r="H139" i="7"/>
  <c r="I139" i="7" s="1"/>
  <c r="H136" i="7"/>
  <c r="I136" i="7" s="1"/>
  <c r="H137" i="7"/>
  <c r="I137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J179" i="7" s="1"/>
  <c r="K179" i="7" s="1"/>
  <c r="L179" i="7" s="1"/>
  <c r="M179" i="7" s="1"/>
  <c r="N179" i="7" s="1"/>
  <c r="H173" i="7"/>
  <c r="I173" i="7" s="1"/>
  <c r="D45" i="8"/>
  <c r="G135" i="7"/>
  <c r="H135" i="7" s="1"/>
  <c r="I135" i="7" s="1"/>
  <c r="G540" i="7"/>
  <c r="E540" i="7"/>
  <c r="E406" i="7"/>
  <c r="G406" i="7"/>
  <c r="E333" i="7"/>
  <c r="G333" i="7"/>
  <c r="G260" i="7"/>
  <c r="E260" i="7"/>
  <c r="G183" i="7"/>
  <c r="E183" i="7"/>
  <c r="G144" i="7"/>
  <c r="E144" i="7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18" i="7"/>
  <c r="L518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06" i="7"/>
  <c r="L506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493" i="7"/>
  <c r="L493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35" i="7"/>
  <c r="L235" i="7" s="1"/>
  <c r="L218" i="7"/>
  <c r="L219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G184" i="7" l="1"/>
  <c r="G334" i="7"/>
  <c r="J326" i="7"/>
  <c r="K326" i="7" s="1"/>
  <c r="L326" i="7" s="1"/>
  <c r="M326" i="7" s="1"/>
  <c r="N326" i="7" s="1"/>
  <c r="J328" i="7"/>
  <c r="K328" i="7" s="1"/>
  <c r="L328" i="7" s="1"/>
  <c r="M328" i="7" s="1"/>
  <c r="N328" i="7" s="1"/>
  <c r="G145" i="7"/>
  <c r="J324" i="7"/>
  <c r="K324" i="7" s="1"/>
  <c r="L324" i="7" s="1"/>
  <c r="M324" i="7" s="1"/>
  <c r="N324" i="7" s="1"/>
  <c r="J323" i="7"/>
  <c r="G407" i="7"/>
  <c r="J327" i="7"/>
  <c r="K327" i="7" s="1"/>
  <c r="L327" i="7" s="1"/>
  <c r="M327" i="7" s="1"/>
  <c r="N327" i="7" s="1"/>
  <c r="J325" i="7"/>
  <c r="K325" i="7" s="1"/>
  <c r="L325" i="7" s="1"/>
  <c r="M325" i="7" s="1"/>
  <c r="N325" i="7" s="1"/>
  <c r="N213" i="7"/>
  <c r="O213" i="7" s="1"/>
  <c r="N214" i="7"/>
  <c r="O214" i="7" s="1"/>
  <c r="N215" i="7"/>
  <c r="O215" i="7" s="1"/>
  <c r="N211" i="7"/>
  <c r="O211" i="7" s="1"/>
  <c r="N212" i="7"/>
  <c r="O212" i="7" s="1"/>
  <c r="N216" i="7"/>
  <c r="O216" i="7" s="1"/>
  <c r="P216" i="7" s="1"/>
  <c r="Q216" i="7" s="1"/>
  <c r="R216" i="7" s="1"/>
  <c r="S216" i="7" s="1"/>
  <c r="T216" i="7" s="1"/>
  <c r="N210" i="7"/>
  <c r="O210" i="7" s="1"/>
  <c r="G261" i="7"/>
  <c r="J175" i="7"/>
  <c r="K175" i="7" s="1"/>
  <c r="L175" i="7" s="1"/>
  <c r="M175" i="7" s="1"/>
  <c r="N175" i="7" s="1"/>
  <c r="J177" i="7"/>
  <c r="K177" i="7" s="1"/>
  <c r="L177" i="7" s="1"/>
  <c r="M177" i="7" s="1"/>
  <c r="N177" i="7" s="1"/>
  <c r="J174" i="7"/>
  <c r="K174" i="7" s="1"/>
  <c r="L174" i="7" s="1"/>
  <c r="M174" i="7" s="1"/>
  <c r="N174" i="7" s="1"/>
  <c r="J178" i="7"/>
  <c r="K178" i="7" s="1"/>
  <c r="L178" i="7" s="1"/>
  <c r="M178" i="7" s="1"/>
  <c r="N178" i="7" s="1"/>
  <c r="J173" i="7"/>
  <c r="K173" i="7" s="1"/>
  <c r="L173" i="7" s="1"/>
  <c r="M173" i="7" s="1"/>
  <c r="N173" i="7" s="1"/>
  <c r="J176" i="7"/>
  <c r="K176" i="7" s="1"/>
  <c r="L176" i="7" s="1"/>
  <c r="M176" i="7" s="1"/>
  <c r="N176" i="7" s="1"/>
  <c r="H134" i="7"/>
  <c r="I134" i="7" s="1"/>
  <c r="J134" i="7" s="1"/>
  <c r="K134" i="7" s="1"/>
  <c r="J135" i="7"/>
  <c r="K135" i="7" s="1"/>
  <c r="L135" i="7" s="1"/>
  <c r="M135" i="7" s="1"/>
  <c r="N135" i="7" s="1"/>
  <c r="J137" i="7"/>
  <c r="K137" i="7" s="1"/>
  <c r="L137" i="7" s="1"/>
  <c r="M137" i="7" s="1"/>
  <c r="N137" i="7" s="1"/>
  <c r="J138" i="7"/>
  <c r="K138" i="7" s="1"/>
  <c r="L138" i="7" s="1"/>
  <c r="M138" i="7" s="1"/>
  <c r="N138" i="7" s="1"/>
  <c r="J136" i="7"/>
  <c r="K136" i="7" s="1"/>
  <c r="L136" i="7" s="1"/>
  <c r="M136" i="7" s="1"/>
  <c r="N136" i="7" s="1"/>
  <c r="J139" i="7"/>
  <c r="K220" i="7"/>
  <c r="M220" i="7"/>
  <c r="L526" i="7"/>
  <c r="L527" i="7" s="1"/>
  <c r="L514" i="7"/>
  <c r="L515" i="7" s="1"/>
  <c r="L501" i="7"/>
  <c r="L502" i="7" s="1"/>
  <c r="L243" i="7"/>
  <c r="L244" i="7" s="1"/>
  <c r="L231" i="7"/>
  <c r="L232" i="7" s="1"/>
  <c r="M221" i="7" l="1"/>
  <c r="P211" i="7"/>
  <c r="Q211" i="7" s="1"/>
  <c r="R211" i="7" s="1"/>
  <c r="S211" i="7" s="1"/>
  <c r="T211" i="7" s="1"/>
  <c r="P215" i="7"/>
  <c r="Q215" i="7" s="1"/>
  <c r="R215" i="7" s="1"/>
  <c r="S215" i="7" s="1"/>
  <c r="T215" i="7" s="1"/>
  <c r="P213" i="7"/>
  <c r="Q213" i="7" s="1"/>
  <c r="R213" i="7" s="1"/>
  <c r="S213" i="7" s="1"/>
  <c r="T213" i="7" s="1"/>
  <c r="N494" i="7"/>
  <c r="O494" i="7" s="1"/>
  <c r="N495" i="7"/>
  <c r="O495" i="7" s="1"/>
  <c r="N498" i="7"/>
  <c r="O498" i="7" s="1"/>
  <c r="N499" i="7"/>
  <c r="O499" i="7" s="1"/>
  <c r="P499" i="7" s="1"/>
  <c r="Q499" i="7" s="1"/>
  <c r="R499" i="7" s="1"/>
  <c r="S499" i="7" s="1"/>
  <c r="T499" i="7" s="1"/>
  <c r="N496" i="7"/>
  <c r="O496" i="7" s="1"/>
  <c r="N497" i="7"/>
  <c r="O497" i="7" s="1"/>
  <c r="N493" i="7"/>
  <c r="O493" i="7" s="1"/>
  <c r="P214" i="7"/>
  <c r="Q214" i="7" s="1"/>
  <c r="R214" i="7" s="1"/>
  <c r="S214" i="7" s="1"/>
  <c r="T214" i="7" s="1"/>
  <c r="P210" i="7"/>
  <c r="P212" i="7"/>
  <c r="Q212" i="7" s="1"/>
  <c r="R212" i="7" s="1"/>
  <c r="S212" i="7" s="1"/>
  <c r="T212" i="7" s="1"/>
  <c r="J330" i="7"/>
  <c r="K323" i="7"/>
  <c r="L134" i="7"/>
  <c r="M134" i="7" s="1"/>
  <c r="N134" i="7" s="1"/>
  <c r="J141" i="7"/>
  <c r="K139" i="7"/>
  <c r="L139" i="7" s="1"/>
  <c r="M139" i="7" s="1"/>
  <c r="N139" i="7" s="1"/>
  <c r="K180" i="7"/>
  <c r="N180" i="7"/>
  <c r="J180" i="7"/>
  <c r="K503" i="7"/>
  <c r="M503" i="7"/>
  <c r="M504" i="7" l="1"/>
  <c r="P497" i="7"/>
  <c r="Q497" i="7" s="1"/>
  <c r="R497" i="7" s="1"/>
  <c r="S497" i="7" s="1"/>
  <c r="T497" i="7" s="1"/>
  <c r="P493" i="7"/>
  <c r="Q493" i="7" s="1"/>
  <c r="P496" i="7"/>
  <c r="Q496" i="7" s="1"/>
  <c r="R496" i="7" s="1"/>
  <c r="S496" i="7" s="1"/>
  <c r="T496" i="7" s="1"/>
  <c r="P498" i="7"/>
  <c r="Q498" i="7" s="1"/>
  <c r="R498" i="7" s="1"/>
  <c r="S498" i="7" s="1"/>
  <c r="T498" i="7" s="1"/>
  <c r="P495" i="7"/>
  <c r="Q495" i="7" s="1"/>
  <c r="R495" i="7" s="1"/>
  <c r="S495" i="7" s="1"/>
  <c r="T495" i="7" s="1"/>
  <c r="Q210" i="7"/>
  <c r="P217" i="7"/>
  <c r="P494" i="7"/>
  <c r="Q494" i="7" s="1"/>
  <c r="R494" i="7" s="1"/>
  <c r="S494" i="7" s="1"/>
  <c r="T494" i="7" s="1"/>
  <c r="L323" i="7"/>
  <c r="M323" i="7" s="1"/>
  <c r="N323" i="7" s="1"/>
  <c r="N330" i="7" s="1"/>
  <c r="K330" i="7"/>
  <c r="N141" i="7"/>
  <c r="K141" i="7"/>
  <c r="P500" i="7" l="1"/>
  <c r="R210" i="7"/>
  <c r="S210" i="7" s="1"/>
  <c r="T210" i="7" s="1"/>
  <c r="T217" i="7" s="1"/>
  <c r="Q217" i="7"/>
  <c r="R493" i="7"/>
  <c r="S493" i="7" s="1"/>
  <c r="T493" i="7" s="1"/>
  <c r="T500" i="7" s="1"/>
  <c r="Q500" i="7"/>
</calcChain>
</file>

<file path=xl/sharedStrings.xml><?xml version="1.0" encoding="utf-8"?>
<sst xmlns="http://schemas.openxmlformats.org/spreadsheetml/2006/main" count="23274" uniqueCount="2520">
  <si>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</si>
  <si>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</si>
  <si>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</si>
  <si>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</si>
  <si>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</si>
  <si>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</si>
  <si>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</si>
  <si>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</si>
  <si>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</si>
  <si>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</si>
  <si>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</si>
  <si>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</si>
  <si>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</si>
  <si>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</si>
  <si>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</si>
  <si>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</si>
  <si>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</si>
  <si>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</si>
  <si>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</si>
  <si>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</si>
  <si>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</si>
  <si>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</si>
  <si>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</si>
  <si>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</si>
  <si>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</si>
  <si>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</si>
  <si>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</si>
  <si>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</si>
  <si>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</si>
  <si>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</si>
  <si>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</si>
  <si>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</si>
  <si>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</si>
  <si>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</si>
  <si>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</si>
  <si>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</si>
  <si>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</si>
  <si>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</si>
  <si>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</si>
  <si>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</si>
  <si>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</si>
  <si>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</si>
  <si>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</si>
  <si>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</si>
  <si>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</si>
  <si>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</si>
  <si>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</si>
  <si>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</si>
  <si>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</si>
  <si>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</si>
  <si>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</si>
  <si>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</si>
  <si>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</si>
  <si>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</si>
  <si>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</si>
  <si>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</si>
  <si>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</si>
  <si>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</si>
  <si>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</si>
  <si>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</si>
  <si>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</si>
  <si>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</si>
  <si>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</si>
  <si>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</si>
  <si>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</si>
  <si>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</si>
  <si>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</si>
  <si>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</si>
  <si>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</si>
  <si>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</si>
  <si>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</si>
  <si>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</si>
  <si>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</si>
  <si>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</si>
  <si>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</si>
  <si>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</si>
  <si>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</si>
  <si>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</si>
  <si>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</si>
  <si>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</si>
  <si>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</si>
  <si>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</si>
  <si>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</si>
  <si>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</si>
  <si>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</si>
  <si>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</si>
  <si>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</si>
  <si>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</si>
  <si>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</si>
  <si>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</si>
  <si>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</si>
  <si>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</si>
  <si>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</si>
  <si>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</si>
  <si>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</si>
  <si>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</si>
  <si>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</si>
  <si>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</si>
  <si>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</si>
  <si>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</si>
  <si>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</si>
  <si>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</si>
  <si>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</si>
  <si>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</si>
  <si>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</si>
  <si>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</si>
  <si>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</si>
  <si>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</si>
  <si>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</si>
  <si>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</si>
  <si>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</si>
  <si>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</si>
  <si>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</si>
  <si>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</si>
  <si>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</si>
  <si>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</si>
  <si>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</si>
  <si>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</si>
  <si>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</si>
  <si>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</si>
  <si>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</si>
  <si>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</si>
  <si>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</si>
  <si>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</si>
  <si>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</si>
  <si>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</si>
  <si>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</si>
  <si>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</si>
  <si>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</si>
  <si>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</si>
  <si>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</si>
  <si>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</si>
  <si>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</si>
  <si>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</si>
  <si>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</si>
  <si>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</si>
  <si>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</si>
  <si>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</si>
  <si>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</si>
  <si>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</si>
  <si>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</si>
  <si>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</si>
  <si>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</si>
  <si>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</si>
  <si>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</si>
  <si>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</si>
  <si>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</si>
  <si>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</si>
  <si>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</si>
  <si>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</si>
  <si>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</si>
  <si>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</si>
  <si>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</si>
  <si>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</si>
  <si>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</si>
  <si>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</si>
  <si>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</si>
  <si>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</si>
  <si>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</si>
  <si>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</si>
  <si>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</si>
  <si>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</si>
  <si>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</si>
  <si>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</si>
  <si>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</si>
  <si>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</si>
  <si>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</si>
  <si>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</si>
  <si>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</si>
  <si>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</si>
  <si>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</si>
  <si>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</si>
  <si>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</si>
  <si>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</si>
  <si>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</si>
  <si>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</si>
  <si>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</si>
  <si>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</si>
  <si>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</si>
  <si>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</si>
  <si>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</si>
  <si>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</si>
  <si>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</si>
  <si>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</si>
  <si>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</si>
  <si>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</si>
  <si>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</si>
  <si>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</si>
  <si>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</si>
  <si>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</si>
  <si>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</si>
  <si>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</si>
  <si>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</si>
  <si>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</si>
  <si>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</si>
  <si>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</si>
  <si>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</si>
  <si>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</si>
  <si>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</si>
  <si>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</si>
  <si>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</si>
  <si>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</si>
  <si>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</si>
  <si>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</si>
  <si>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</si>
  <si>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</si>
  <si>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</si>
  <si>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</si>
  <si>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</si>
  <si>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</si>
  <si>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</si>
  <si>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</si>
  <si>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</si>
  <si>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</si>
  <si>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</si>
  <si>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</si>
  <si>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</si>
  <si>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</si>
  <si>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</si>
  <si>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</si>
  <si>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</si>
  <si>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</si>
  <si>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</si>
  <si>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</si>
  <si>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</si>
  <si>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</si>
  <si>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</si>
  <si>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</si>
  <si>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</si>
  <si>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</si>
  <si>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</si>
  <si>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</si>
  <si>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</si>
  <si>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</si>
  <si>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</si>
  <si>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</si>
  <si>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</si>
  <si>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</si>
  <si>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</si>
  <si>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</si>
  <si>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</si>
  <si>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</si>
  <si>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</si>
  <si>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</si>
  <si>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</si>
  <si>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</si>
  <si>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</si>
  <si>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</si>
  <si>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</si>
  <si>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</si>
  <si>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</si>
  <si>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</si>
  <si>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</si>
  <si>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</si>
  <si>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</si>
  <si>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</si>
  <si>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</si>
  <si>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</si>
  <si>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</si>
  <si>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</si>
  <si>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</si>
  <si>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</si>
  <si>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</si>
  <si>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</si>
  <si>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</si>
  <si>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</si>
  <si>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</si>
  <si>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</si>
  <si>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</si>
  <si>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</si>
  <si>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</si>
  <si>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</si>
  <si>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</si>
  <si>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</si>
  <si>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</si>
  <si>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</si>
  <si>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</si>
  <si>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</si>
  <si>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</si>
  <si>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</si>
  <si>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</si>
  <si>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</si>
  <si>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</si>
  <si>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</si>
  <si>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</si>
  <si>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</si>
  <si>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</si>
  <si>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</si>
  <si>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</si>
  <si>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</si>
  <si>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</si>
  <si>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</si>
  <si>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</si>
  <si>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</si>
  <si>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</si>
  <si>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</si>
  <si>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</si>
  <si>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</si>
  <si>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</si>
  <si>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</si>
  <si>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</si>
  <si>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</si>
  <si>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</si>
  <si>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</si>
  <si>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</si>
  <si>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</si>
  <si>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</si>
  <si>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</si>
  <si>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</si>
  <si>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</si>
  <si>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</si>
  <si>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</si>
  <si>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</si>
  <si>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</si>
  <si>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</si>
  <si>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</si>
  <si>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</si>
  <si>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</si>
  <si>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</si>
  <si>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</si>
  <si>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</si>
  <si>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</si>
  <si>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</si>
  <si>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</si>
  <si>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</si>
  <si>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</si>
  <si>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</si>
  <si>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</si>
  <si>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</si>
  <si>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</si>
  <si>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</si>
  <si>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</si>
  <si>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</si>
  <si>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</si>
  <si>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</si>
  <si>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</si>
  <si>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</si>
  <si>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</si>
  <si>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</si>
  <si>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</si>
  <si>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</si>
  <si>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</si>
  <si>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</si>
  <si>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</si>
  <si>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</si>
  <si>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</si>
  <si>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</si>
  <si>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</si>
  <si>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</si>
  <si>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</si>
  <si>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</si>
  <si>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</si>
  <si>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</si>
  <si>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</si>
  <si>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</si>
  <si>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</si>
  <si>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</si>
  <si>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</si>
  <si>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</si>
  <si>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</si>
  <si>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</si>
  <si>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</si>
  <si>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</si>
  <si>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</si>
  <si>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</si>
  <si>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</si>
  <si>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</si>
  <si>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</si>
  <si>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</si>
  <si>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</si>
  <si>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</si>
  <si>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</si>
  <si>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</si>
  <si>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</si>
  <si>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</si>
  <si>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</si>
  <si>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</si>
  <si>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</si>
  <si>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</si>
  <si>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</si>
  <si>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</si>
  <si>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</si>
  <si>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</si>
  <si>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</si>
  <si>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</si>
  <si>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</si>
  <si>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</si>
  <si>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</si>
  <si>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</si>
  <si>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</si>
  <si>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</si>
  <si>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</si>
  <si>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</si>
  <si>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</si>
  <si>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</si>
  <si>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</si>
  <si>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</si>
  <si>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</si>
  <si>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</si>
  <si>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</si>
  <si>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</si>
  <si>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</si>
  <si>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</si>
  <si>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</si>
  <si>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</si>
  <si>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</si>
  <si>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</si>
  <si>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</si>
  <si>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</si>
  <si>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</si>
  <si>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</si>
  <si>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</si>
  <si>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</si>
  <si>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</si>
  <si>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</si>
  <si>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</si>
  <si>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</si>
  <si>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</si>
  <si>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</si>
  <si>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</si>
  <si>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</si>
  <si>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</si>
  <si>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</si>
  <si>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</si>
  <si>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</si>
  <si>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</si>
  <si>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</si>
  <si>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</si>
  <si>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</si>
  <si>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</si>
  <si>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</si>
  <si>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</si>
  <si>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</si>
  <si>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</si>
  <si>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</si>
  <si>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</si>
  <si>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</si>
  <si>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</si>
  <si>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</si>
  <si>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</si>
  <si>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</si>
  <si>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</si>
  <si>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</si>
  <si>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</si>
  <si>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</si>
  <si>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</si>
  <si>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</si>
  <si>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</si>
  <si>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</si>
  <si>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</si>
  <si>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</si>
  <si>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</si>
  <si>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</si>
  <si>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</si>
  <si>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</si>
  <si>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</si>
  <si>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</si>
  <si>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</si>
  <si>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</si>
  <si>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</si>
  <si>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</si>
  <si>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</si>
  <si>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</si>
  <si>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</si>
  <si>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</si>
  <si>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</si>
  <si>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</si>
  <si>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</si>
  <si>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</si>
  <si>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</si>
  <si>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</si>
  <si>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</si>
  <si>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</si>
  <si>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</si>
  <si>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</si>
  <si>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</si>
  <si>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</si>
  <si>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</si>
  <si>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</si>
  <si>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</si>
  <si>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</si>
  <si>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</si>
  <si>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</si>
  <si>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</si>
  <si>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</si>
  <si>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</si>
  <si>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</si>
  <si>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</si>
  <si>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</si>
  <si>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</si>
  <si>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</si>
  <si>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</si>
  <si>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</si>
  <si>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</si>
  <si>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</si>
  <si>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</si>
  <si>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</si>
  <si>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</si>
  <si>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</si>
  <si>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</si>
  <si>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</si>
  <si>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</si>
  <si>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</si>
  <si>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</si>
  <si>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</si>
  <si>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</si>
  <si>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</si>
  <si>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</si>
  <si>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</si>
  <si>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</si>
  <si>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</si>
  <si>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</si>
  <si>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</si>
  <si>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</si>
  <si>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</si>
  <si>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</si>
  <si>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</si>
  <si>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</si>
  <si>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</si>
  <si>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</si>
  <si>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</si>
  <si>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</si>
  <si>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</si>
  <si>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</si>
  <si>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</si>
  <si>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</si>
  <si>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</si>
  <si>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</si>
  <si>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</si>
  <si>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</si>
  <si>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</si>
  <si>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</si>
  <si>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</si>
  <si>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</si>
  <si>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</si>
  <si>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</si>
  <si>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</si>
  <si>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</si>
  <si>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</si>
  <si>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</si>
  <si>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</si>
  <si>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</si>
  <si>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</si>
  <si>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</si>
  <si>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</si>
  <si>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</si>
  <si>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</si>
  <si>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</si>
  <si>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</si>
  <si>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</si>
  <si>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</si>
  <si>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</si>
  <si>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</si>
  <si>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</si>
  <si>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</si>
  <si>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</si>
  <si>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</si>
  <si>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</si>
  <si>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</si>
  <si>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</si>
  <si>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</si>
  <si>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</si>
  <si>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</si>
  <si>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</si>
  <si>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</si>
  <si>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</si>
  <si>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</si>
  <si>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</si>
  <si>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</si>
  <si>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</si>
  <si>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</si>
  <si>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</si>
  <si>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</si>
  <si>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</si>
  <si>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</si>
  <si>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</si>
  <si>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</si>
  <si>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</si>
  <si>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</si>
  <si>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</si>
  <si>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</si>
  <si>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</si>
  <si>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</si>
  <si>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</si>
  <si>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</si>
  <si>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</si>
  <si>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</si>
  <si>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</si>
  <si>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</si>
  <si>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</si>
  <si>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</si>
  <si>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</si>
  <si>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</si>
  <si>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</si>
  <si>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</si>
  <si>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</si>
  <si>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</si>
  <si>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</si>
  <si>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</si>
  <si>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</si>
  <si>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</si>
  <si>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</si>
  <si>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</si>
  <si>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</si>
  <si>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</si>
  <si>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</si>
  <si>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</si>
  <si>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</si>
  <si>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</si>
  <si>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</si>
  <si>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</si>
  <si>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</si>
  <si>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</si>
  <si>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</si>
  <si>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</si>
  <si>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</si>
  <si>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</si>
  <si>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</si>
  <si>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</si>
  <si>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</si>
  <si>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</si>
  <si>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</si>
  <si>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</si>
  <si>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</si>
  <si>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</si>
  <si>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</si>
  <si>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</si>
  <si>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</si>
  <si>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</si>
  <si>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</si>
  <si>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</si>
  <si>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</si>
  <si>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</si>
  <si>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</si>
  <si>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</si>
  <si>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</si>
  <si>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</si>
  <si>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</si>
  <si>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</si>
  <si>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</si>
  <si>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</si>
  <si>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</si>
  <si>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</si>
  <si>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</si>
  <si>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</si>
  <si>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</si>
  <si>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</si>
  <si>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</si>
  <si>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</si>
  <si>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</si>
  <si>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</si>
  <si>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</si>
  <si>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</si>
  <si>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</si>
  <si>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</si>
  <si>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</si>
  <si>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</si>
  <si>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</si>
  <si>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</si>
  <si>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</si>
  <si>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</si>
  <si>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</si>
  <si>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</si>
  <si>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</si>
  <si>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</si>
  <si>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</si>
  <si>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</si>
  <si>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</si>
  <si>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</si>
  <si>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</si>
  <si>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</si>
  <si>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</si>
  <si>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</si>
  <si>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</si>
  <si>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</si>
  <si>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</si>
  <si>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</si>
  <si>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</si>
  <si>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</si>
  <si>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</si>
  <si>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</si>
  <si>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</si>
  <si>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</si>
  <si>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</si>
  <si>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</si>
  <si>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</si>
  <si>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</si>
  <si>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</si>
  <si>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</si>
  <si>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</si>
  <si>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</si>
  <si>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</si>
  <si>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</si>
  <si>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</si>
  <si>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</si>
  <si>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</si>
  <si>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</si>
  <si>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</si>
  <si>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</si>
  <si>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</si>
  <si>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</si>
  <si>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</si>
  <si>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</si>
  <si>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</si>
  <si>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</si>
  <si>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</si>
  <si>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</si>
  <si>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</si>
  <si>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</si>
  <si>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</si>
  <si>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</si>
  <si>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</si>
  <si>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</si>
  <si>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</si>
  <si>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</si>
  <si>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</si>
  <si>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</si>
  <si>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</si>
  <si>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</si>
  <si>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</si>
  <si>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</si>
  <si>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</si>
  <si>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</si>
  <si>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</si>
  <si>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</si>
  <si>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</si>
  <si>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</si>
  <si>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</si>
  <si>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</si>
  <si>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</si>
  <si>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</si>
  <si>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</si>
  <si>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</si>
  <si>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</si>
  <si>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</si>
  <si>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</si>
  <si>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</si>
  <si>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</si>
  <si>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</si>
  <si>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</si>
  <si>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</si>
  <si>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</si>
  <si>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</si>
  <si>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</si>
  <si>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</si>
  <si>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</si>
  <si>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</si>
  <si>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</si>
  <si>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</si>
  <si>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</si>
  <si>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</si>
  <si>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</si>
  <si>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</si>
  <si>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</si>
  <si>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</si>
  <si>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</si>
  <si>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</si>
  <si>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</si>
  <si>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</si>
  <si>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</si>
  <si>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</si>
  <si>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</si>
  <si>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</si>
  <si>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</si>
  <si>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</si>
  <si>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</si>
  <si>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</si>
  <si>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</si>
  <si>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</si>
  <si>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</si>
  <si>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</si>
  <si>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</si>
  <si>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</si>
  <si>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</si>
  <si>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</si>
  <si>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</si>
  <si>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</si>
  <si>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</si>
  <si>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</si>
  <si>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</si>
  <si>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</si>
  <si>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</si>
  <si>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</si>
  <si>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</si>
  <si>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</si>
  <si>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</si>
  <si>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</si>
  <si>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</si>
  <si>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</si>
  <si>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</si>
  <si>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</si>
  <si>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</si>
  <si>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</si>
  <si>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</si>
  <si>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</si>
  <si>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</si>
  <si>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</si>
  <si>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</si>
  <si>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</si>
  <si>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</si>
  <si>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</si>
  <si>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</si>
  <si>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</si>
  <si>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</si>
  <si>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</si>
  <si>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</si>
  <si>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</si>
  <si>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</si>
  <si>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</si>
  <si>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</si>
  <si>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</si>
  <si>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</si>
  <si>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</si>
  <si>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</si>
  <si>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</si>
  <si>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</si>
  <si>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</si>
  <si>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</si>
  <si>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</si>
  <si>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</si>
  <si>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</si>
  <si>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</si>
  <si>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</si>
  <si>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</si>
  <si>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</si>
  <si>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</si>
  <si>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</si>
  <si>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</si>
  <si>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</si>
  <si>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</si>
  <si>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</si>
  <si>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</si>
  <si>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</si>
  <si>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</si>
  <si>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</si>
  <si>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</si>
  <si>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</si>
  <si>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</si>
  <si>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</si>
  <si>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</si>
  <si>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</si>
  <si>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</si>
  <si>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</si>
  <si>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</si>
  <si>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</si>
  <si>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</si>
  <si>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</si>
  <si>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</si>
  <si>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</si>
  <si>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</si>
  <si>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</si>
  <si>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</si>
  <si>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</si>
  <si>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</si>
  <si>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</si>
  <si>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</si>
  <si>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</si>
  <si>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</si>
  <si>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</si>
  <si>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</si>
  <si>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</si>
  <si>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</si>
  <si>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</si>
  <si>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</si>
  <si>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</si>
  <si>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</si>
  <si>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</si>
  <si>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</si>
  <si>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</si>
  <si>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</si>
  <si>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</si>
  <si>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</si>
  <si>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</si>
  <si>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</si>
  <si>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</si>
  <si>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</si>
  <si>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</si>
  <si>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</si>
  <si>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</si>
  <si>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</si>
  <si>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</si>
  <si>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</si>
  <si>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</si>
  <si>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</si>
  <si>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</si>
  <si>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</si>
  <si>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</si>
  <si>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</si>
  <si>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</si>
  <si>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</si>
  <si>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</si>
  <si>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</si>
  <si>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</si>
  <si>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</si>
  <si>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</si>
  <si>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</si>
  <si>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</si>
  <si>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</si>
  <si>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</si>
  <si>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</si>
  <si>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</si>
  <si>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</si>
  <si>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</si>
  <si>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</si>
  <si>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</si>
  <si>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</si>
  <si>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</si>
  <si>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</si>
  <si>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</si>
  <si>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</si>
  <si>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</si>
  <si>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</si>
  <si>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</si>
  <si>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</si>
  <si>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</si>
  <si>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</si>
  <si>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</si>
  <si>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</si>
  <si>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</si>
  <si>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</si>
  <si>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</si>
  <si>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</si>
  <si>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</si>
  <si>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</si>
  <si>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</si>
  <si>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</si>
  <si>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</si>
  <si>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</si>
  <si>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</si>
  <si>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</si>
  <si>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</si>
  <si>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</si>
  <si>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</si>
  <si>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</si>
  <si>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</si>
  <si>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</si>
  <si>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</si>
  <si>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</si>
  <si>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</si>
  <si>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</si>
  <si>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</si>
  <si>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</si>
  <si>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</si>
  <si>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</si>
  <si>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</si>
  <si>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</si>
  <si>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</si>
  <si>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</si>
  <si>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</si>
  <si>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</si>
  <si>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</si>
  <si>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</si>
  <si>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</si>
  <si>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</si>
  <si>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</si>
  <si>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</si>
  <si>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</si>
  <si>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</si>
  <si>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</si>
  <si>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</si>
  <si>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</si>
  <si>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</si>
  <si>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</si>
  <si>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</si>
  <si>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</si>
  <si>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</si>
  <si>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</si>
  <si>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</si>
  <si>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</si>
  <si>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</si>
  <si>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</si>
  <si>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</si>
  <si>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</si>
  <si>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</si>
  <si>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</si>
  <si>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</si>
  <si>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</si>
  <si>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</si>
  <si>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</si>
  <si>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</si>
  <si>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</si>
  <si>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</si>
  <si>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</si>
  <si>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</si>
  <si>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</si>
  <si>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</si>
  <si>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</si>
  <si>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</si>
  <si>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</si>
  <si>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</si>
  <si>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</si>
  <si>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</si>
  <si>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</si>
  <si>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</si>
  <si>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</si>
  <si>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</si>
  <si>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</si>
  <si>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</si>
  <si>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</si>
  <si>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</si>
  <si>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</si>
  <si>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</si>
  <si>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</si>
  <si>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</si>
  <si>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</si>
  <si>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</si>
  <si>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</si>
  <si>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</si>
  <si>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</si>
  <si>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</si>
  <si>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</si>
  <si>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</si>
  <si>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</si>
  <si>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</si>
  <si>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</si>
  <si>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</si>
  <si>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</si>
  <si>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</si>
  <si>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</si>
  <si>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</si>
  <si>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</si>
  <si>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</si>
  <si>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</si>
  <si>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</si>
  <si>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</si>
  <si>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</si>
  <si>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</si>
  <si>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</si>
  <si>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</si>
  <si>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</si>
  <si>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</si>
  <si>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</si>
  <si>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</si>
  <si>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</si>
  <si>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</si>
  <si>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</si>
  <si>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</si>
  <si>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</si>
  <si>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</si>
  <si>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</si>
  <si>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</si>
  <si>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</si>
  <si>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</si>
  <si>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</si>
  <si>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</si>
  <si>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</si>
  <si>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</si>
  <si>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</si>
  <si>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</si>
  <si>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</si>
  <si>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</si>
  <si>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</si>
  <si>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</si>
  <si>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</si>
  <si>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</si>
  <si>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</si>
  <si>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</si>
  <si>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</si>
  <si>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</si>
  <si>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</si>
  <si>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</si>
  <si>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</si>
  <si>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</si>
  <si>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</si>
  <si>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</si>
  <si>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</si>
  <si>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</si>
  <si>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</si>
  <si>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</si>
  <si>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</si>
  <si>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</si>
  <si>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</si>
  <si>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</si>
  <si>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</si>
  <si>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</si>
  <si>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</si>
  <si>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</si>
  <si>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</si>
  <si>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</si>
  <si>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</si>
  <si>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</si>
  <si>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</si>
  <si>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</si>
  <si>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</si>
  <si>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</si>
  <si>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</si>
  <si>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</si>
  <si>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</si>
  <si>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</si>
  <si>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</si>
  <si>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</si>
  <si>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</si>
  <si>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</si>
  <si>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</si>
  <si>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</si>
  <si>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</si>
  <si>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</si>
  <si>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</si>
  <si>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</si>
  <si>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</si>
  <si>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</si>
  <si>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</si>
  <si>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</si>
  <si>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</si>
  <si>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</si>
  <si>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</si>
  <si>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</si>
  <si>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</si>
  <si>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</si>
  <si>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</si>
  <si>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</si>
  <si>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</si>
  <si>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</si>
  <si>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</si>
  <si>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</si>
  <si>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</si>
  <si>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</si>
  <si>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</si>
  <si>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</si>
  <si>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</si>
  <si>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</si>
  <si>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</si>
  <si>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</si>
  <si>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</si>
  <si>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</si>
  <si>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</si>
  <si>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</si>
  <si>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</si>
  <si>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</si>
  <si>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</si>
  <si>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</si>
  <si>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</si>
  <si>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</si>
  <si>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</si>
  <si>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</si>
  <si>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</si>
  <si>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</si>
  <si>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</si>
  <si>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</si>
  <si>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</si>
  <si>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</si>
  <si>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</si>
  <si>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</si>
  <si>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</si>
  <si>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</si>
  <si>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</si>
  <si>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</si>
  <si>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</si>
  <si>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</si>
  <si>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</si>
  <si>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</si>
  <si>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</si>
  <si>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</si>
  <si>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</si>
  <si>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</si>
  <si>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</si>
  <si>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</si>
  <si>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</si>
  <si>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</si>
  <si>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</si>
  <si>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</si>
  <si>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</si>
  <si>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</si>
  <si>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</si>
  <si>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</si>
  <si>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</si>
  <si>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</si>
  <si>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</si>
  <si>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</si>
  <si>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</si>
  <si>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</si>
  <si>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</si>
  <si>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</si>
  <si>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</si>
  <si>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</si>
  <si>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</si>
  <si>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</si>
  <si>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</si>
  <si>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</si>
  <si>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</si>
  <si>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</si>
  <si>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</si>
  <si>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</si>
  <si>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</si>
  <si>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</si>
  <si>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</si>
  <si>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</si>
  <si>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</si>
  <si>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</si>
  <si>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</si>
  <si>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</si>
  <si>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</si>
  <si>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</si>
  <si>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</si>
  <si>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</si>
  <si>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</si>
  <si>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</si>
  <si>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</si>
  <si>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</si>
  <si>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</si>
  <si>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</si>
  <si>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</si>
  <si>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</si>
  <si>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</si>
  <si>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</si>
  <si>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</si>
  <si>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</si>
  <si>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</si>
  <si>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</si>
  <si>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</si>
  <si>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</si>
  <si>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</si>
  <si>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</si>
  <si>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</si>
  <si>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</si>
  <si>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</si>
  <si>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</si>
  <si>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</si>
  <si>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</si>
  <si>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</si>
  <si>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</si>
  <si>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</si>
  <si>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</si>
  <si>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</si>
  <si>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</si>
  <si>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</si>
  <si>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</si>
  <si>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</si>
  <si>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</si>
  <si>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</si>
  <si>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</si>
  <si>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</si>
  <si>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</si>
  <si>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</si>
  <si>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</si>
  <si>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</si>
  <si>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</si>
  <si>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</si>
  <si>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</si>
  <si>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</si>
  <si>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</si>
  <si>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</si>
  <si>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</si>
  <si>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</si>
  <si>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</si>
  <si>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</si>
  <si>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</si>
  <si>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</si>
  <si>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</si>
  <si>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</si>
  <si>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</si>
  <si>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</si>
  <si>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</si>
  <si>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</si>
  <si>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</si>
  <si>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</si>
  <si>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</si>
  <si>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</si>
  <si>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</si>
  <si>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</si>
  <si>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</si>
  <si>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</si>
  <si>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</si>
  <si>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</si>
  <si>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</si>
  <si>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</si>
  <si>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</si>
  <si>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</si>
  <si>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</si>
  <si>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</si>
  <si>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</si>
  <si>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</si>
  <si>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</si>
  <si>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</si>
  <si>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</si>
  <si>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</si>
  <si>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</si>
  <si>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</si>
  <si>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</si>
  <si>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</si>
  <si>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</si>
  <si>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</si>
  <si>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</si>
  <si>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</si>
  <si>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</si>
  <si>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</si>
  <si>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</si>
  <si>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</si>
  <si>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</si>
  <si>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</si>
  <si>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</si>
  <si>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</si>
  <si>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</si>
  <si>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</si>
  <si>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</si>
  <si>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</si>
  <si>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</si>
  <si>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</si>
  <si>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</si>
  <si>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</si>
  <si>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</si>
  <si>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</si>
  <si>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</si>
  <si>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</si>
  <si>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</si>
  <si>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</si>
  <si>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</si>
  <si>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</si>
  <si>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</si>
  <si>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</si>
  <si>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</si>
  <si>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</si>
  <si>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</si>
  <si>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</si>
  <si>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</si>
  <si>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</si>
  <si>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</si>
  <si>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</si>
  <si>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</si>
  <si>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</si>
  <si>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</si>
  <si>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</si>
  <si>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</si>
  <si>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</si>
  <si>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</si>
  <si>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</si>
  <si>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</si>
  <si>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</si>
  <si>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</si>
  <si>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</si>
  <si>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</si>
  <si>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</si>
  <si>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</si>
  <si>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</si>
  <si>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</si>
  <si>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</si>
  <si>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</si>
  <si>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</si>
  <si>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</si>
  <si>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</si>
  <si>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</si>
  <si>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</si>
  <si>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</si>
  <si>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</si>
  <si>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</si>
  <si>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</si>
  <si>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</si>
  <si>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</si>
  <si>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</si>
  <si>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</si>
  <si>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</si>
  <si>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</si>
  <si>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</si>
  <si>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</si>
  <si>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</si>
  <si>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</si>
  <si>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</si>
  <si>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</si>
  <si>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</si>
  <si>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</si>
  <si>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</si>
  <si>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</si>
  <si>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</si>
  <si>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</si>
  <si>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</si>
  <si>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</si>
  <si>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</si>
  <si>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</si>
  <si>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</si>
  <si>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</si>
  <si>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</si>
  <si>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</si>
  <si>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</si>
  <si>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</si>
  <si>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</si>
  <si>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</si>
  <si>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</si>
  <si>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</si>
  <si>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</si>
  <si>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</si>
  <si>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</si>
  <si>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</si>
  <si>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</si>
  <si>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</si>
  <si>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</si>
  <si>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</si>
  <si>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</si>
  <si>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</si>
  <si>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</si>
  <si>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</si>
  <si>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</si>
  <si>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</si>
  <si>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</si>
  <si>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</si>
  <si>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</si>
  <si>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</si>
  <si>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</si>
  <si>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</si>
  <si>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</si>
  <si>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</si>
  <si>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</si>
  <si>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</si>
  <si>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</si>
  <si>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</si>
  <si>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</si>
  <si>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</si>
  <si>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</si>
  <si>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</si>
  <si>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</si>
  <si>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</si>
  <si>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</si>
  <si>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</si>
  <si>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</si>
  <si>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</si>
  <si>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</si>
  <si>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</si>
  <si>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</si>
  <si>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</si>
  <si>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</si>
  <si>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</si>
  <si>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</si>
  <si>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</si>
  <si>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</si>
  <si>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</si>
  <si>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</si>
  <si>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</si>
  <si>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</si>
  <si>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</si>
  <si>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</si>
  <si>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</si>
  <si>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</si>
  <si>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</si>
  <si>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</si>
  <si>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</si>
  <si>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</si>
  <si>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</si>
  <si>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</si>
  <si>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</si>
  <si>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</si>
  <si>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</si>
  <si>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</si>
  <si>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</si>
  <si>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</si>
  <si>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</si>
  <si>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</si>
  <si>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</si>
  <si>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</si>
  <si>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</si>
  <si>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</si>
  <si>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</si>
  <si>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</si>
  <si>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</si>
  <si>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</si>
  <si>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</si>
  <si>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</si>
  <si>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</si>
  <si>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</si>
  <si>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</si>
  <si>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</si>
  <si>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</si>
  <si>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</si>
  <si>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</si>
  <si>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</si>
  <si>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</si>
  <si>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</si>
  <si>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</si>
  <si>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</si>
  <si>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</si>
  <si>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</si>
  <si>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</si>
  <si>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</si>
  <si>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</si>
  <si>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</si>
  <si>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</si>
  <si>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</si>
  <si>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</si>
  <si>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</si>
  <si>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</si>
  <si>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</si>
  <si>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</si>
  <si>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</si>
  <si>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</si>
  <si>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</si>
  <si>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</si>
  <si>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</si>
  <si>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</si>
  <si>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</si>
  <si>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</si>
  <si>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</si>
  <si>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</si>
  <si>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</si>
  <si>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</si>
  <si>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</si>
  <si>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</si>
  <si>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</si>
  <si>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</si>
  <si>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</si>
  <si>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</si>
  <si>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</si>
  <si>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</si>
  <si>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</si>
  <si>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</si>
  <si>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</si>
  <si>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</si>
  <si>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</si>
  <si>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</si>
  <si>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</si>
  <si>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</si>
  <si>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</si>
  <si>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</si>
  <si>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</si>
  <si>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</si>
  <si>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</si>
  <si>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</si>
  <si>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</si>
  <si>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</si>
  <si>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</si>
  <si>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</si>
  <si>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</si>
  <si>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</si>
  <si>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</si>
  <si>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</si>
  <si>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</si>
  <si>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</si>
  <si>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</si>
  <si>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</si>
  <si>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</si>
  <si>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</si>
  <si>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</si>
  <si>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</si>
  <si>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</si>
  <si>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</si>
  <si>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</si>
  <si>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</si>
  <si>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</si>
  <si>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</si>
  <si>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</si>
  <si>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</si>
  <si>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</si>
  <si>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</si>
  <si>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</si>
  <si>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</si>
  <si>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</si>
  <si>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</si>
  <si>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</si>
  <si>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</si>
  <si>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</si>
  <si>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</si>
  <si>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</si>
  <si>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</si>
  <si>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</si>
  <si>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</si>
  <si>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</si>
  <si>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</si>
  <si>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</si>
  <si>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</si>
  <si>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</si>
  <si>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</si>
  <si>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</si>
  <si>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</si>
  <si>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</si>
  <si>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</si>
  <si>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</si>
  <si>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</si>
  <si>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</si>
  <si>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</si>
  <si>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</si>
  <si>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</si>
  <si>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</si>
  <si>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</si>
  <si>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</si>
  <si>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</si>
  <si>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</si>
  <si>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</si>
  <si>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</si>
  <si>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</si>
  <si>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</si>
  <si>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</si>
  <si>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</si>
  <si>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</si>
  <si>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</si>
  <si>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</si>
  <si>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</si>
  <si>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</si>
  <si>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</si>
  <si>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</si>
  <si>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</si>
  <si>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</si>
  <si>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</si>
  <si>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</si>
  <si>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</si>
  <si>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</si>
  <si>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</si>
  <si>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</si>
  <si>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</si>
  <si>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</si>
  <si>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</si>
  <si>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</si>
  <si>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</si>
  <si>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</si>
  <si>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</si>
  <si>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</si>
  <si>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</si>
  <si>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</si>
  <si>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</si>
  <si>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</si>
  <si>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</si>
  <si>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</si>
  <si>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</si>
  <si>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</si>
  <si>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</si>
  <si>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</si>
  <si>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</si>
  <si>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</si>
  <si>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</si>
  <si>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</si>
  <si>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</si>
  <si>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</si>
  <si>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</si>
  <si>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</si>
  <si>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</si>
  <si>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</si>
  <si>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</si>
  <si>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</si>
  <si>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</si>
  <si>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</si>
  <si>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</si>
  <si>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</si>
  <si>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</si>
  <si>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</si>
  <si>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</si>
  <si>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</si>
  <si>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</si>
  <si>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</si>
  <si>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</si>
  <si>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</si>
  <si>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</si>
  <si>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</si>
  <si>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</si>
  <si>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</si>
  <si>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</si>
  <si>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</si>
  <si>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</si>
  <si>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</si>
  <si>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</si>
  <si>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</si>
  <si>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</si>
  <si>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</si>
  <si>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</si>
  <si>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</si>
  <si>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</si>
  <si>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</si>
  <si>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</si>
  <si>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</si>
  <si>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</si>
  <si>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</si>
  <si>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</si>
  <si>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</si>
  <si>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</si>
  <si>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</si>
  <si>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</si>
  <si>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</si>
  <si>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</si>
  <si>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</si>
  <si>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</si>
  <si>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</si>
  <si>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</si>
  <si>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</si>
  <si>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</si>
  <si>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</si>
  <si>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</si>
  <si>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</si>
  <si>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</si>
  <si>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</si>
  <si>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</si>
  <si>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</si>
  <si>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</si>
  <si>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</si>
  <si>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</si>
  <si>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</si>
  <si>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</si>
  <si>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</si>
  <si>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</si>
  <si>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</si>
  <si>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</si>
  <si>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</si>
  <si>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</si>
  <si>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</si>
  <si>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</si>
  <si>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</si>
  <si>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</si>
  <si>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</si>
  <si>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</si>
  <si>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</si>
  <si>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</si>
  <si>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</si>
  <si>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</si>
  <si>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</si>
  <si>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</si>
  <si>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</si>
  <si>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</si>
  <si>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</si>
  <si>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</si>
  <si>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</si>
  <si>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</si>
  <si>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</si>
  <si>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</si>
  <si>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</si>
  <si>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</si>
  <si>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</si>
  <si>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</si>
  <si>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</si>
  <si>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</si>
  <si>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</si>
  <si>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</si>
  <si>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</si>
  <si>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</si>
  <si>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</si>
  <si>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</si>
  <si>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</si>
  <si>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</si>
  <si>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</si>
  <si>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</si>
  <si>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</si>
  <si>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</si>
  <si>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</si>
  <si>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</si>
  <si>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</si>
  <si>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</si>
  <si>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</si>
  <si>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</si>
  <si>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</si>
  <si>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</si>
  <si>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</si>
  <si>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</si>
  <si>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</si>
  <si>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</si>
  <si>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</si>
  <si>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</si>
  <si>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</si>
  <si>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</si>
  <si>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</si>
  <si>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</si>
  <si>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</si>
  <si>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</si>
  <si>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</si>
  <si>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</si>
  <si>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</si>
  <si>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</si>
  <si>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</si>
  <si>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</si>
  <si>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</si>
  <si>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</si>
  <si>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</si>
  <si>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</si>
  <si>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</si>
  <si>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</si>
  <si>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</si>
  <si>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</si>
  <si>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</si>
  <si>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</si>
  <si>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</si>
  <si>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</si>
  <si>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</si>
  <si>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</si>
  <si>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</si>
  <si>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</si>
  <si>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</si>
  <si>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</si>
  <si>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</si>
  <si>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</si>
  <si>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</si>
  <si>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</si>
  <si>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</si>
  <si>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</si>
  <si>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</si>
  <si>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</si>
  <si>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</si>
  <si>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</si>
  <si>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</si>
  <si>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</si>
  <si>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</si>
  <si>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</si>
  <si>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</si>
  <si>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</si>
  <si>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</si>
  <si>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</si>
  <si>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</si>
  <si>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</si>
  <si>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</si>
  <si>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</si>
  <si>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</si>
  <si>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</si>
  <si>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</si>
  <si>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</si>
  <si>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</si>
  <si>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</si>
  <si>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</si>
  <si>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</si>
  <si>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</si>
  <si>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</si>
  <si>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</si>
  <si>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</si>
  <si>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</si>
  <si>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</si>
  <si>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</si>
  <si>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</si>
  <si>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</si>
  <si>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</si>
  <si>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</si>
  <si>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</si>
  <si>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</si>
  <si>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</si>
  <si>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</si>
  <si>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</si>
  <si>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</si>
  <si>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</si>
  <si>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</si>
  <si>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</si>
  <si>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</si>
  <si>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</si>
  <si>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</si>
  <si>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</si>
  <si>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</si>
  <si>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</si>
  <si>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</si>
  <si>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</si>
  <si>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</si>
  <si>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</si>
  <si>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</si>
  <si>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</si>
  <si>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</si>
  <si>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</si>
  <si>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</si>
  <si>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</si>
  <si>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</si>
  <si>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</si>
  <si>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</si>
  <si>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</si>
  <si>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</si>
  <si>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</si>
  <si>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</si>
  <si>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</si>
  <si>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</si>
  <si>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</si>
  <si>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</si>
  <si>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</si>
  <si>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</si>
  <si>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</si>
  <si>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</si>
  <si>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</si>
  <si>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</si>
  <si>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</si>
  <si>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</si>
  <si>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</si>
  <si>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</si>
  <si>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</si>
  <si>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</si>
  <si>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</si>
  <si>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</si>
  <si>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</si>
  <si>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</si>
  <si>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</si>
  <si>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</si>
  <si>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</si>
  <si>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</si>
  <si>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</si>
  <si>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</si>
  <si>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</si>
  <si>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</si>
  <si>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</si>
  <si>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</si>
  <si>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</si>
  <si>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</si>
  <si>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</si>
  <si>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</si>
  <si>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</si>
  <si>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</si>
  <si>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</si>
  <si>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</si>
  <si>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</si>
  <si>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</si>
  <si>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</si>
  <si>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</si>
  <si>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</si>
  <si>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</si>
  <si>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</si>
  <si>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</si>
  <si>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</si>
  <si>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</si>
  <si>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</si>
  <si>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</si>
  <si>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</si>
  <si>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</si>
  <si>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</si>
  <si>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</si>
  <si>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</si>
  <si>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</si>
  <si>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</si>
  <si>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</si>
  <si>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</si>
  <si>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</si>
  <si>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</si>
  <si>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</si>
  <si>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</si>
  <si>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</si>
  <si>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</si>
  <si>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</si>
  <si>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</si>
  <si>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</si>
  <si>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</si>
  <si>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</si>
  <si>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</si>
  <si>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</si>
  <si>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</si>
  <si>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</si>
  <si>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</si>
  <si>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</si>
  <si>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</si>
  <si>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</si>
  <si>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</si>
  <si>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</si>
  <si>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</si>
  <si>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</si>
  <si>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</si>
  <si>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</si>
  <si>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</si>
  <si>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</si>
  <si>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</si>
  <si>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</si>
  <si>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</si>
  <si>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</si>
  <si>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</si>
  <si>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</si>
  <si>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</si>
  <si>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</si>
  <si>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</si>
  <si>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</si>
  <si>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</si>
  <si>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</si>
  <si>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</si>
  <si>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</si>
  <si>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</si>
  <si>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</si>
  <si>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</si>
  <si>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</si>
  <si>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</si>
  <si>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</si>
  <si>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</si>
  <si>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</si>
  <si>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</si>
  <si>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</si>
  <si>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</si>
  <si>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</si>
  <si>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</si>
  <si>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</si>
  <si>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</si>
  <si>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</si>
  <si>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</si>
  <si>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</si>
  <si>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</si>
  <si>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</si>
  <si>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</si>
  <si>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</si>
  <si>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</si>
  <si>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</si>
  <si>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</si>
  <si>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</si>
  <si>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</si>
  <si>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</si>
  <si>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</si>
  <si>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</si>
  <si>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</si>
  <si>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</si>
  <si>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</si>
  <si>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</si>
  <si>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</si>
  <si>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</si>
  <si>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</si>
  <si>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</si>
  <si>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</si>
  <si>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</si>
  <si>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</si>
  <si>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</si>
  <si>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</si>
  <si>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</si>
  <si>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</si>
  <si>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</si>
  <si>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</si>
  <si>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</si>
  <si>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</si>
  <si>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</si>
  <si>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</si>
  <si>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</si>
  <si>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</si>
  <si>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</si>
  <si>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</si>
  <si>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</si>
  <si>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</si>
  <si>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</si>
  <si>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</si>
  <si>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</si>
  <si>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</si>
  <si>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</si>
  <si>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</si>
  <si>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</si>
  <si>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</si>
  <si>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</si>
  <si>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</si>
  <si>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</si>
  <si>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</si>
  <si>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</si>
  <si>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</si>
  <si>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</si>
  <si>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</si>
  <si>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</si>
  <si>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</si>
  <si>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</si>
  <si>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</si>
  <si>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</si>
  <si>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</si>
  <si>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</si>
  <si>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</si>
  <si>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</si>
  <si>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</si>
  <si>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</si>
  <si>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</si>
  <si>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</si>
  <si>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</si>
  <si>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</si>
  <si>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</si>
  <si>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</si>
  <si>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</si>
  <si>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</si>
  <si>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</si>
  <si>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</si>
  <si>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</si>
  <si>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</si>
  <si>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</si>
  <si>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</si>
  <si>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</si>
  <si>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</si>
  <si>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</si>
  <si>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</si>
  <si>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</si>
  <si>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</si>
  <si>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</si>
  <si>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</si>
  <si>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</si>
  <si>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</si>
  <si>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</si>
  <si>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</si>
  <si>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</si>
  <si>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</si>
  <si>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</si>
  <si>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</si>
  <si>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</si>
  <si>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</si>
  <si>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</si>
  <si>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</si>
  <si>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</si>
  <si>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</si>
  <si>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</si>
  <si>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</si>
  <si>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</si>
  <si>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</si>
  <si>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</si>
  <si>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</si>
  <si>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</si>
  <si>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</si>
  <si>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</si>
  <si>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</si>
  <si>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</si>
  <si>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</si>
  <si>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</si>
  <si>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</si>
  <si>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</si>
  <si>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</si>
  <si>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</si>
  <si>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</si>
  <si>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</si>
  <si>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</si>
  <si>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</si>
  <si>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</si>
  <si>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</si>
  <si>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</si>
  <si>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</si>
  <si>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</si>
  <si>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</si>
  <si>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</si>
  <si>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</si>
  <si>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</si>
  <si>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</si>
  <si>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</si>
  <si>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</si>
  <si>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</si>
  <si>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</si>
  <si>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</si>
  <si>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</si>
  <si>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</si>
  <si>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</si>
  <si>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</si>
  <si>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</si>
  <si>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</si>
  <si>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</si>
  <si>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</si>
  <si>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</si>
  <si>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</si>
  <si>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</si>
  <si>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</si>
  <si>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</si>
  <si>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</si>
  <si>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</si>
  <si>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</si>
  <si>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</si>
  <si>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</si>
  <si>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</si>
  <si>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</si>
  <si>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</si>
  <si>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</si>
  <si>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</si>
  <si>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</si>
  <si>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</si>
  <si>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</si>
  <si>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</si>
  <si>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</si>
  <si>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</si>
  <si>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</si>
  <si>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</si>
  <si>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</si>
  <si>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</si>
  <si>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</si>
  <si>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</si>
  <si>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</si>
  <si>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</si>
  <si>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</si>
  <si>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</si>
  <si>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</si>
  <si>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</si>
  <si>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</si>
  <si>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</si>
  <si>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</si>
  <si>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</si>
  <si>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</si>
  <si>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</si>
  <si>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</si>
  <si>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</si>
  <si>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</si>
  <si>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</si>
  <si>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</si>
  <si>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</si>
  <si>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</si>
  <si>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</si>
  <si>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</si>
  <si>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</si>
  <si>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</si>
  <si>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</si>
  <si>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</si>
  <si>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</si>
  <si>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</si>
  <si>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</si>
  <si>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</si>
  <si>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</si>
  <si>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</si>
  <si>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</si>
  <si>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</si>
  <si>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</si>
  <si>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</si>
  <si>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</si>
  <si>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</si>
  <si>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</si>
  <si>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</si>
  <si>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</si>
  <si>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</si>
  <si>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</si>
  <si>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</si>
  <si>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</si>
  <si>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</si>
  <si>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</si>
  <si>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</si>
  <si>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</si>
  <si>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</si>
  <si>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</si>
  <si>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</si>
  <si>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</si>
  <si>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</si>
  <si>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</si>
  <si>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</si>
  <si>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</si>
  <si>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</si>
  <si>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</si>
  <si>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</si>
  <si>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</si>
  <si>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</si>
  <si>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</si>
  <si>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</si>
  <si>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</si>
  <si>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</si>
  <si>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</si>
  <si>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</si>
  <si>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</si>
  <si>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</si>
  <si>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</si>
  <si>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</si>
  <si>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</si>
  <si>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</si>
  <si>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</si>
  <si>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</si>
  <si>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</si>
  <si>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</si>
  <si>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</si>
  <si>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</si>
  <si>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</si>
  <si>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</si>
  <si>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</si>
  <si>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</si>
  <si>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</si>
  <si>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</si>
  <si>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</si>
  <si>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</si>
  <si>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</si>
  <si>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</si>
  <si>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</si>
  <si>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</si>
  <si>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</si>
  <si>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</si>
  <si>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</si>
  <si>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</si>
  <si>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</si>
  <si>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</si>
  <si>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</si>
  <si>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</si>
  <si>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</si>
  <si>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</si>
  <si>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</si>
  <si>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</si>
  <si>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</si>
  <si>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</si>
  <si>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</si>
  <si>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</si>
  <si>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</si>
  <si>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</si>
  <si>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</si>
  <si>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</si>
  <si>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</si>
  <si>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</si>
  <si>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</si>
  <si>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</si>
  <si>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</si>
  <si>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</si>
  <si>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</si>
  <si>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</si>
  <si>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</si>
  <si>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</si>
  <si>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</si>
  <si>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</si>
  <si>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</si>
  <si>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</si>
  <si>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</si>
  <si>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</si>
  <si>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</si>
  <si>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</si>
  <si>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</si>
  <si>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</si>
  <si>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</si>
  <si>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</si>
  <si>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</si>
  <si>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</si>
  <si>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</si>
  <si>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</si>
  <si>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</si>
  <si>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</si>
  <si>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</si>
  <si>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</si>
  <si>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</si>
  <si>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</si>
  <si>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</si>
  <si>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</si>
  <si>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</si>
  <si>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</si>
  <si>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</si>
  <si>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</si>
  <si>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</si>
  <si>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</si>
  <si>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</si>
  <si>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</si>
  <si>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</si>
  <si>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</si>
  <si>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</si>
  <si>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</si>
  <si>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</si>
  <si>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</si>
  <si>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</si>
  <si>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</si>
  <si>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</si>
  <si>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</si>
  <si>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</si>
  <si>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</si>
  <si>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</si>
  <si>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</si>
  <si>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</si>
  <si>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</si>
  <si>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</si>
  <si>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</si>
  <si>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</si>
  <si>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</si>
  <si>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</si>
  <si>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</si>
  <si>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</si>
  <si>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</si>
  <si>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</si>
  <si>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</si>
  <si>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</si>
  <si>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</si>
  <si>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</si>
  <si>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</si>
  <si>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</si>
  <si>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</si>
  <si>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</si>
  <si>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</si>
  <si>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</si>
  <si>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</si>
  <si>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</si>
  <si>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</si>
  <si>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</si>
  <si>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</si>
  <si>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</si>
  <si>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</si>
  <si>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</si>
  <si>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</si>
  <si>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</si>
  <si>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</si>
  <si>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</si>
  <si>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</si>
  <si>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</si>
  <si>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</si>
  <si>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</si>
  <si>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</si>
  <si>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</si>
  <si>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</si>
  <si>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</si>
  <si>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</si>
  <si>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</si>
  <si>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</si>
  <si>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</si>
  <si>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</si>
  <si>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</si>
  <si>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</si>
  <si>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</si>
  <si>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</si>
  <si>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</si>
  <si>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</si>
  <si>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</si>
  <si>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</si>
  <si>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</si>
  <si>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</si>
  <si>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</si>
  <si>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</si>
  <si>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</si>
  <si>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</si>
  <si>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</si>
  <si>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</si>
  <si>
    <t>kwadrat odchyleń od średniej</t>
  </si>
  <si>
    <t>suma kwadratów odchyleń</t>
  </si>
  <si>
    <t>Absolwenci: Usługi edukacyjne ocenianej uczelni mają wysoką wartość (okazja / szansa rozwoju własnego lub kariery).3</t>
  </si>
  <si>
    <t>Absolwenci: Kształcenie na ocenianej uczelni ma/miało pozytywny wpływ na zwiększenie moich zarobków.</t>
  </si>
  <si>
    <t>Rodzice: Usługi edukacyjne ocenianej uczelni mają wysoką wartość (okazja / szansa rozwoju własnego lub kariery).9</t>
  </si>
  <si>
    <t>liczba odpowiedzi 1 podopieczny</t>
  </si>
  <si>
    <t>liczba odpowiedzi 2 podopieczny</t>
  </si>
  <si>
    <t>liczba odpowiedzi 3 podopieczny</t>
  </si>
  <si>
    <t>dla 1.podopiecznego</t>
  </si>
  <si>
    <t>dla 2. podopiecznego</t>
  </si>
  <si>
    <t>dla 3. podopiecznego</t>
  </si>
  <si>
    <t>łącznie</t>
  </si>
  <si>
    <t>łącznie liczba odpowiedzi</t>
  </si>
  <si>
    <t>Rodzice: Kształcenie na ocenianej uczelni ma/będzie miało pozytywny wpływ na zwiększenie zarobków mojej/mojego podopiecznej/podopiecznego.</t>
  </si>
  <si>
    <t>Pracownicy administracyjni: Atmosfera w zespole współpracowników jest dobra.</t>
  </si>
  <si>
    <t>Pracownicy administracyjni: Moje zarobki są satysfakcjonujące.</t>
  </si>
  <si>
    <t>Pracownicy administracyjni: Praca na ocenianej uczelni daje mi duże szanse rozwoju.</t>
  </si>
  <si>
    <t>Pracownicy naukowi lub dydaktyczni: Atmosfera w zespole współpracowników jest dobra.43</t>
  </si>
  <si>
    <t>Pracownicy naukowi lub dydaktyczni: Moje zarobki są satysfakcjonujące.44</t>
  </si>
  <si>
    <t>Pracownicy naukowi lub dydaktyczni: Praca na ocenianej uczelni daje mi duże szanse rozwoju.45</t>
  </si>
  <si>
    <t>Pracownicy naukowi lub dydaktyczni: Wartość wykształcenia zdobywanego przez studentów ocenianej uczelni jest wysoka.46</t>
  </si>
  <si>
    <t>Pracownicy naukowi lub dydaktyczni: Zdobyte na ocenianej uczelni wykształcenie ma pozytywny wpływ na zwiększenie zarobków absolwentów.47</t>
  </si>
  <si>
    <t>Władze uczelni: Ogólny poziom mojej satysfakcji z jakości usług edukacyjnych ocenianej uczelni jest wysoki.</t>
  </si>
  <si>
    <t>Władze uczelni: Wartość wykształcenia zdobywanego przez studentów na ocenianej uczelni jest wysoka.</t>
  </si>
  <si>
    <t>Władze uczelni: Zdobyte przez studentów ocenianej uczelni wykształcenie miało/ma pozytywny wpływ na ich zarobki.</t>
  </si>
  <si>
    <t>Władze uczelni: Efekty działań ocenianej uczelni na rzecz jakości edukacji mają dobry wpływ na rozwój regionu.</t>
  </si>
  <si>
    <t>Władze uczelni: Efekty działań ocenianej uczelni na rzecz jakości edukacji mają dobry wpływ na rozwój Polski.</t>
  </si>
  <si>
    <t>Władze uczelni: Współpraca ocenianej uczelni z biznesem ma pozytywne efekty dla rozwoju regionu / kraju.</t>
  </si>
  <si>
    <t>liczba odpowiedzi 1 uczelnia</t>
  </si>
  <si>
    <t>liczba odpowiedzi 2 uczelnia</t>
  </si>
  <si>
    <t>liczba odpowiedzi 3 uczelnia</t>
  </si>
  <si>
    <t>dla 1. uczelni</t>
  </si>
  <si>
    <t>dla 2. uczelni</t>
  </si>
  <si>
    <t>dla 3. uczelni</t>
  </si>
  <si>
    <t>Przedsiębiorcy: Kompetencje absolwentów ocenianej uczelni są wysokie.</t>
  </si>
  <si>
    <t>Przedsiębiorcy: Zarobki absolwentów ocenianej uczelni zatrudnionych w mojej firmie są wyższe od zarobków absolwentów innych polskich uczelni.</t>
  </si>
  <si>
    <t>Władze samorządowe: Wartość wykształcenia zdobywanego przez studentów na ocenianej uczelni jest wysoka.27</t>
  </si>
  <si>
    <t>Władze samorządowe: Zdobyte przez studentów ocenianej uczelni wykształcenie miało/ma pozytywny wpływ na ich zarobki.28</t>
  </si>
  <si>
    <t>Władze samorządowe: Efekty działań ocenianej uczelni na rzecz jakości edukacji mają dobry wpływ na rozwój regionu.29</t>
  </si>
  <si>
    <t>Władze samorządowe: Efekty działań ocenianej uczelni na rzecz jakości edukacji mają dobry wpływ na rozwój Polski.30</t>
  </si>
  <si>
    <t>Władze samorządowe: Współpraca ocenianej uczelni z biznesem ma pozytywne efekty dla rozwoju regionu / kraju.31</t>
  </si>
  <si>
    <t>Władze samorządowe: Ogólny poziom mojej satysfakcji z jakości usług edukacyjnych ocenianej uczelni jest wysoki.32</t>
  </si>
  <si>
    <t>odchylenie standardowe</t>
  </si>
  <si>
    <t>wariancja w próbie</t>
  </si>
  <si>
    <t>odchylenie standardowe obliczone w próbie</t>
  </si>
  <si>
    <t>alfa</t>
  </si>
  <si>
    <t>Tablica statystyczna rozkładu t-Studenta</t>
  </si>
  <si>
    <t>Poziom istotności / 
stopnie swobody</t>
  </si>
  <si>
    <t>0,5</t>
  </si>
  <si>
    <t>0,2</t>
  </si>
  <si>
    <t>0,1</t>
  </si>
  <si>
    <t>0,05</t>
  </si>
  <si>
    <t>0,01</t>
  </si>
  <si>
    <t>0,005</t>
  </si>
  <si>
    <t>0,001</t>
  </si>
  <si>
    <t>t alfa</t>
  </si>
  <si>
    <t>standaryzowane wartości do testu Chi2</t>
  </si>
  <si>
    <t>Skumulowane prawdopodobieństwo standardowe</t>
  </si>
  <si>
    <t>Przedziałowe prawdopodobieństwo standardowe</t>
  </si>
  <si>
    <t>Teoretyczne liczebności</t>
  </si>
  <si>
    <t>Różnica liczebności empirycznych i teoretycznych</t>
  </si>
  <si>
    <t>Kwadraty różnic empirycznych i teoretycznych</t>
  </si>
  <si>
    <t>Kwadraty różnic empirycznych i teoretycznych przez licznoći teoretyczne</t>
  </si>
  <si>
    <t>Chi2 krytyczne</t>
  </si>
  <si>
    <t>Chi2</t>
  </si>
  <si>
    <t>Nie ma podstaw do odrzucenia H0, więc można przyjąć, że z prawdopodobieństwem na poziomie 95% rozkład jest zgodny z rozkładem normalnym</t>
  </si>
  <si>
    <t>Należy odrzucić H0, więc można przyjąć, że z prawdopodobieństwem na poziomie 95% rozkład nie jest zgodny z rozkładem normalnym</t>
  </si>
  <si>
    <t>Granice przedziałów</t>
  </si>
  <si>
    <t>Górna granica przedziału</t>
  </si>
  <si>
    <t>Interpretacja średniej</t>
  </si>
  <si>
    <t>Wartość graniczna</t>
  </si>
  <si>
    <t>SSIupr</t>
  </si>
  <si>
    <t>SSIupr-studenci</t>
  </si>
  <si>
    <t>SSIupr-absolwenci</t>
  </si>
  <si>
    <t>SSIupr-rodzice</t>
  </si>
  <si>
    <t>SSIupr-pracownicyAdm</t>
  </si>
  <si>
    <t>SSIupr-pracownicyNauk</t>
  </si>
  <si>
    <t>SSIupr-władzeUcz</t>
  </si>
  <si>
    <t>SSIupr-przedsiębiorcy</t>
  </si>
  <si>
    <t>SSIupr-władzeSam</t>
  </si>
  <si>
    <t>WAGI DLA GRUP INTERESARIUSZY</t>
  </si>
  <si>
    <t>Interesariusze, którzy są najistotniejsi</t>
  </si>
  <si>
    <t>Uśrednione wagi [%]</t>
  </si>
  <si>
    <t>Oceny cząstkowe</t>
  </si>
  <si>
    <t>Opinie których interesariuszy są w praktyce najczęściej uwzględniane przy wprowadzaniu zmian na ocenianej uczelni</t>
  </si>
  <si>
    <t>Wywiad (tak)</t>
  </si>
  <si>
    <t>b/d</t>
  </si>
  <si>
    <t>56–65 lat</t>
  </si>
  <si>
    <t>46–55 lat</t>
  </si>
  <si>
    <t>36–45 lat</t>
  </si>
  <si>
    <t>26–35 lat</t>
  </si>
  <si>
    <t>M. Modrzewska</t>
  </si>
  <si>
    <t>Osoba</t>
  </si>
  <si>
    <t>Mateusz Osowski</t>
  </si>
  <si>
    <t>Cyprian Kosik</t>
  </si>
  <si>
    <t>Natalia Świgoń</t>
  </si>
  <si>
    <t>Krzysztof Świgoń</t>
  </si>
  <si>
    <t>Krzysztof Leja</t>
  </si>
  <si>
    <t>Michał Cherek</t>
  </si>
  <si>
    <t>Sławek Ostrowski</t>
  </si>
  <si>
    <t>Zygmunt Żumda-Trzebiatowski</t>
  </si>
  <si>
    <t>Paweł Ziemiański</t>
  </si>
  <si>
    <t>Paweł Ellwart (Nordea)</t>
  </si>
  <si>
    <t>Hieronim Kucharski</t>
  </si>
  <si>
    <t>Ryszard Sadowski</t>
  </si>
  <si>
    <t>Igor Gielniak</t>
  </si>
  <si>
    <t>Maria Brzeska-Deli</t>
  </si>
  <si>
    <t>prof. Piotr Kielan</t>
  </si>
  <si>
    <t>Edward Krzemiński</t>
  </si>
  <si>
    <t>Filip Ludka</t>
  </si>
  <si>
    <t>Ola Kucharska</t>
  </si>
  <si>
    <t>Tadeusz Szefler</t>
  </si>
  <si>
    <t>Piotr Grudowski</t>
  </si>
  <si>
    <t>Paweł Balewski</t>
  </si>
  <si>
    <t>Paweł Leyk</t>
  </si>
  <si>
    <t>Kajetan Lewandowski</t>
  </si>
  <si>
    <t>Jolanta Rudzka-Habisiak</t>
  </si>
  <si>
    <t>Maciej Cherek</t>
  </si>
  <si>
    <t>Zbigniew Zienowicz</t>
  </si>
  <si>
    <t>Jarosław Olek</t>
  </si>
  <si>
    <t>Krzysztof Ludka</t>
  </si>
  <si>
    <t>Przemysław Biesek</t>
  </si>
  <si>
    <t>prof. Maciej Sobczak</t>
  </si>
  <si>
    <t>Grzegorz Zieliński</t>
  </si>
  <si>
    <t>Anna Zielińska</t>
  </si>
  <si>
    <t>kategorie wiekowe na 2020</t>
  </si>
  <si>
    <t>TAK (wg wywiadu)</t>
  </si>
  <si>
    <t>Info metryczkowe</t>
  </si>
  <si>
    <t>3. Jak oceniasz różne uczelnie (najlepsze)</t>
  </si>
  <si>
    <t>2. Jacy interesariusze są najistotniejsi dla uczelni?</t>
  </si>
  <si>
    <t>1. Co dla Ciebie jest najważniejszą wartością usług oferowanych przez uczelnie</t>
  </si>
  <si>
    <t>4. Absolwenci, których uczelni są najwyżej cenieni?</t>
  </si>
  <si>
    <t>6. Czy pomiar zarobków absolwentów może być dobrą miarą jakości usług uczelni?</t>
  </si>
  <si>
    <t>5. Czy pomiar sukcesów absolwentów może być dobrą miarą jakości usług uczelni?</t>
  </si>
  <si>
    <t>7. Ocena uczelni (ankieta)</t>
  </si>
  <si>
    <t>8. Czy pomiar satysfakcji interesariuszy może dawać istotne informacje do podnoszenia jakości?</t>
  </si>
  <si>
    <t>9. SSI do podnoszenia jakości?</t>
  </si>
  <si>
    <t>10. SSI dla doskonalenia SZJ?</t>
  </si>
  <si>
    <t>11. Kategorie jakości (wymienić w odniesieniu do uczelni)</t>
  </si>
  <si>
    <t>(A_R_W_P; t; 5; m; E; t/t)</t>
  </si>
  <si>
    <t>Misja – wspieranie rozwoju gospodarki; kompetencje + (…?)</t>
  </si>
  <si>
    <t>Spojrzenie całościowe – współpraca; przemysł zgłasza problemy, uczelnia szkoli ludzi do rozwiązania; 
punkty za publikacje?; 
„doktorat musi być wdrożony”</t>
  </si>
  <si>
    <t>PG? WAT?</t>
  </si>
  <si>
    <t>„Absolwenci słabszych uczelni nie są gorsi od tych z lepszych (pracowitość, walka, chęć rozwoju)”</t>
  </si>
  <si>
    <t>„Kluczowe są efekty dla gospodarki”</t>
  </si>
  <si>
    <t>„Chyba jeszcze nie, może na zachodzie…?”</t>
  </si>
  <si>
    <t>ankieta</t>
  </si>
  <si>
    <t>„warto pytać, sprawdzać”</t>
  </si>
  <si>
    <t>Gospodarka jest ważna -&gt; jako myśl przewodnia na wykładach, kwestia „klimatu” na uczelni</t>
  </si>
  <si>
    <t>(A; nt; 4; m; F; n/n)</t>
  </si>
  <si>
    <t>Możliwość rozwoju, Kontakty</t>
  </si>
  <si>
    <t>(potrzeba patrona - mistrza)</t>
  </si>
  <si>
    <t>Studenci (presja na ponadczasową wartość nauki); absolwenci
Po równo słuchać studentów (sposób przekazywania wiedzy) i absolwentów (merytoryka) np. asystentów/wykładowców</t>
  </si>
  <si>
    <t>statystycznie</t>
  </si>
  <si>
    <t>Zjazdy naukowe, zjazdy studentów i młodych lekarzy z konkursami dla wyróżniających się</t>
  </si>
  <si>
    <t>Raczej nie, bo występują bardzo duże rozbieżności w zarobkach, a różnice regionalne są bardzo istotne</t>
  </si>
  <si>
    <t>Wątpliwe</t>
  </si>
  <si>
    <t>Porównywalność dzięki centralnemu egzaminowi -&gt; nie ma dużych różnic choć pewne są
Ściąganie dobrej kadry dydaktycznej
Różnice w wyposażeniu -&gt; sprzęt jest istotny, ale nie najważniejszy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</si>
</sst>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1" fillId="4" borderId="15" xfId="0" applyFont="1" applyFill="1" applyBorder="1"/>
    <xf numFmtId="0" fontId="11" fillId="5" borderId="15" xfId="0" applyFont="1" applyFill="1" applyBorder="1"/>
    <xf numFmtId="0" fontId="0" fillId="0" borderId="0" xfId="2" applyNumberFormat="1" applyFont="1"/>
    <xf numFmtId="0" fontId="12" fillId="0" borderId="0" xfId="2" applyNumberFormat="1" applyFont="1"/>
    <xf numFmtId="164" fontId="14" fillId="0" borderId="0" xfId="0" applyNumberFormat="1" applyFont="1"/>
    <xf numFmtId="164" fontId="7" fillId="0" borderId="0" xfId="0" applyNumberFormat="1" applyFont="1"/>
    <xf numFmtId="0" fontId="2" fillId="0" borderId="0" xfId="0" applyFont="1" applyAlignment="1">
      <alignment vertical="top"/>
    </xf>
    <xf numFmtId="0" fontId="0" fillId="6" borderId="0" xfId="0" applyFill="1"/>
    <xf numFmtId="0" fontId="2" fillId="6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Zestawienia_ilościowe!$B$17:$B$24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Zestawienia_ilościowe!$A$17:$A$24</c:f>
              <c:numCache>
                <c:formatCode>General</c:formatCode>
                <c:ptCount val="8"/>
                <c:pt idx="0">
                  <c:v>2</c:v>
                </c:pt>
                <c:pt idx="1">
                  <c:v>33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Zestawienia_ilościowe!$C$134:$C$140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Zestawienia_ilościowe!$C$146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Zestawienia_ilościowe!$A$147:$B$153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Zestawienia_ilościowe!$C$147:$C$153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Zestawienia_ilościowe!$C$158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Zestawienia_ilościowe!$A$159:$B$165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Zestawienia_ilościowe!$C$159:$C$165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Zestawienia_ilościowe!$C$172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Zestawienia_ilościowe!$A$173:$B$179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Zestawienia_ilościowe!$C$173:$C$179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235-BE0F-691EFA62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Zestawienia_ilościowe!$C$185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Zestawienia_ilościowe!$A$186:$B$192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Zestawienia_ilościowe!$C$186:$C$192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B-4CFD-86AF-E0E1968A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Zestawienia_ilościowe!$C$197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Zestawienia_ilościowe!$A$198:$B$204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Zestawienia_ilościowe!$C$198:$C$204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FC-86E2-05EF0341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Zestawienia_ilościowe!$C$209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Zestawienia_ilościowe!$A$210:$B$216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Zestawienia_ilościowe!$C$210:$C$216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0F6-8182-4EDA214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Zestawienia_ilościowe!$C$222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Zestawienia_ilościowe!$A$223:$B$229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Zestawienia_ilościowe!$C$223:$C$229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803-8B0E-52CA7DC5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Zestawienia_ilościowe!$C$234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Zestawienia_ilościowe!$A$235:$B$241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Zestawienia_ilościowe!$C$235:$C$241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6DD-8025-A678B226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administracyjni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Zestawienia_ilościowe!$C$249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Zestawienia_ilościowe!$A$250:$B$256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Zestawienia_ilościowe!$C$250:$C$256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676-BC0F-53644AA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Zestawienia_ilościowe!$C$119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Zestawienia_ilościowe!$A$120:$B$122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0</c:v>
                  </c:pt>
                </c:lvl>
              </c:multiLvlStrCache>
            </c:multiLvlStrRef>
          </c:cat>
          <c:val>
            <c:numRef>
              <c:f>Zestawienia_ilościowe!$C$120:$C$122</c:f>
              <c:numCache>
                <c:formatCode>0.00%</c:formatCode>
                <c:ptCount val="3"/>
                <c:pt idx="0">
                  <c:v>0.96551724137931039</c:v>
                </c:pt>
                <c:pt idx="1">
                  <c:v>3.4482758620689655E-2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naukowi / dydaktyczni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Zestawienia_ilościowe!$C$322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Zestawienia_ilościowe!$A$323:$B$329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Zestawienia_ilościowe!$C$323:$C$329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CA9-8626-1E16C061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atmosfera w zespole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Zestawienia_ilościowe!$C$335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Zestawienia_ilościowe!$A$336:$B$342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Zestawienia_ilościowe!$C$336:$C$342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AC1-A222-572DFC7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Zestawienia_ilościowe!$C$347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Zestawienia_ilościowe!$A$348:$B$354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Zestawienia_ilościowe!$C$348:$C$354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86-8947-6909ACA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rozwój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Zestawienia_ilościowe!$C$359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Zestawienia_ilościowe!$A$360:$B$366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Zestawienia_ilościowe!$C$360:$C$366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266-8A90-53BD2869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 wykształcenia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Zestawienia_ilościowe!$C$371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Zestawienia_ilościowe!$A$372:$B$378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Zestawienia_ilościowe!$C$372:$C$378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C71-8742-2869E43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Zestawienia_ilościowe!$C$383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Zestawienia_ilościowe!$A$384:$B$390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Zestawienia_ilościowe!$C$384:$C$390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12E-8DA7-22133529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uczelni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Zestawienia_ilościowe!$C$395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Zestawienia_ilościowe!$A$396:$B$402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Zestawienia_ilościowe!$C$396:$C$402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5C1-803B-A34C3D4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Zestawienia_ilościowe!$F$492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Zestawienia_ilościowe!$A$493:$B$499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Zestawienia_ilościowe!$F$493:$F$499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A7A-8F83-55B77A2F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kompetencje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Zestawienia_ilościowe!$F$505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Zestawienia_ilościowe!$A$506:$B$512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Zestawienia_ilościowe!$F$506:$F$512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7AE-BF0C-7B1A9CBA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zarobki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Zestawienia_ilościowe!$F$517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Zestawienia_ilościowe!$A$518:$B$524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Zestawienia_ilościowe!$F$518:$F$524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E31-9886-81EB243C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Zestawienia_ilościowe!$A$28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Zestawienia_ilościowe!$B$29:$B$30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Zestawienia_ilościowe!$A$29:$A$30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samorządowe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Zestawienia_ilościowe!$C$529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Zestawienia_ilościowe!$A$530:$B$536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Zestawienia_ilościowe!$C$530:$C$536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ABB-9AD0-1BC35F99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Zestawienia_ilościowe!$A$33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Zestawienia_ilościowe!$B$35:$B$41</c:f>
              <c:strCache>
                <c:ptCount val="7"/>
                <c:pt idx="0">
                  <c:v>powyżej 65 lat</c:v>
                </c:pt>
                <c:pt idx="1">
                  <c:v>56–65 lat</c:v>
                </c:pt>
                <c:pt idx="2">
                  <c:v>46–55 lat</c:v>
                </c:pt>
                <c:pt idx="3">
                  <c:v>36–45 lat</c:v>
                </c:pt>
                <c:pt idx="4">
                  <c:v>26–35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Zestawienia_ilościowe!$A$35:$A$41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Zestawienia_ilościowe!$A$44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Zestawienia_ilościowe!$B$46:$B$51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Zestawienia_ilościowe!$A$46:$A$51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Zestawienia_ilościowe!$C$58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Zestawienia_ilościowe!$C$59:$D$66</c15:sqref>
                  </c15:fullRef>
                </c:ext>
              </c:extLst>
              <c:f>(Zestawienia_ilościowe!$C$59:$D$59,Zestawienia_ilościowe!$C$61:$D$66)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Zestawienia_ilościowe!$A$59:$A$66</c15:sqref>
                  </c15:fullRef>
                </c:ext>
              </c:extLst>
              <c:f>(Zestawienia_ilościowe!$A$59,Zestawienia_ilościowe!$A$61:$A$66)</c:f>
              <c:numCache>
                <c:formatCode>0.00%</c:formatCode>
                <c:ptCount val="7"/>
                <c:pt idx="0">
                  <c:v>1.6666666666666666E-2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0.1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Zestawienia_ilościowe!$A$71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Zestawienia_ilościowe!$B$72:$B$73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Zestawienia_ilościowe!$A$72:$A$73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Zestawienia_ilościowe!$A$75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Zestawienia_ilościowe!$B$77:$B$83</c:f>
              <c:strCache>
                <c:ptCount val="7"/>
                <c:pt idx="0">
                  <c:v>powyżej 65 lat</c:v>
                </c:pt>
                <c:pt idx="1">
                  <c:v>56–65 lat</c:v>
                </c:pt>
                <c:pt idx="2">
                  <c:v>46–55 lat</c:v>
                </c:pt>
                <c:pt idx="3">
                  <c:v>36–45 lat</c:v>
                </c:pt>
                <c:pt idx="4">
                  <c:v>26–35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Zestawienia_ilościowe!$A$77:$A$83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Zestawienia_ilościowe!$A$86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Zestawienia_ilościowe!$B$87:$B$116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Zestawienia_ilościowe!$A$87:$A$116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402431</xdr:colOff>
      <xdr:row>132</xdr:row>
      <xdr:rowOff>9525</xdr:rowOff>
    </xdr:from>
    <xdr:to>
      <xdr:col>22</xdr:col>
      <xdr:colOff>361950</xdr:colOff>
      <xdr:row>142</xdr:row>
      <xdr:rowOff>9525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145</xdr:row>
      <xdr:rowOff>0</xdr:rowOff>
    </xdr:from>
    <xdr:to>
      <xdr:col>13</xdr:col>
      <xdr:colOff>602457</xdr:colOff>
      <xdr:row>154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157</xdr:row>
      <xdr:rowOff>0</xdr:rowOff>
    </xdr:from>
    <xdr:to>
      <xdr:col>13</xdr:col>
      <xdr:colOff>602457</xdr:colOff>
      <xdr:row>166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274108</xdr:colOff>
      <xdr:row>169</xdr:row>
      <xdr:rowOff>177270</xdr:rowOff>
    </xdr:from>
    <xdr:to>
      <xdr:col>22</xdr:col>
      <xdr:colOff>227277</xdr:colOff>
      <xdr:row>179</xdr:row>
      <xdr:rowOff>177271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AF1E45-CF5F-47D9-ACDB-06D57947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602457</xdr:colOff>
      <xdr:row>193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EA7FBE9-6AB3-4C62-9123-37F377B4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13</xdr:col>
      <xdr:colOff>602457</xdr:colOff>
      <xdr:row>205</xdr:row>
      <xdr:rowOff>176213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59D035-5DFE-4D85-AEBF-202B6531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465137</xdr:colOff>
      <xdr:row>207</xdr:row>
      <xdr:rowOff>0</xdr:rowOff>
    </xdr:from>
    <xdr:to>
      <xdr:col>28</xdr:col>
      <xdr:colOff>416719</xdr:colOff>
      <xdr:row>216</xdr:row>
      <xdr:rowOff>176212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6329370-0640-4F49-9D18-66CDFE91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19</xdr:col>
      <xdr:colOff>602457</xdr:colOff>
      <xdr:row>230</xdr:row>
      <xdr:rowOff>176213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CF20792-C92C-4AAD-943C-F2FF7F21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233</xdr:row>
      <xdr:rowOff>0</xdr:rowOff>
    </xdr:from>
    <xdr:to>
      <xdr:col>19</xdr:col>
      <xdr:colOff>602457</xdr:colOff>
      <xdr:row>242</xdr:row>
      <xdr:rowOff>176213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552CB340-3EBE-4564-B829-36C81110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248</xdr:row>
      <xdr:rowOff>0</xdr:rowOff>
    </xdr:from>
    <xdr:to>
      <xdr:col>13</xdr:col>
      <xdr:colOff>602457</xdr:colOff>
      <xdr:row>257</xdr:row>
      <xdr:rowOff>176213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6B376AB-C44A-49A9-8E42-060CBE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411162</xdr:colOff>
      <xdr:row>319</xdr:row>
      <xdr:rowOff>36512</xdr:rowOff>
    </xdr:from>
    <xdr:to>
      <xdr:col>22</xdr:col>
      <xdr:colOff>367506</xdr:colOff>
      <xdr:row>329</xdr:row>
      <xdr:rowOff>33337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6604E74-D7CF-400D-A343-E592D564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334</xdr:row>
      <xdr:rowOff>0</xdr:rowOff>
    </xdr:from>
    <xdr:to>
      <xdr:col>13</xdr:col>
      <xdr:colOff>602457</xdr:colOff>
      <xdr:row>343</xdr:row>
      <xdr:rowOff>176213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5C820A5-E845-4984-93D5-1DD5950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13</xdr:col>
      <xdr:colOff>602457</xdr:colOff>
      <xdr:row>355</xdr:row>
      <xdr:rowOff>176213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3A10CCC-A74F-4B95-86F9-9CE9F3B0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358</xdr:row>
      <xdr:rowOff>0</xdr:rowOff>
    </xdr:from>
    <xdr:to>
      <xdr:col>13</xdr:col>
      <xdr:colOff>602457</xdr:colOff>
      <xdr:row>367</xdr:row>
      <xdr:rowOff>176213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705CDA8-0883-4868-8101-569F6C4D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370</xdr:row>
      <xdr:rowOff>0</xdr:rowOff>
    </xdr:from>
    <xdr:to>
      <xdr:col>13</xdr:col>
      <xdr:colOff>602457</xdr:colOff>
      <xdr:row>379</xdr:row>
      <xdr:rowOff>176213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DB6411C-2E46-4410-9C3D-55F76E90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382</xdr:row>
      <xdr:rowOff>0</xdr:rowOff>
    </xdr:from>
    <xdr:to>
      <xdr:col>13</xdr:col>
      <xdr:colOff>602457</xdr:colOff>
      <xdr:row>391</xdr:row>
      <xdr:rowOff>176213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2627070-FE93-49DC-893F-0B40ED55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394</xdr:row>
      <xdr:rowOff>0</xdr:rowOff>
    </xdr:from>
    <xdr:to>
      <xdr:col>13</xdr:col>
      <xdr:colOff>602457</xdr:colOff>
      <xdr:row>403</xdr:row>
      <xdr:rowOff>176213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3AA03D05-CC1C-4592-82E6-E3ACC0AF8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52387</xdr:colOff>
      <xdr:row>490</xdr:row>
      <xdr:rowOff>12700</xdr:rowOff>
    </xdr:from>
    <xdr:to>
      <xdr:col>29</xdr:col>
      <xdr:colOff>3969</xdr:colOff>
      <xdr:row>500</xdr:row>
      <xdr:rowOff>7937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80E97B-173C-4822-AC61-86F2B955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19</xdr:col>
      <xdr:colOff>602457</xdr:colOff>
      <xdr:row>513</xdr:row>
      <xdr:rowOff>176213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D4A3E760-CB1C-4D0A-A6E7-BE5B5EC0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516</xdr:row>
      <xdr:rowOff>0</xdr:rowOff>
    </xdr:from>
    <xdr:to>
      <xdr:col>19</xdr:col>
      <xdr:colOff>602457</xdr:colOff>
      <xdr:row>525</xdr:row>
      <xdr:rowOff>176213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5A9938C-4EAA-45F5-909B-48E368D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528</xdr:row>
      <xdr:rowOff>0</xdr:rowOff>
    </xdr:from>
    <xdr:to>
      <xdr:col>13</xdr:col>
      <xdr:colOff>602457</xdr:colOff>
      <xdr:row>537</xdr:row>
      <xdr:rowOff>176213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C35950-5CD1-4BD6-A0A4-1269775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74">
      <pivotArea type="all" dataOnly="0" outline="0" fieldPosition="0"/>
    </format>
    <format dxfId="473">
      <pivotArea outline="0" collapsedLevelsAreSubtotals="1" fieldPosition="0"/>
    </format>
    <format dxfId="472">
      <pivotArea field="95" type="button" dataOnly="0" labelOnly="1" outline="0" axis="axisRow" fieldPosition="0"/>
    </format>
    <format dxfId="471">
      <pivotArea dataOnly="0" labelOnly="1" fieldPosition="0">
        <references count="1">
          <reference field="95" count="0"/>
        </references>
      </pivotArea>
    </format>
    <format dxfId="470">
      <pivotArea dataOnly="0" labelOnly="1" grandRow="1" outline="0" fieldPosition="0"/>
    </format>
    <format dxfId="46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480">
      <pivotArea type="all" dataOnly="0" outline="0" fieldPosition="0"/>
    </format>
    <format dxfId="479">
      <pivotArea outline="0" collapsedLevelsAreSubtotals="1" fieldPosition="0"/>
    </format>
    <format dxfId="478">
      <pivotArea field="49" type="button" dataOnly="0" labelOnly="1" outline="0" axis="axisRow" fieldPosition="0"/>
    </format>
    <format dxfId="477">
      <pivotArea dataOnly="0" labelOnly="1" fieldPosition="0">
        <references count="1">
          <reference field="49" count="0"/>
        </references>
      </pivotArea>
    </format>
    <format dxfId="476">
      <pivotArea dataOnly="0" labelOnly="1" grandRow="1" outline="0" fieldPosition="0"/>
    </format>
    <format dxfId="47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486">
      <pivotArea type="all" dataOnly="0" outline="0" fieldPosition="0"/>
    </format>
    <format dxfId="485">
      <pivotArea outline="0" collapsedLevelsAreSubtotals="1" fieldPosition="0"/>
    </format>
    <format dxfId="484">
      <pivotArea field="144" type="button" dataOnly="0" labelOnly="1" outline="0" axis="axisRow" fieldPosition="0"/>
    </format>
    <format dxfId="483">
      <pivotArea dataOnly="0" labelOnly="1" fieldPosition="0">
        <references count="1">
          <reference field="144" count="0"/>
        </references>
      </pivotArea>
    </format>
    <format dxfId="482">
      <pivotArea dataOnly="0" labelOnly="1" grandRow="1" outline="0" fieldPosition="0"/>
    </format>
    <format dxfId="48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492">
      <pivotArea type="all" dataOnly="0" outline="0" fieldPosition="0"/>
    </format>
    <format dxfId="491">
      <pivotArea outline="0" collapsedLevelsAreSubtotals="1" fieldPosition="0"/>
    </format>
    <format dxfId="490">
      <pivotArea field="105" type="button" dataOnly="0" labelOnly="1" outline="0" axis="axisRow" fieldPosition="0"/>
    </format>
    <format dxfId="489">
      <pivotArea dataOnly="0" labelOnly="1" fieldPosition="0">
        <references count="1">
          <reference field="105" count="0"/>
        </references>
      </pivotArea>
    </format>
    <format dxfId="488">
      <pivotArea dataOnly="0" labelOnly="1" grandRow="1" outline="0" fieldPosition="0"/>
    </format>
    <format dxfId="48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170" type="button" dataOnly="0" labelOnly="1" outline="0" axis="axisRow" fieldPosition="0"/>
    </format>
    <format dxfId="495">
      <pivotArea dataOnly="0" labelOnly="1" fieldPosition="0">
        <references count="1">
          <reference field="170" count="0"/>
        </references>
      </pivotArea>
    </format>
    <format dxfId="494">
      <pivotArea dataOnly="0" labelOnly="1" grandRow="1" outline="0" fieldPosition="0"/>
    </format>
    <format dxfId="49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503">
      <pivotArea type="all" dataOnly="0" outline="0" fieldPosition="0"/>
    </format>
    <format dxfId="502">
      <pivotArea outline="0" collapsedLevelsAreSubtotals="1" fieldPosition="0"/>
    </format>
    <format dxfId="501">
      <pivotArea field="49" type="button" dataOnly="0" labelOnly="1" outline="0" axis="axisRow" fieldPosition="0"/>
    </format>
    <format dxfId="500">
      <pivotArea dataOnly="0" labelOnly="1" grandRow="1" outline="0" fieldPosition="0"/>
    </format>
    <format dxfId="49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509">
      <pivotArea type="all" dataOnly="0" outline="0" fieldPosition="0"/>
    </format>
    <format dxfId="508">
      <pivotArea outline="0" collapsedLevelsAreSubtotals="1" fieldPosition="0"/>
    </format>
    <format dxfId="507">
      <pivotArea field="115" type="button" dataOnly="0" labelOnly="1" outline="0" axis="axisRow" fieldPosition="0"/>
    </format>
    <format dxfId="506">
      <pivotArea dataOnly="0" labelOnly="1" fieldPosition="0">
        <references count="1">
          <reference field="115" count="0"/>
        </references>
      </pivotArea>
    </format>
    <format dxfId="505">
      <pivotArea dataOnly="0" labelOnly="1" grandRow="1" outline="0" fieldPosition="0"/>
    </format>
    <format dxfId="50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515">
      <pivotArea type="all" dataOnly="0" outline="0" fieldPosition="0"/>
    </format>
    <format dxfId="514">
      <pivotArea outline="0" collapsedLevelsAreSubtotals="1" fieldPosition="0"/>
    </format>
    <format dxfId="513">
      <pivotArea field="31" type="button" dataOnly="0" labelOnly="1" outline="0" axis="axisRow" fieldPosition="0"/>
    </format>
    <format dxfId="512">
      <pivotArea dataOnly="0" labelOnly="1" fieldPosition="0">
        <references count="1">
          <reference field="31" count="0"/>
        </references>
      </pivotArea>
    </format>
    <format dxfId="511">
      <pivotArea dataOnly="0" labelOnly="1" grandRow="1" outline="0" fieldPosition="0"/>
    </format>
    <format dxfId="51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521">
      <pivotArea type="all" dataOnly="0" outline="0" fieldPosition="0"/>
    </format>
    <format dxfId="520">
      <pivotArea outline="0" collapsedLevelsAreSubtotals="1" fieldPosition="0"/>
    </format>
    <format dxfId="519">
      <pivotArea field="15" type="button" dataOnly="0" labelOnly="1" outline="0" axis="axisRow" fieldPosition="0"/>
    </format>
    <format dxfId="518">
      <pivotArea dataOnly="0" labelOnly="1" fieldPosition="0">
        <references count="1">
          <reference field="15" count="0"/>
        </references>
      </pivotArea>
    </format>
    <format dxfId="517">
      <pivotArea dataOnly="0" labelOnly="1" grandRow="1" outline="0" fieldPosition="0"/>
    </format>
    <format dxfId="51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M36" totalsRowCount="1">
  <autoFilter ref="A2:HM35" xr:uid="{BC01C17C-E729-4430-9A94-BDF77386BAED}"/>
  <sortState xmlns:xlrd2="http://schemas.microsoft.com/office/spreadsheetml/2017/richdata2" ref="A3:HM33">
    <sortCondition ref="G2:G33"/>
  </sortState>
  <tableColumns count="221">
    <tableColumn id="1" xr3:uid="{37199E79-F22A-49C0-B1C3-8001D68B6905}" name="Lp."/>
    <tableColumn id="214" xr3:uid="{15F16F1A-B79B-4E98-AC9F-5DC850A3D9F6}" name="ID_zakończone" dataDxfId="125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124">
      <calculatedColumnFormula>COUNTA(U3:HM3)</calculatedColumnFormula>
    </tableColumn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218" xr3:uid="{AA8B8567-C52B-4727-A725-D1B2249E52E9}" name="Wywiad (tak)"/>
    <tableColumn id="219" xr3:uid="{F8693F28-3C62-40E9-9FD6-468716B62CBC}" name="Osoba"/>
    <tableColumn id="232" xr3:uid="{B7E402BE-354E-4309-95B7-523788D81571}" name="11. Kategorie jakości (wymienić w odniesieniu do uczelni)" dataDxfId="94"/>
    <tableColumn id="231" xr3:uid="{D67E567F-38E0-4A74-BCAD-EFDB07D402F4}" name="10. SSI dla doskonalenia SZJ?" dataDxfId="103"/>
    <tableColumn id="224" xr3:uid="{54237CB1-FE91-4A4B-A669-52F09EE4BAD9}" name="9. SSI do podnoszenia jakości?" dataDxfId="109"/>
    <tableColumn id="229" xr3:uid="{1BDEECD3-C999-44DF-B7DB-8EBA6D79D65D}" name="8. Czy pomiar satysfakcji interesariuszy może dawać istotne informacje do podnoszenia jakości?" dataDxfId="104"/>
    <tableColumn id="228" xr3:uid="{D81785BC-7280-4F7D-9034-A822247B4942}" name="7. Ocena uczelni (ankieta)" dataDxfId="105"/>
    <tableColumn id="227" xr3:uid="{643812DD-97E7-4A22-A24D-FF3EF5E4512D}" name="6. Czy pomiar zarobków absolwentów może być dobrą miarą jakości usług uczelni?" dataDxfId="106"/>
    <tableColumn id="226" xr3:uid="{D3FC4C00-7A93-4CA5-9BAB-71690EA4EA98}" name="5. Czy pomiar sukcesów absolwentów może być dobrą miarą jakości usług uczelni?" dataDxfId="107"/>
    <tableColumn id="225" xr3:uid="{91DADDE1-4B39-4C79-A4DE-035F52998A87}" name="4. Absolwenci, których uczelni są najwyżej cenieni?" dataDxfId="108"/>
    <tableColumn id="223" xr3:uid="{8ADB0362-752B-41BA-87DB-E7681855BC21}" name="3. Jak oceniasz różne uczelnie (najlepsze)" dataDxfId="110"/>
    <tableColumn id="222" xr3:uid="{38B78989-9A45-4CC8-B889-04B16E250054}" name="2. Jacy interesariusze są najistotniejsi dla uczelni?" dataDxfId="111"/>
    <tableColumn id="221" xr3:uid="{092826CC-1CEB-40AF-8074-DB3C0404BBAA}" name="1. Co dla Ciebie jest najważniejszą wartością usług oferowanych przez uczelnie" dataDxfId="112"/>
    <tableColumn id="220" xr3:uid="{B4538D8A-99EF-4DEE-84DF-B77D242243C2}" name="Info metryczkowe" dataDxfId="113"/>
    <tableColumn id="14" xr3:uid="{A75D7BB0-BDD4-4F9E-BFE1-A35FFDAA2A35}" name="Czy jesteś studentem uczelni wyższej?" totalsRowFunction="custom" dataDxfId="123" totalsRowDxfId="93">
      <totalsRowFormula>COUNTA((U3:U35))</totalsRowFormula>
    </tableColumn>
    <tableColumn id="15" xr3:uid="{59EBE606-808E-4993-BA84-2428F0FB2A27}" name="Jak się nazywa uczelnia, na której studiujesz? (proszę o wybranie jednej uczelni podlegającej ocenie)" totalsRowFunction="custom" totalsRowDxfId="92">
      <totalsRowFormula>COUNTA((V3:V35))</totalsRowFormula>
    </tableColumn>
    <tableColumn id="16" xr3:uid="{B883EC52-B4D3-434E-8AFF-6334D1B8C483}" name="Czy studiujesz na kierunku technicznym, tzn. takim, po którym uzyskasz tytuł inżyniera?" totalsRowFunction="custom" totalsRowDxfId="91">
      <totalsRowFormula>COUNTA((W3:W35))</totalsRowFormula>
    </tableColumn>
    <tableColumn id="17" xr3:uid="{C6F68B54-181D-4E6B-90DE-3758AC28643F}" name="Jak się nazywa kierunek, na którym studiujesz?" totalsRowFunction="custom" totalsRowDxfId="90">
      <totalsRowFormula>COUNTA((X3:X35))</totalsRowFormula>
    </tableColumn>
    <tableColumn id="18" xr3:uid="{4009F8D5-0845-4794-BD7B-DEDD90E1035F}" name="Moja satysfakcja z usług edukacyjnych ocenianej uczelni jest wysoka." totalsRowFunction="custom" totalsRowDxfId="89">
      <totalsRowFormula>COUNTA((Y3:Y35))</totalsRowFormula>
    </tableColumn>
    <tableColumn id="19" xr3:uid="{9C33E588-FD6F-4756-A796-19608D8E5787}" name="Usługi edukacyjne ocenianej uczelni mają wysoką wartość (okazja / szansa rozwoju własnego lub kariery)." totalsRowFunction="custom" totalsRowDxfId="88">
      <totalsRowFormula>COUNTA((Z3:Z35))</totalsRowFormula>
    </tableColumn>
    <tableColumn id="20" xr3:uid="{AD29E10C-3B61-4AC3-9DB6-E5592E85F54D}" name="Kształcenie na ocenianej uczelni ma/będzie miało pozytywny wpływ na zwiększenie moich zarobków." totalsRowFunction="custom" totalsRowDxfId="87">
      <totalsRowFormula>COUNTA((AA3:AA35))</totalsRowFormula>
    </tableColumn>
    <tableColumn id="21" xr3:uid="{29A03634-DD01-47E7-9082-570B2CBA75AC}" name="Kolumna1" totalsRowFunction="custom" totalsRowDxfId="86">
      <totalsRowFormula>COUNTA((AB3:AB35))</totalsRowFormula>
    </tableColumn>
    <tableColumn id="22" xr3:uid="{E3063293-8C09-4AD3-970A-FC723899E602}" name="w pierwszym roku po ukończeniu studiów : wybierz wartość z listy rozwijanej" totalsRowFunction="custom" totalsRowDxfId="85">
      <totalsRowFormula>COUNTA((AC3:AC35))</totalsRowFormula>
    </tableColumn>
    <tableColumn id="23" xr3:uid="{62967F23-9856-4DFD-AADC-42AC36B2CDB1}" name="w 3 lata po ukończeniu studiów : wybierz wartość z listy rozwijanej" totalsRowFunction="custom" totalsRowDxfId="84">
      <totalsRowFormula>COUNTA((AD3:AD35))</totalsRowFormula>
    </tableColumn>
    <tableColumn id="24" xr3:uid="{574DBE71-FF3A-4DA1-A563-EECF8E03B030}" name="Jakich innych (poza zarobkami) efektów kształcenia na ocenianej uczelni się spodziewasz?" totalsRowFunction="custom" totalsRowDxfId="83">
      <totalsRowFormula>COUNTA((AE3:AE35))</totalsRowFormula>
    </tableColumn>
    <tableColumn id="25" xr3:uid="{70C7E301-ECA2-4DF8-B78C-6550E2B616A1}" name="Jakie elementy lub cechy sprawiały, że Tobie studiowało się dobrze?" totalsRowFunction="custom" totalsRowDxfId="82">
      <totalsRowFormula>COUNTA((AF3:AF35))</totalsRowFormula>
    </tableColumn>
    <tableColumn id="26" xr3:uid="{86CB3A73-27F1-4FCF-B9E3-8D590DC2DB33}" name="Jakie elementy lub cechy sprawiały, że Tobie studiowało się źle?" totalsRowFunction="custom" totalsRowDxfId="81">
      <totalsRowFormula>COUNTA((AG3:AG35))</totalsRowFormula>
    </tableColumn>
    <tableColumn id="27" xr3:uid="{8DCB6BDF-C860-4D73-8953-D14EF0C8F0AA}" name="Jakiego rodzaju są Twoje studia?" totalsRowFunction="custom" totalsRowDxfId="80">
      <totalsRowFormula>COUNTA((AH3:AH35))</totalsRowFormula>
    </tableColumn>
    <tableColumn id="28" xr3:uid="{F292FE47-988D-4A95-932D-2E3B34B7BF0B}" name="Pole dodatkowe" totalsRowFunction="custom" totalsRowDxfId="79">
      <totalsRowFormula>COUNTA((AI3:AI35))</totalsRowFormula>
    </tableColumn>
    <tableColumn id="29" xr3:uid="{4225184D-873A-4CF3-B8D1-575C3D6A2435}" name="Na którym semestrze studiujesz obecnie?" totalsRowFunction="custom" totalsRowDxfId="78">
      <totalsRowFormula>COUNTA((AJ3:AJ35))</totalsRowFormula>
    </tableColumn>
    <tableColumn id="30" xr3:uid="{41979390-06F4-463C-ADB5-F98E8C311CBA}" name="Czy jesteś absolwentem uczelni wyższej?" totalsRowFunction="custom" dataDxfId="122" totalsRowDxfId="77">
      <totalsRowFormula>COUNTA((AK3:AK35))</totalsRowFormula>
    </tableColumn>
    <tableColumn id="31" xr3:uid="{BBF7434D-D66B-496B-B17B-27248613CC58}" name="Jak się nazywa uczelnia którą ukończyłeś? (proszę o wybranie jednej uczelni podlegającej ocenie)" totalsRowFunction="custom" totalsRowDxfId="76">
      <totalsRowFormula>COUNTA((AL3:AL35))</totalsRowFormula>
    </tableColumn>
    <tableColumn id="216" xr3:uid="{72DEEBC7-088A-46A4-9999-AE96ED74030A}" name="KategoriaUczelni" dataDxfId="121" totalsRowDxfId="75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74">
      <totalsRowFormula>COUNTA((AN3:AN35))</totalsRowFormula>
    </tableColumn>
    <tableColumn id="33" xr3:uid="{AE05B081-E180-4E09-9192-4F27CE79F7EB}" name="Czy ukończony kierunek był kierunkiem technicznym, tzn. takim, po którym uzyskałaś/eś tytuł inżyniera?" totalsRowFunction="custom" totalsRowDxfId="73">
      <totalsRowFormula>COUNTA((AO3:AO35))</totalsRowFormula>
    </tableColumn>
    <tableColumn id="34" xr3:uid="{B85DD2EE-D5F2-46D3-9E33-DA992576E185}" name="Jak się nazywa kierunek, który ukończyłaś/eś?" totalsRowFunction="custom" totalsRowDxfId="72">
      <totalsRowFormula>COUNTA((AP3:AP35))</totalsRowFormula>
    </tableColumn>
    <tableColumn id="35" xr3:uid="{4CC44F8F-616F-4095-99F6-60AF14EEC568}" name="Moja satysfakcja z (efektów) usług edukacyjnych ocenianej uczelni jest wysoka." totalsRowFunction="custom" totalsRowDxfId="71">
      <totalsRowFormula>COUNTA((AQ3:AQ35))</totalsRowFormula>
    </tableColumn>
    <tableColumn id="36" xr3:uid="{1C6D88CF-332B-4752-A729-93BFDD454B5A}" name="Usługi edukacyjne ocenianej uczelni mają wysoką wartość (okazja / szansa rozwoju własnego lub kariery).3" totalsRowFunction="custom" totalsRowDxfId="70">
      <totalsRowFormula>COUNTA((AR3:AR35))</totalsRowFormula>
    </tableColumn>
    <tableColumn id="37" xr3:uid="{44EB38FB-B9C9-46B4-B0FB-9985D53C385D}" name="Kształcenie na ocenianej uczelni ma/miało pozytywny wpływ na zwiększenie moich zarobków." totalsRowFunction="custom" totalsRowDxfId="69">
      <totalsRowFormula>COUNTA((AS3:AS35))</totalsRowFormula>
    </tableColumn>
    <tableColumn id="38" xr3:uid="{34BE9A51-E55F-4AE8-87A0-FBEC63D51E8F}" name="Moje zarobki w pierwszym roku po ukończeniu studiów były satysfakcjonujące." totalsRowFunction="custom" totalsRowDxfId="68">
      <totalsRowFormula>COUNTA((AT3:AT35))</totalsRowFormula>
    </tableColumn>
    <tableColumn id="39" xr3:uid="{4033761C-CB95-4451-B0C4-2ABCB2769F7E}" name="Moje zarobki po 3. latach po ukończeniu studiów były satysfakcjonujące." totalsRowFunction="custom" totalsRowDxfId="67">
      <totalsRowFormula>COUNTA((AU3:AU35))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66">
      <totalsRowFormula>COUNTA((AV3:AV35))</totalsRowFormula>
    </tableColumn>
    <tableColumn id="41" xr3:uid="{25DB6FAA-8A3B-408B-9262-5EDE22E06BA2}" name="w pierwszym roku po ukończeniu studiów : wybierz wartość z listy rozwijanej4" totalsRowFunction="custom" totalsRowDxfId="65">
      <totalsRowFormula>COUNTA((AW3:AW35))</totalsRowFormula>
    </tableColumn>
    <tableColumn id="42" xr3:uid="{2B38DFDD-3D06-4B52-B1DB-7F8144FEDBDB}" name="w 3 lata po ukończeniu studiów : wybierz wartość z listy rozwijanej5" totalsRowFunction="custom" totalsRowDxfId="64">
      <totalsRowFormula>COUNTA((AX3:AX35))</totalsRowFormula>
    </tableColumn>
    <tableColumn id="43" xr3:uid="{FBBBF8D2-7A99-41FF-B15C-4A2191C9D8D9}" name="Jakie inne (poza zarobkami) efekty kształcenia na ocenianej uczelni dostrzegasz obecnie?" totalsRowFunction="custom" totalsRowDxfId="63">
      <totalsRowFormula>COUNTA((AY3:AY35))</totalsRowFormula>
    </tableColumn>
    <tableColumn id="44" xr3:uid="{6B48263B-8F26-4FBA-9F9A-424993C5E3ED}" name="Co wpływało na twoją satysfakcję ze studiowania?_x000a_" totalsRowFunction="custom" totalsRowDxfId="62">
      <totalsRowFormula>COUNTA((AZ3:AZ35))</totalsRowFormula>
    </tableColumn>
    <tableColumn id="45" xr3:uid="{52ED1FC9-CD2D-42A5-B204-567F0483F099}" name="Kolumna6" totalsRowFunction="custom" totalsRowDxfId="61">
      <totalsRowFormula>COUNTA((BA3:BA35))</totalsRowFormula>
    </tableColumn>
    <tableColumn id="46" xr3:uid="{3D74590B-7E93-443E-BE1C-FD99ECE16017}" name="Jakiego rodzaju były Twoje studia?" totalsRowFunction="custom" totalsRowDxfId="60">
      <totalsRowFormula>COUNTA((BB3:BB35))</totalsRowFormula>
    </tableColumn>
    <tableColumn id="47" xr3:uid="{E8CA34F5-D9E4-418D-8BF9-050444C4061E}" name="Pole dodatkowe7" totalsRowFunction="custom" totalsRowDxfId="59">
      <totalsRowFormula>COUNTA((BC3:BC35))</totalsRowFormula>
    </tableColumn>
    <tableColumn id="48" xr3:uid="{A48EA897-6002-486C-94A2-3071DE7EB5AD}" name="Czy jesteś rodzicem / opiekunem absolwenta uczelni wyższej?" totalsRowFunction="custom" dataDxfId="120" totalsRowDxfId="58">
      <totalsRowFormula>COUNTA((BD3:BD35))</totalsRowFormula>
    </tableColumn>
    <tableColumn id="49" xr3:uid="{FEE5A281-6D4B-4D31-93CD-509A968E7773}" name="Uczelnie ilu podopiecznych będziesz oceniać?" totalsRowFunction="custom" totalsRowDxfId="57">
      <totalsRowFormula>COUNTA((BE3:BE35))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56">
      <totalsRowFormula>COUNTA((BF3:BF35))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55">
      <totalsRowFormula>COUNTA((BG3:BG35))</totalsRowFormula>
    </tableColumn>
    <tableColumn id="52" xr3:uid="{2D5E47C8-051A-480B-B96D-83E7709F1700}" name="Czy ukończony kierunek był kierunkiem technicznym, tzn. takim, po którym uzyskano tytuł inżyniera?" totalsRowFunction="custom" totalsRowDxfId="54">
      <totalsRowFormula>COUNTA((BH3:BH35))</totalsRowFormula>
    </tableColumn>
    <tableColumn id="53" xr3:uid="{D51D9DD7-878A-415B-B2F8-02F53EBFA22A}" name="Jak się nazywa kierunek, który ukończył/a Twoja/Twój podopieczna/podopieczny?" totalsRowFunction="custom" totalsRowDxfId="53">
      <totalsRowFormula>COUNTA((BI3:BI35))</totalsRowFormula>
    </tableColumn>
    <tableColumn id="54" xr3:uid="{D3DB1C46-F931-4289-86D2-779EC4340002}" name="Moja satysfakcja z (efektów) usług edukacyjnych ocenianej uczelni jest wysoka.8" totalsRowFunction="custom" totalsRowDxfId="52">
      <totalsRowFormula>COUNTA((BJ3:BJ35))</totalsRowFormula>
    </tableColumn>
    <tableColumn id="55" xr3:uid="{FC532F03-86AD-4521-9C9D-42FA860A53FB}" name="Usługi edukacyjne ocenianej uczelni mają wysoką wartość (okazja / szansa rozwoju własnego lub kariery).9" totalsRowFunction="custom" totalsRowDxfId="51">
      <totalsRowFormula>COUNTA((BK3:BK35))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50">
      <totalsRowFormula>COUNTA((BL3:BL35))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9">
      <totalsRowFormula>COUNTA((BM3:BM35))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8">
      <totalsRowFormula>COUNTA((BN3:BN35))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7">
      <totalsRowFormula>COUNTA((BO3:BO35))</totalsRowFormula>
    </tableColumn>
    <tableColumn id="60" xr3:uid="{847514F8-F661-4B2D-88BE-10ABFD806894}" name="Jakie inne (poza zarobkami) efekty kształcenia na ocenianej uczelni się dostrzegasz obecnie?" totalsRowFunction="custom" totalsRowDxfId="46">
      <totalsRowFormula>COUNTA((BP3:BP35))</totalsRowFormula>
    </tableColumn>
    <tableColumn id="61" xr3:uid="{8B4485AE-C106-41C7-89AC-D28DBDA4C166}" name="Jakiego rodzaju były studia, które ukończył/a Twoja/Twój podopieczna/podopieczny?" totalsRowFunction="custom" totalsRowDxfId="45">
      <totalsRowFormula>COUNTA((BQ3:BQ35))</totalsRowFormula>
    </tableColumn>
    <tableColumn id="62" xr3:uid="{F0DE0B1C-928B-4581-8D63-11188CD95233}" name="Pole dodatkowe10" totalsRowFunction="custom" totalsRowDxfId="44">
      <totalsRowFormula>COUNTA((BR3:BR35))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3">
      <totalsRowFormula>COUNTA((BS3:BS35))</totalsRowFormula>
    </tableColumn>
    <tableColumn id="64" xr3:uid="{08619068-F1EA-4298-AAE7-77A34A620074}" name="Czy będziesz oceniał uczelnię ukończoną przez drugiego podopiecznego?" totalsRowFunction="custom" totalsRowDxfId="42">
      <totalsRowFormula>COUNTA((BT3:BT35))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1">
      <totalsRowFormula>COUNTA((BU3:BU35))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0">
      <totalsRowFormula>COUNTA((BV3:BV35))</totalsRowFormula>
    </tableColumn>
    <tableColumn id="67" xr3:uid="{1C6ADC27-9F30-4227-81CE-3C15A0D6C10C}" name="Czy ukończony kierunek był kierunkiem technicznym, tzn. takim, po którym uzyskano tytuł inżyniera?13" totalsRowFunction="custom" totalsRowDxfId="39">
      <totalsRowFormula>COUNTA((BW3:BW35))</totalsRowFormula>
    </tableColumn>
    <tableColumn id="68" xr3:uid="{94C8B518-4547-40DD-AC32-B5C834F0511E}" name="Jak się nazywa kierunek, który ukończył/a Twoja/Twój podopieczna/podopieczny?14" totalsRowFunction="custom" totalsRowDxfId="38">
      <totalsRowFormula>COUNTA((BX3:BX35))</totalsRowFormula>
    </tableColumn>
    <tableColumn id="69" xr3:uid="{00BE12AC-CBE0-47D5-8BEF-A62C47DFED23}" name="Moja satysfakcja z (efektów) usług edukacyjnych ocenianej uczelni jest wysoka.15" totalsRowFunction="custom" totalsRowDxfId="37">
      <totalsRowFormula>COUNTA((BY3:BY35))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6">
      <totalsRowFormula>COUNTA((BZ3:BZ35))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5">
      <totalsRowFormula>COUNTA((CA3:CA35))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4">
      <totalsRowFormula>COUNTA((CB3:CB35))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3">
      <totalsRowFormula>COUNTA((CC3:CC35))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2">
      <totalsRowFormula>COUNTA((CD3:CD35))</totalsRowFormula>
    </tableColumn>
    <tableColumn id="75" xr3:uid="{54EF7743-0CB2-446D-9665-46C77C464F05}" name="Jakie inne (poza zarobkami) efekty kształcenia na ocenianej uczelni się dostrzegasz obecnie?21" totalsRowFunction="custom" totalsRowDxfId="31">
      <totalsRowFormula>COUNTA((CE3:CE35))</totalsRowFormula>
    </tableColumn>
    <tableColumn id="76" xr3:uid="{BE93B27C-1906-4695-BEC1-231FA6883C68}" name="Jakiego rodzaju były studia, które ukończył/a Twoja/Twój podopieczna/podopieczny?22" totalsRowFunction="custom" totalsRowDxfId="30">
      <totalsRowFormula>COUNTA((CF3:CF35))</totalsRowFormula>
    </tableColumn>
    <tableColumn id="77" xr3:uid="{C2670D09-B14E-48CE-8D3B-FD4F08474C2E}" name="Pole dodatkowe23" totalsRowFunction="custom" totalsRowDxfId="29">
      <totalsRowFormula>COUNTA((CG3:CG35))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28">
      <totalsRowFormula>COUNTA((CH3:CH35))</totalsRowFormula>
    </tableColumn>
    <tableColumn id="79" xr3:uid="{E97ECC9E-9FF4-4C29-9ADE-07B0EFB1798E}" name="Czy będziesz oceniał uczelnię ukończoną przez trzeciego podopiecznego?" totalsRowFunction="custom" totalsRowDxfId="27">
      <totalsRowFormula>COUNTA((CI3:CI35))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26">
      <totalsRowFormula>COUNTA((CJ3:CJ35))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25">
      <totalsRowFormula>COUNTA((CK3:CK35))</totalsRowFormula>
    </tableColumn>
    <tableColumn id="82" xr3:uid="{E402E02B-32F9-4918-AC52-1E2746EFF732}" name="Czy ukończony kierunek był kierunkiem technicznym, tzn. takim, po którym uzyskano tytuł inżyniera?27" totalsRowFunction="custom" totalsRowDxfId="24">
      <totalsRowFormula>COUNTA((CL3:CL35))</totalsRowFormula>
    </tableColumn>
    <tableColumn id="83" xr3:uid="{366FF8BB-67D0-4A1D-9E42-1C25C26E69CE}" name="Jak się nazywa kierunek, który ukończył/a Twoja/Twój podopieczna/podopieczny?28" totalsRowFunction="custom" totalsRowDxfId="23">
      <totalsRowFormula>COUNTA((CM3:CM35))</totalsRowFormula>
    </tableColumn>
    <tableColumn id="84" xr3:uid="{32321BD9-57CD-47D0-BD7D-B2AFCC1C3078}" name="Moja satysfakcja z (efektów) usług edukacyjnych ocenianej uczelni jest wysoka.29" totalsRowFunction="custom" totalsRowDxfId="22">
      <totalsRowFormula>COUNTA((CN3:CN35))</totalsRowFormula>
    </tableColumn>
    <tableColumn id="85" xr3:uid="{27DF5669-9BEE-4320-9001-51E16696F4B3}" name="Usługi edukacyjne ocenianej uczelni mają wysoką wartość (okazja / szansa rozwoju własnego lub kariery).30" totalsRowFunction="custom" totalsRowDxfId="21">
      <totalsRowFormula>COUNTA((CO3:CO35))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20">
      <totalsRowFormula>COUNTA((CP3:CP35))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19">
      <totalsRowFormula>COUNTA((CQ3:CQ35))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18">
      <totalsRowFormula>COUNTA((CR3:CR35))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17">
      <totalsRowFormula>COUNTA((CS3:CS35))</totalsRowFormula>
    </tableColumn>
    <tableColumn id="90" xr3:uid="{5F53B8F1-FD09-4B74-AA23-7EDED9615A73}" name="Jakie inne (poza zarobkami) efekty kształcenia na ocenianej uczelni się dostrzegasz obecnie?35" totalsRowFunction="custom" totalsRowDxfId="16">
      <totalsRowFormula>COUNTA((CT3:CT35))</totalsRowFormula>
    </tableColumn>
    <tableColumn id="91" xr3:uid="{0049B607-BD4D-49EA-B5EE-E8E785ACDC34}" name="Jakiego rodzaju były studia, które ukończył/a Twoja/Twój podopieczna/podopieczny?36" totalsRowFunction="custom" totalsRowDxfId="15">
      <totalsRowFormula>COUNTA((CU3:CU35))</totalsRowFormula>
    </tableColumn>
    <tableColumn id="92" xr3:uid="{86B9680A-4D70-4DFA-8189-827F813E4B73}" name="Pole dodatkowe37" totalsRowFunction="custom" totalsRowDxfId="14">
      <totalsRowFormula>COUNTA((CV3:CV35))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13">
      <totalsRowFormula>COUNTA((CW3:CW35))</totalsRowFormula>
    </tableColumn>
    <tableColumn id="94" xr3:uid="{BA461F2C-93E1-4AB3-B06B-BCD05B9B9AA2}" name="Czy jesteś aktualnie pracownikiem administracyjnym uczelni wyższej?" totalsRowFunction="custom" dataDxfId="119" totalsRowDxfId="12">
      <totalsRowFormula>COUNTA((CX3:CX35))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118" totalsRowDxfId="11">
      <totalsRowFormula>COUNTA((DH3:DH35))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117" totalsRowDxfId="10">
      <totalsRowFormula>COUNTA((DR3:DR35))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116" totalsRowDxfId="9">
      <totalsRowFormula>COUNTA((EU3:EU35))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115" totalsRowDxfId="8">
      <totalsRowFormula>COUNTA((FU3:FU35))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7">
      <totalsRowFormula>COUNTA((HF3:HF35))</totalsRowFormula>
    </tableColumn>
    <tableColumn id="207" xr3:uid="{2B31368C-8BB4-45F5-A368-4A4E1AFFFE2E}" name="Rok urodzenia" totalsRowFunction="custom" totalsRowDxfId="6">
      <totalsRowFormula>COUNTA((HG3:HG35))</totalsRowFormula>
    </tableColumn>
    <tableColumn id="215" xr3:uid="{0DA27BC3-BCA7-4CF6-A54C-77E28EA17827}" name="GrupaWiekowa" dataDxfId="114" totalsRowDxfId="5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4">
      <totalsRowFormula>COUNTA((HI3:HI35))</totalsRowFormula>
    </tableColumn>
    <tableColumn id="209" xr3:uid="{40C0F4A2-88CA-4804-AB61-0C883C5C9CF7}" name="Pole dodatkowe52" totalsRowFunction="custom" totalsRowDxfId="3">
      <totalsRowFormula>COUNTA((HJ3:HJ35))</totalsRowFormula>
    </tableColumn>
    <tableColumn id="210" xr3:uid="{B1D5E2A4-3FA4-4D1D-ACA2-E506E6C3632D}" name="Jakie inne wykształcenie poza tym uwzględnionym w niniejszej ankiecie posiadasz? (ukończone szkoły/studia)" totalsRowFunction="custom" totalsRowDxfId="2">
      <totalsRowFormula>COUNTA((HK3:HK35))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1">
      <totalsRowFormula>COUNTA((HL3:HL35))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0">
      <totalsRowFormula>COUNTA((HM3:HM35))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533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5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531">
  <autoFilter ref="B11:C41" xr:uid="{153EF96D-20D3-4BD5-AB25-706F6B338490}"/>
  <tableColumns count="2">
    <tableColumn id="1" xr3:uid="{F3934641-58AD-451D-A35B-5D57D7E0E414}" name="Nazwa uczelni" dataDxfId="530"/>
    <tableColumn id="2" xr3:uid="{011F8DAE-7C60-444B-B4A2-78D05A325532}" name="Kategoria uczelni" dataDxfId="5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D52" totalsRowShown="0" headerRowDxfId="528">
  <autoFilter ref="B44:D52" xr:uid="{68DE2C12-96E3-4A1C-8B94-8F1447F9EB90}"/>
  <tableColumns count="3">
    <tableColumn id="1" xr3:uid="{6B73594D-97F8-40B5-8D98-2D51B43C79AA}" name="Opis słowny oceny"/>
    <tableColumn id="2" xr3:uid="{804EFE98-5770-4860-8B57-889FCCD88199}" name="Przypisana wartość oceny"/>
    <tableColumn id="3" xr3:uid="{484B5656-683C-483B-9A8C-987F1B85A226}" name="Granice przedziałów" dataDxfId="527">
      <calculatedColumnFormula>1+6/7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26DE38-F7A2-4F97-87CE-56F2D813A5B5}" name="Tabl_tStudenta" displayName="Tabl_tStudenta" ref="C56:J176" totalsRowShown="0" headerRowDxfId="526">
  <autoFilter ref="C56:J176" xr:uid="{5D26DE38-F7A2-4F97-87CE-56F2D813A5B5}"/>
  <tableColumns count="8">
    <tableColumn id="1" xr3:uid="{87EDC6F7-8950-491A-8CAF-CF6610BCA33B}" name="Poziom istotności / _x000a_stopnie swobody" dataDxfId="525"/>
    <tableColumn id="2" xr3:uid="{F106C8A1-9E83-4F2B-9ACF-D9BBF496E3D6}" name="0,5">
      <calculatedColumnFormula>TINV(D$56,$C57)</calculatedColumnFormula>
    </tableColumn>
    <tableColumn id="3" xr3:uid="{FB2EE989-5C5A-4A34-8625-A4D55FA08EDC}" name="0,2">
      <calculatedColumnFormula>TINV(E$56,$C57)</calculatedColumnFormula>
    </tableColumn>
    <tableColumn id="4" xr3:uid="{525470A6-6182-48FF-9215-A1B3BA3B527F}" name="0,1">
      <calculatedColumnFormula>TINV(F$56,$C57)</calculatedColumnFormula>
    </tableColumn>
    <tableColumn id="5" xr3:uid="{943C4579-50D5-4376-9842-B0BE2A23FD3F}" name="0,05">
      <calculatedColumnFormula>TINV(G$56,$C57)</calculatedColumnFormula>
    </tableColumn>
    <tableColumn id="6" xr3:uid="{DBDEB677-9711-494C-8239-B7BF19D26CB2}" name="0,01">
      <calculatedColumnFormula>TINV(H$56,$C57)</calculatedColumnFormula>
    </tableColumn>
    <tableColumn id="7" xr3:uid="{4466844B-B59B-4EDD-9B97-0367914A4B47}" name="0,005">
      <calculatedColumnFormula>TINV(I$56,$C57)</calculatedColumnFormula>
    </tableColumn>
    <tableColumn id="8" xr3:uid="{D35EFDD6-DAA8-48C8-AACA-5F967497B806}" name="0,001">
      <calculatedColumnFormula>TINV(J$56,$C57)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128A-46C3-497C-A070-B19EDC90314A}" name="InterpretacjaŚredniej" displayName="InterpretacjaŚredniej" ref="F44:G51" totalsRowShown="0" headerRowDxfId="524">
  <autoFilter ref="F44:G51" xr:uid="{0B0D128A-46C3-497C-A070-B19EDC90314A}"/>
  <tableColumns count="2">
    <tableColumn id="1" xr3:uid="{85BFDFE9-FEF0-48BD-8D34-235474A93582}" name="Wartość graniczna" dataDxfId="523"/>
    <tableColumn id="2" xr3:uid="{1807328A-696A-4241-94CB-E1EC739F6F81}" name="Interpretacja średniej" dataDxfId="52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468" totalsRowDxfId="467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466" totalsRowDxfId="465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464">
      <totalsRowFormula>COUNTA((O3:O159))</totalsRowFormula>
    </tableColumn>
    <tableColumn id="14" xr3:uid="{0BD7A98F-1F10-4FB8-B054-37BDD3B56396}" name="Czy jesteś studentem uczelni wyższej?" totalsRowFunction="custom" dataDxfId="463" totalsRowDxfId="462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461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460">
      <totalsRowFormula>COUNTA((R3:R159))</totalsRowFormula>
    </tableColumn>
    <tableColumn id="17" xr3:uid="{24BCBB34-34C1-4984-962F-C53466F3EF8F}" name="Jak się nazywa kierunek, na którym studiujesz?" totalsRowFunction="custom" totalsRowDxfId="459">
      <totalsRowFormula>COUNTA((S3:S159))</totalsRowFormula>
    </tableColumn>
    <tableColumn id="18" xr3:uid="{9ADB9BCC-C1C9-4FDD-A2DF-FCC26DBEB749}" name="Moja satysfakcja z usług edukacyjnych ocenianej uczelni jest wysoka." totalsRowFunction="custom" totalsRowDxfId="458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457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456">
      <totalsRowFormula>COUNTA((V3:V159))</totalsRowFormula>
    </tableColumn>
    <tableColumn id="21" xr3:uid="{EAC188BA-5A2E-4D44-97B7-481328766AE0}" name="Kolumna1" totalsRowFunction="custom" totalsRowDxfId="455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454">
      <totalsRowFormula>COUNTA((X3:X159))</totalsRowFormula>
    </tableColumn>
    <tableColumn id="23" xr3:uid="{36E47482-B5FD-4E87-827E-0139C02CF35C}" name="w 3 lata po ukończeniu studiów : wybierz wartość z listy rozwijanej" totalsRowFunction="custom" totalsRowDxfId="453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452">
      <totalsRowFormula>COUNTA((Z3:Z159))</totalsRowFormula>
    </tableColumn>
    <tableColumn id="25" xr3:uid="{D91B74B4-E8B9-401D-A7E4-820C4DF791D4}" name="Jakie elementy lub cechy sprawiały, że Tobie studiowało się dobrze?" totalsRowFunction="custom" totalsRowDxfId="451">
      <totalsRowFormula>COUNTA((AA3:AA159))</totalsRowFormula>
    </tableColumn>
    <tableColumn id="26" xr3:uid="{1E74CD43-D0E9-47B9-8442-05054D3E31F6}" name="Jakie elementy lub cechy sprawiały, że Tobie studiowało się źle?" totalsRowFunction="custom" totalsRowDxfId="450">
      <totalsRowFormula>COUNTA((AB3:AB159))</totalsRowFormula>
    </tableColumn>
    <tableColumn id="27" xr3:uid="{D0177BE1-4E02-4595-8669-95C494930B5B}" name="Jakiego rodzaju są Twoje studia?" totalsRowFunction="custom" totalsRowDxfId="449">
      <totalsRowFormula>COUNTA((AC3:AC159))</totalsRowFormula>
    </tableColumn>
    <tableColumn id="28" xr3:uid="{3597DDE1-E56A-406C-8EDD-22E18D515174}" name="Pole dodatkowe" totalsRowFunction="custom" totalsRowDxfId="448">
      <totalsRowFormula>COUNTA((AD3:AD159))</totalsRowFormula>
    </tableColumn>
    <tableColumn id="29" xr3:uid="{66ED4699-908F-4DD2-BD11-F0A6AA4499D4}" name="Na którym semestrze studiujesz obecnie?" totalsRowFunction="custom" totalsRowDxfId="447">
      <totalsRowFormula>COUNTA((AE3:AE159))</totalsRowFormula>
    </tableColumn>
    <tableColumn id="30" xr3:uid="{665AE932-5635-468D-B539-28624FF56492}" name="Czy jesteś absolwentem uczelni wyższej?" totalsRowFunction="custom" dataDxfId="446" totalsRowDxfId="445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444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443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442">
      <totalsRowFormula>COUNTA((AI3:AI159))</totalsRowFormula>
    </tableColumn>
    <tableColumn id="34" xr3:uid="{ADAE23AC-8F73-4453-AC5D-FE2116FA8AF9}" name="Jak się nazywa kierunek, który ukończyłaś/eś?" totalsRowFunction="custom" totalsRowDxfId="441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440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439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438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437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436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435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434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433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432">
      <totalsRowFormula>COUNTA((AS3:AS159))</totalsRowFormula>
    </tableColumn>
    <tableColumn id="44" xr3:uid="{C9AA4BEA-8991-4F56-A7E1-DA0762C2B486}" name="Co wpływało na twoją satysfakcję ze studiowania?_x000a_" totalsRowFunction="custom" totalsRowDxfId="431">
      <totalsRowFormula>COUNTA((AT3:AT159))</totalsRowFormula>
    </tableColumn>
    <tableColumn id="45" xr3:uid="{00A5350A-103D-4E86-99F7-01E1F081E96E}" name="Kolumna6" totalsRowFunction="custom" totalsRowDxfId="430">
      <totalsRowFormula>COUNTA((AU3:AU159))</totalsRowFormula>
    </tableColumn>
    <tableColumn id="46" xr3:uid="{AB30AA0A-ADAF-4A76-852B-9C6171DBA36D}" name="Jakiego rodzaju były Twoje studia?" totalsRowFunction="custom" totalsRowDxfId="429">
      <totalsRowFormula>COUNTA((AV3:AV159))</totalsRowFormula>
    </tableColumn>
    <tableColumn id="47" xr3:uid="{156EF4B8-4A3F-4406-9CDE-324D32F939BA}" name="Pole dodatkowe7" totalsRowFunction="custom" totalsRowDxfId="428">
      <totalsRowFormula>COUNTA((AW3:AW159))</totalsRowFormula>
    </tableColumn>
    <tableColumn id="48" xr3:uid="{085D3107-411D-41F8-A270-88DCB1EAF46B}" name="Czy jesteś rodzicem / opiekunem absolwenta uczelni wyższej?" totalsRowFunction="custom" dataDxfId="427" totalsRowDxfId="426">
      <totalsRowFormula>COUNTA((AX3:AX159))</totalsRowFormula>
    </tableColumn>
    <tableColumn id="49" xr3:uid="{373F08C1-1889-416C-AADD-9D721E98EE00}" name="Uczelnie ilu podopiecznych będziesz oceniać?" totalsRowFunction="custom" totalsRowDxfId="425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424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423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422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421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420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419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418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417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416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15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414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413">
      <totalsRowFormula>COUNTA((BK3:BK159))</totalsRowFormula>
    </tableColumn>
    <tableColumn id="62" xr3:uid="{D7A10314-D8C8-4D47-9939-D597680A8D89}" name="Pole dodatkowe10" totalsRowFunction="custom" totalsRowDxfId="412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411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410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409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408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407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406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405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404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403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402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401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400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399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398">
      <totalsRowFormula>COUNTA((BZ3:BZ159))</totalsRowFormula>
    </tableColumn>
    <tableColumn id="77" xr3:uid="{6FCF6001-0320-49B2-98E4-DBE8BE04E809}" name="Pole dodatkowe23" totalsRowFunction="custom" totalsRowDxfId="397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396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395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394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393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392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391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390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389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388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387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386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85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384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383">
      <totalsRowFormula>COUNTA((CO3:CO159))</totalsRowFormula>
    </tableColumn>
    <tableColumn id="92" xr3:uid="{D87D6F17-9A18-4BD2-82A2-E153AE86B37C}" name="Pole dodatkowe37" totalsRowFunction="custom" totalsRowDxfId="382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381">
      <totalsRowFormula>COUNTA((CQ3:CQ159))</totalsRowFormula>
    </tableColumn>
    <tableColumn id="94" xr3:uid="{E7DDA408-1945-4BDE-9B5A-12AAC3E05194}" name="Czy jesteś aktualnie pracownikiem administracyjnym uczelni wyższej?" totalsRowFunction="custom" dataDxfId="380" totalsRowDxfId="379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378"/>
    <tableColumn id="96" xr3:uid="{F959B9F3-C53C-4C63-A092-AF4A70D45B06}" name="Na jakim wydziale pracujesz?" totalsRowDxfId="377"/>
    <tableColumn id="97" xr3:uid="{19273B31-1872-4994-B739-304F1E7FBD34}" name="Moja satysfakcja z pracy na ocenianej uczelni jest wysoka." totalsRowDxfId="376"/>
    <tableColumn id="98" xr3:uid="{EE7C1371-E788-4978-B01E-B5870F3E97D1}" name="Atmosfera w zespole współpracowników jest dobra." totalsRowDxfId="375"/>
    <tableColumn id="99" xr3:uid="{04B25BDB-5FFA-42B5-AEBA-FC863BEDBC77}" name="Moje zarobki są satysfakcjonujące." totalsRowDxfId="374"/>
    <tableColumn id="100" xr3:uid="{DAD2DC5B-8DF9-49D3-A852-672969268131}" name="Praca na ocenianej uczelni daje mi duże szanse rozwoju." totalsRowDxfId="373"/>
    <tableColumn id="101" xr3:uid="{27C35901-3DF8-4B77-BEB2-58D43C8B6871}" name="Wartość wykształcenia zdobywanego przez studentów ocenianej uczelni jest wysoka." totalsRowDxfId="372"/>
    <tableColumn id="102" xr3:uid="{4669105C-8E5E-4FD6-97C5-3F5E1BE9CAE4}" name="Zdobyte na ocenianej uczelni wykształcenie ma pozytywny wpływ na zwiększenie zarobków absolwentów." totalsRowDxfId="371"/>
    <tableColumn id="103" xr3:uid="{C2B9909A-91DF-4FB2-B673-AACC920851EA}" name="Jakie inne (poza zarobkami) efekty kształcenia na ocenianej uczelni się dostrzegasz obecnie?39" totalsRowDxfId="370"/>
    <tableColumn id="104" xr3:uid="{1F0E0013-CC4E-4656-BDA5-9028148E569A}" name="Czy jesteś aktualnie pracownikiem naukowym lub dydaktycznym uczelni wyższej?" totalsRowFunction="custom" dataDxfId="369" totalsRowDxfId="368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367"/>
    <tableColumn id="106" xr3:uid="{FAD00E10-66DF-401D-8721-330410755C4C}" name="Na jakim wydziale pracujesz?41" totalsRowDxfId="366"/>
    <tableColumn id="107" xr3:uid="{3ED79AD9-3A2A-4796-A7F7-27B53055A7C5}" name="Moja satysfakcja z pracy na ocenianej uczelni jest wysoka.42" totalsRowDxfId="365"/>
    <tableColumn id="108" xr3:uid="{88F3FD29-277A-4D3B-9F35-812F832A00F4}" name="Atmosfera w zespole współpracowników jest dobra.43" totalsRowDxfId="364"/>
    <tableColumn id="109" xr3:uid="{DC511D2A-6FF2-4B52-B52A-324E6688C5E0}" name="Moje zarobki są satysfakcjonujące.44" totalsRowDxfId="363"/>
    <tableColumn id="110" xr3:uid="{3C031862-BB50-46FB-A01C-928A7B955B19}" name="Praca na ocenianej uczelni daje mi duże szanse rozwoju.45" totalsRowDxfId="362"/>
    <tableColumn id="111" xr3:uid="{26178753-38CF-4749-A317-A1E5F425DF12}" name="Wartość wykształcenia zdobywanego przez studentów ocenianej uczelni jest wysoka.46" totalsRowDxfId="361"/>
    <tableColumn id="112" xr3:uid="{889B113B-59F9-4196-9536-C41274799622}" name="Zdobyte na ocenianej uczelni wykształcenie ma pozytywny wpływ na zwiększenie zarobków absolwentów.47" totalsRowDxfId="360"/>
    <tableColumn id="113" xr3:uid="{018446A9-87AE-432A-96CE-C29A37692C27}" name="Jakie inne (poza zarobkami) efekty kształcenia na ocenianej uczelni dostrzegasz obecnie?48" totalsRowDxfId="359"/>
    <tableColumn id="114" xr3:uid="{D11A2879-2C85-42C1-9C08-4BA4A9592DB0}" name="Czy jesteś przedstawicielem władz uczelni z grupy rektorów, prorektorów, dziekanów, prodziekanów, członków senatu lub członków rady uczelni?" totalsRowFunction="custom" dataDxfId="358" totalsRowDxfId="357">
      <totalsRowFormula>COUNTA((DL3:DL159))</totalsRowFormula>
    </tableColumn>
    <tableColumn id="115" xr3:uid="{758B3CD0-0C56-4596-8D61-D90700A05DA1}" name="Proszę podać pełnioną funkcję" totalsRowDxfId="356"/>
    <tableColumn id="116" xr3:uid="{E904AED4-A38D-42EF-9D38-709BB163A619}" name="Kolumna3" totalsRowDxfId="355"/>
    <tableColumn id="117" xr3:uid="{AF0D4680-ECCA-4738-825E-AB146FC0FF8F}" name="Kolumna4" totalsRowDxfId="354"/>
    <tableColumn id="118" xr3:uid="{65A15536-DE99-4D16-A20B-206F127C5BFB}" name="Kolumna5" totalsRowDxfId="353"/>
    <tableColumn id="119" xr3:uid="{E05782FB-7FE9-42ED-94C4-B7F653167A0F}" name="Jak się nazywa uczelnia którą będziesz oceniać (jako przedstawiciel jej władz)?" totalsRowDxfId="352"/>
    <tableColumn id="120" xr3:uid="{1B7FA187-1663-4FBF-A3C5-EA8D6A053A25}" name="Efekty działań ocenianej uczelni na rzesz jakości edukacji są dobre" totalsRowDxfId="351"/>
    <tableColumn id="121" xr3:uid="{8A6C2138-0511-4784-9BCB-D7F056FD5756}" name="Wartość wykształcenia zdobywanego przez studentów na ocenianej uczelni jest wysoka." totalsRowDxfId="350"/>
    <tableColumn id="122" xr3:uid="{33664698-CEF8-4115-B63B-828882A6D501}" name="Zdobyte przez studentów ocenianej uczelni wykształcenie miało/ma pozytywny wpływ na ich zarobki." totalsRowDxfId="349"/>
    <tableColumn id="123" xr3:uid="{6548C317-5775-47D8-8BB5-03CE96ABFB2C}" name="Efekty działań ocenianej uczelni na rzecz jakości edukacji mają dobry wpływ na rozwój regionu." totalsRowDxfId="348"/>
    <tableColumn id="124" xr3:uid="{04271A5C-5560-4CF8-90D9-89BA9B015FBC}" name="Efekty działań ocenianej uczelni na rzecz jakości edukacji mają dobry wpływ na rozwój Polski." totalsRowDxfId="347"/>
    <tableColumn id="125" xr3:uid="{123DE0DC-02B2-4F9B-BEEB-704DB06821EE}" name="Współpraca ocenianej uczelni z biznesem ma pozytywne efekty dla rozwoju regionu / kraju." totalsRowDxfId="346"/>
    <tableColumn id="126" xr3:uid="{A0DF07F0-161A-4193-A1E6-2065A1C8B63E}" name="Ogólny poziom mojej satysfakcji z jakości usług edukacyjnych ocenianej uczelni jest wysoki." totalsRowDxfId="345"/>
    <tableColumn id="127" xr3:uid="{78D52D23-A055-4089-AEA3-0D0030CEAC4A}" name="Studenci : wybierz wartość z listy rozwijanej" totalsRowDxfId="344"/>
    <tableColumn id="128" xr3:uid="{3C88D815-7B36-4940-B457-1D4916A18A9A}" name="Absolwenci : wybierz wartość z listy rozwijanej" totalsRowDxfId="343"/>
    <tableColumn id="129" xr3:uid="{B7AADA93-8D0B-47F3-BCD2-912D3D3EFF96}" name="Rodzice absolwentów : wybierz wartość z listy rozwijanej" totalsRowDxfId="342"/>
    <tableColumn id="130" xr3:uid="{2419B54D-E941-464A-ABB8-3A728F2F5596}" name="Pracownicy administracyjni : wybierz wartość z listy rozwijanej" totalsRowDxfId="341"/>
    <tableColumn id="131" xr3:uid="{BAB27B7B-2698-4085-8E82-FA14AF164B29}" name="Pracownicy naukowi i dydaktyczni : wybierz wartość z listy rozwijanej" totalsRowDxfId="340"/>
    <tableColumn id="132" xr3:uid="{6A6F970F-B3EB-4E50-9DE6-C8C4C7CAA18A}" name="Pracodawcy : wybierz wartość z listy rozwijanej" totalsRowDxfId="339"/>
    <tableColumn id="133" xr3:uid="{09A6A719-E450-4AC4-8182-90B1F383E84C}" name="Władze samorządowe i centralne : wybierz wartość z listy rozwijanej" totalsRowDxfId="338"/>
    <tableColumn id="134" xr3:uid="{2E207BF2-E2F1-4F2B-9DAE-D3B78D867559}" name="Pole dodatkowe4" totalsRowDxfId="337"/>
    <tableColumn id="135" xr3:uid="{EEB77D73-5571-4E17-8266-02BB1710B8F0}" name="Studenci : wybierz wartość z listy rozwijanej5" totalsRowDxfId="336"/>
    <tableColumn id="136" xr3:uid="{81EA592A-292B-42BA-AA88-85A430ABBA5B}" name="Absolwenci : wybierz wartość z listy rozwijanej6" totalsRowDxfId="335"/>
    <tableColumn id="137" xr3:uid="{AC693E91-1370-42E2-8C6B-A2DEAEDAD6D8}" name="Rodzice absolwentów : wybierz wartość z listy rozwijanej7" totalsRowDxfId="334"/>
    <tableColumn id="138" xr3:uid="{C972A3A6-50AF-4CF0-9221-51F3F1B825B5}" name="Pracownicy administracyjni : wybierz wartość z listy rozwijanej8" totalsRowDxfId="333"/>
    <tableColumn id="139" xr3:uid="{8A17F47D-C5DA-4436-9144-E5A1DC2CE401}" name="Pracownicy naukowi i dydaktyczni : wybierz wartość z listy rozwijanej9" totalsRowDxfId="332"/>
    <tableColumn id="140" xr3:uid="{9C9F0784-2723-4BBD-AE36-08FD5221319D}" name="Pracodawcy : wybierz wartość z listy rozwijanej10" totalsRowDxfId="331"/>
    <tableColumn id="141" xr3:uid="{AAE33EE1-D3BE-432C-9A2D-5D55BE9F26EC}" name="Władze samorządowe i centralne : wybierz wartość z listy rozwijanej11" totalsRowDxfId="330"/>
    <tableColumn id="142" xr3:uid="{C7BCF657-B75F-43D7-A19C-E0A38F71C79A}" name="Pole dodatkowe12" totalsRowDxfId="329"/>
    <tableColumn id="143" xr3:uid="{027BA0BD-D7CE-4B61-BD34-CD9336762A59}" name="Czy jesteś przedstawicielem firmy, w której są zatrudniani absolwenci uczelni wyższych (tytuł licencjata, magistra lub wyższy)?" totalsRowFunction="custom" dataDxfId="328" totalsRowDxfId="327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326"/>
    <tableColumn id="145" xr3:uid="{A9C11981-CE44-482B-9485-624EB4CFA91B}" name="Ile uczelni będziesz oceniać?" totalsRowDxfId="325"/>
    <tableColumn id="146" xr3:uid="{822F037D-C81E-4AA1-A477-75B7599C4C4E}" name="Jak się nazywa uczelnia, którą ocenisz? " totalsRowDxfId="324"/>
    <tableColumn id="147" xr3:uid="{B879E027-4001-4F17-98A9-1FF6DD06C0F9}" name="Moja satysfakcja z (efektów) usług edukacyjnych na ocenianej uczelni jest wysoka." totalsRowDxfId="323"/>
    <tableColumn id="148" xr3:uid="{887E2640-884A-454A-B596-856E217BE2DD}" name="Kompetencje absolwentów ocenianej uczelni są wysokie." totalsRowDxfId="322"/>
    <tableColumn id="149" xr3:uid="{478F5E65-AE32-4F52-99FA-3830D9323C3C}" name="Zarobki absolwentów ocenianej uczelni zatrudnionych w mojej firmie są wyższe od zarobków absolwentów innych polskich uczelni." totalsRowDxfId="321"/>
    <tableColumn id="150" xr3:uid="{E5D4AD52-FA66-4019-983E-25DC2AF5A5A8}" name="Czy w Twojej firmie są zatrudniani absolwenci uczelni w pierwszym roku po ukończeniu studiów (do 12 miesięcy od uzyskania dyplomu)?" totalsRowDxfId="320"/>
    <tableColumn id="151" xr3:uid="{FDC480C9-E39B-4D41-9995-A191329D3555}" name="Jakie kompetencje absolwentów ocenianej uczelni są w Twojej firmie najwyżej wyceniane?" totalsRowDxfId="319"/>
    <tableColumn id="152" xr3:uid="{558E6650-0292-450C-9D81-46BC7B7FA1C9}" name="Jakiego rodzaju prace wykonują absolwenci ocenianej uczelni w Twojej firmie?" totalsRowDxfId="318"/>
    <tableColumn id="153" xr3:uid="{9E8CE1F9-05B3-4737-AC9A-FAE812FD292C}" name="Czy będziesz oceniał drugą uczelnię?" totalsRowDxfId="317"/>
    <tableColumn id="154" xr3:uid="{CEB66B10-0E60-4952-A1B0-1E5C8784E791}" name="Jak się nazywa uczelnia, którą ocenisz? 13" totalsRowDxfId="316"/>
    <tableColumn id="155" xr3:uid="{2864E703-440A-477E-8352-68DEA39F85CD}" name="Moja satysfakcja z (efektów) usług edukacyjnych na ocenianej uczelni jest wysoka.14" totalsRowDxfId="315"/>
    <tableColumn id="156" xr3:uid="{B38513D8-CC85-41E0-85A1-82AC6807323C}" name="Kompetencje absolwentów ocenianej uczelni są wysokie.15" totalsRowDxfId="314"/>
    <tableColumn id="157" xr3:uid="{204ADF47-FBCC-47A6-95D9-5D3E03854768}" name="Zarobki absolwentów ocenianej uczelni zatrudnionych w mojej firmie są wyższe od zarobków absolwentów innych polskich uczelni.16" totalsRowDxfId="313"/>
    <tableColumn id="158" xr3:uid="{7E6A13F3-C53A-4FC9-B3AE-9EA25D9CBCE6}" name="Czy w Twojej firmie są zatrudniani absolwenci uczelni w pierwszym roku po ukończeniu studiów (do 12 miesięcy od uzyskania dyplomu)?17" totalsRowDxfId="312"/>
    <tableColumn id="159" xr3:uid="{83E7A1CC-295A-477E-8CD0-1E43143ACFF6}" name="Jakie kompetencje absolwentów ocenianej uczelni są w Twojej firmie najwyżej wyceniane?18" totalsRowDxfId="311"/>
    <tableColumn id="160" xr3:uid="{C3F49389-F342-4110-8A16-536B6EC87EC2}" name="Jakiego rodzaju prace wykonują absolwenci ocenianej uczelni w Twojej firmie?19" totalsRowDxfId="310"/>
    <tableColumn id="161" xr3:uid="{2BBFB49D-5EDF-4AC5-9179-70BCC6FA0B96}" name="Czy będziesz oceniał trzecią uczelnię techniczną?" totalsRowDxfId="309"/>
    <tableColumn id="162" xr3:uid="{829F7D1E-D133-43C4-A756-6D0B7542D44F}" name="Jak się nazywa uczelnia, którą ocenisz? 20" totalsRowDxfId="308"/>
    <tableColumn id="163" xr3:uid="{8758E395-9800-4CA8-BF43-3BFBF9507549}" name="Moja satysfakcja z (efektów) usług edukacyjnych na ocenianej uczelni jest wysoka.21" totalsRowDxfId="307"/>
    <tableColumn id="164" xr3:uid="{14ABF48C-A9EC-4153-B011-421959501B3A}" name="Kompetencje absolwentów ocenianej uczelni są wysokie.22" totalsRowDxfId="306"/>
    <tableColumn id="165" xr3:uid="{E8A014C5-F146-4C5D-B50B-6E968A7F8B46}" name="Zarobki absolwentów ocenianej uczelni zatrudnionych w mojej firmie są wyższe od zarobków absolwentów innych polskich uczelni.23" totalsRowDxfId="305"/>
    <tableColumn id="166" xr3:uid="{1FF6D355-AF16-4EB9-8805-4741E5F2867E}" name="Czy w Twojej firmie są zatrudniani absolwenci uczelni w pierwszym roku po ukończeniu studiów (do 12 miesięcy od uzyskania dyplomu)?24" totalsRowDxfId="304"/>
    <tableColumn id="167" xr3:uid="{71809E9D-42EC-47FD-9E58-0596DB8FD07D}" name="Jakie kompetencje absolwentów ocenianej uczelni są w Twojej firmie najwyżej wyceniane?25" totalsRowDxfId="303"/>
    <tableColumn id="168" xr3:uid="{6CA2A8B4-3095-459E-BDF0-43522EA7E403}" name="Jakiego rodzaju prace wykonują absolwenci ocenianej uczelni są w Twojej firmie?" totalsRowDxfId="302"/>
    <tableColumn id="169" xr3:uid="{6AEC3D33-E058-4E5E-AEC6-C091FCB970C9}" name="Czy jesteś przedstawicielem władz samorządowych lub centralnych Rzeczypospolitej Polskiej?" totalsRowFunction="custom" dataDxfId="301" totalsRowDxfId="300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299">
      <totalsRowFormula>COUNTA((GZ3:GZ159))</totalsRowFormula>
    </tableColumn>
    <tableColumn id="207" xr3:uid="{17374C0D-5C50-4F2D-9998-48F1A5105C49}" name="Rok urodzenia" totalsRowFunction="custom" totalsRowDxfId="298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297">
      <totalsRowFormula>COUNTA((HB3:HB159))</totalsRowFormula>
    </tableColumn>
    <tableColumn id="209" xr3:uid="{12CD2E72-E534-4809-A75E-AF29F5F5F088}" name="Pole dodatkowe52" totalsRowFunction="custom" totalsRowDxfId="296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295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294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293">
      <totalsRowFormula>COUNTA((HF3:HF159))</totalsRow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292" totalsRowDxfId="29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29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289" totalsRowDxfId="28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287"/>
    <tableColumn id="16" xr3:uid="{AA3DBEFA-9D73-475E-A9A5-2D42522C9072}" name="Czy studiujesz na kierunku technicznym, tzn. takim, po którym uzyskasz tytuł inżyniera?" totalsRowDxfId="286"/>
    <tableColumn id="17" xr3:uid="{8AAAEBAF-D354-47D3-8A57-BF9F06131A1E}" name="Jak się nazywa kierunek, na którym studiujesz?" totalsRowDxfId="285"/>
    <tableColumn id="18" xr3:uid="{CD9C7D41-ABD7-4C41-89ED-89A659BAC655}" name="Moja satysfakcja z usług edukacyjnych ocenianej uczelni jest wysoka." totalsRowDxfId="284"/>
    <tableColumn id="19" xr3:uid="{31FED63E-2530-44F3-A0E2-6B96989E02A8}" name="Usługi edukacyjne ocenianej uczelni mają wysoką wartość (okazja / szansa rozwoju własnego lub kariery)." totalsRowDxfId="283"/>
    <tableColumn id="20" xr3:uid="{378DDC9B-58A3-4DE4-A300-A19FD721A037}" name="Kształcenie na ocenianej uczelni ma/będzie miało pozytywny wpływ na zwiększenie moich zarobków." totalsRowDxfId="282"/>
    <tableColumn id="21" xr3:uid="{C6A24480-7451-49D9-8645-BC69D7F99331}" name="Kolumna1" totalsRowDxfId="281"/>
    <tableColumn id="22" xr3:uid="{D80E567D-CCDD-4B11-B18B-072D893C7687}" name="w pierwszym roku po ukończeniu studiów : wybierz wartość z listy rozwijanej" totalsRowDxfId="280"/>
    <tableColumn id="23" xr3:uid="{CF51D676-6C20-46B0-A565-D78CD8D4C947}" name="w 3 lata po ukończeniu studiów : wybierz wartość z listy rozwijanej" totalsRowDxfId="279"/>
    <tableColumn id="24" xr3:uid="{0F1B2099-4D7F-463D-AC59-617503BC5E14}" name="Jakich innych (poza zarobkami) efektów kształcenia na ocenianej uczelni się spodziewasz?" totalsRowDxfId="278"/>
    <tableColumn id="25" xr3:uid="{35D57207-52B7-455E-A9ED-A6AD95338EC7}" name="Co wpływa na Twoją satysfakcję ze studiowania?" totalsRowDxfId="277"/>
    <tableColumn id="26" xr3:uid="{CAD83457-32FA-404F-A708-C1B3C759AC6E}" name="Kolumna2" totalsRowDxfId="276"/>
    <tableColumn id="27" xr3:uid="{ADC35906-6D65-48D1-81AC-C4B4957B05D5}" name="Jakiego rodzaju są Twoje studia?" totalsRowDxfId="275"/>
    <tableColumn id="28" xr3:uid="{E068B642-DF74-4CAA-A88E-B517DC5FC386}" name="Pole dodatkowe" totalsRowDxfId="274"/>
    <tableColumn id="29" xr3:uid="{38F90488-07A7-4B7C-882D-784B03584081}" name="Na którym semestrze studiujesz obecnie?" totalsRowDxfId="273"/>
    <tableColumn id="30" xr3:uid="{5A578F2D-0AA4-4797-8F97-B23C8F9552C7}" name="Czy jesteś absolwentem uczelni wyższej?" totalsRowFunction="custom" dataDxfId="272" totalsRowDxfId="27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270"/>
    <tableColumn id="32" xr3:uid="{E591DDF7-3A8B-45B3-9972-7C4BB854C0A9}" name="W którym roku ukończyłaś/eś studia (rok w którym uzyskano dyplom ukończenia studiów drugiego stopnia, albo pierwszego stopnia, jeśli nie uzyskano dyplomu 2. stopnia)?" totalsRowDxfId="269"/>
    <tableColumn id="33" xr3:uid="{B826B930-988D-4AF8-9D52-5EF6AF6A7F20}" name="Czy ukończony kierunek był kierunkiem technicznym, tzn. takim, po którym uzyskałaś/eś tytuł inżyniera?" totalsRowDxfId="268"/>
    <tableColumn id="34" xr3:uid="{0507FF43-58D2-4683-81A2-9CE2C2FA5844}" name="Jak się nazywa kierunek, który ukończyłaś/eś?" totalsRowDxfId="267"/>
    <tableColumn id="35" xr3:uid="{AC65CB7E-A5EF-4C79-B96D-EA85400721B9}" name="Moja satysfakcja z (efektów) usług edukacyjnych ocenianej uczelni jest wysoka." totalsRowDxfId="266"/>
    <tableColumn id="36" xr3:uid="{36BB94DA-A6A2-46AA-A0C4-3AAE4ADCC084}" name="Usługi edukacyjne ocenianej uczelni mają wysoką wartość (okazja / szansa rozwoju własnego lub kariery).3" totalsRowDxfId="265"/>
    <tableColumn id="37" xr3:uid="{46DF242C-10FA-47FE-BC6B-045B295812CA}" name="Kształcenie na ocenianej uczelni ma/miało pozytywny wpływ na zwiększenie moich zarobków." totalsRowDxfId="264"/>
    <tableColumn id="38" xr3:uid="{22DB960F-1A91-4EB9-90EA-0C8BB104EBCF}" name="Moje zarobki w pierwszym roku po ukończeniu studiów były satysfakcjonujące." totalsRowDxfId="263"/>
    <tableColumn id="39" xr3:uid="{1AC1C2EA-FD9C-42F6-8732-E88F90068CC4}" name="Moje zarobki po 3. latach po ukończeniu studiów były satysfakcjonujące." totalsRowDxfId="26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261"/>
    <tableColumn id="41" xr3:uid="{53D325CD-E5E6-4C9E-81B0-775315EF4E8E}" name="w pierwszym roku po ukończeniu studiów : wybierz wartość z listy rozwijanej4" totalsRowDxfId="260"/>
    <tableColumn id="42" xr3:uid="{A6B799C8-D5F2-4C68-B71E-F83C3A6075B7}" name="w 3 lata po ukończeniu studiów : wybierz wartość z listy rozwijanej5" totalsRowDxfId="259"/>
    <tableColumn id="43" xr3:uid="{BC589F24-9BD1-4C2F-9397-D51311E5EC39}" name="Jakie inne (poza zarobkami) efekty kształcenia na ocenianej uczelni dostrzegasz obecnie?" totalsRowDxfId="258"/>
    <tableColumn id="44" xr3:uid="{A11C2A67-EC51-4621-92CF-198235F6DDC5}" name="Co wpływało na twoją satysfakcję ze studiowania?_x000a_" totalsRowDxfId="257"/>
    <tableColumn id="45" xr3:uid="{D388932F-1A0A-4689-AB91-4A4F282D3CA9}" name="Kolumna6" totalsRowDxfId="256"/>
    <tableColumn id="46" xr3:uid="{F488CAF2-B800-439E-8332-DDBED1146AB6}" name="Jakiego rodzaju były Twoje studia?" totalsRowDxfId="255"/>
    <tableColumn id="47" xr3:uid="{00FDD7E1-EBD3-4653-98C4-D74FA980AF99}" name="Pole dodatkowe7" totalsRowDxfId="254"/>
    <tableColumn id="48" xr3:uid="{E33AE7B1-7892-48E4-9DBC-AE5EF9034B4E}" name="Czy jesteś rodzicem / opiekunem absolwenta uczelni wyższej?" totalsRowFunction="custom" dataDxfId="253" totalsRowDxfId="25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251"/>
    <tableColumn id="50" xr3:uid="{6BB0F22F-B640-446D-B936-91DFADFA81F1}" name="Jak się nazywa uczelnia, którą ukończył/a Twoja/Twój podopieczna/podopieczny? (proszę o wybranie jednej uczelni podlegającej ocenie)" totalsRowDxfId="25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249"/>
    <tableColumn id="52" xr3:uid="{26244E73-3F31-4ED7-99CC-718C75773980}" name="Czy ukończony kierunek był kierunkiem technicznym, tzn. takim, po którym uzyskano tytuł inżyniera?" totalsRowDxfId="248"/>
    <tableColumn id="53" xr3:uid="{F00033CF-BE1C-4649-B99E-A3FC496AF05C}" name="Jak się nazywa kierunek, który ukończył/a Twoja/Twój podopieczna/podopieczny?" totalsRowDxfId="247"/>
    <tableColumn id="54" xr3:uid="{8AE8E0B0-E59A-4253-8E89-6503DDEE44E9}" name="Moja satysfakcja z (efektów) usług edukacyjnych ocenianej uczelni jest wysoka.8" totalsRowDxfId="246"/>
    <tableColumn id="55" xr3:uid="{D72C8628-4CEE-4A6D-BD58-0114E59C605E}" name="Usługi edukacyjne ocenianej uczelni mają wysoką wartość (okazja / szansa rozwoju własnego lub kariery).9" totalsRowDxfId="245"/>
    <tableColumn id="56" xr3:uid="{53B5753F-3212-43BB-931D-3559FF6976DF}" name="Kształcenie na ocenianej uczelni ma/będzie miało pozytywny wpływ na zwiększenie zarobków mojej/mojego podopiecznej/podopiecznego." totalsRowDxfId="244"/>
    <tableColumn id="57" xr3:uid="{A9563BF9-19A1-46BF-9F31-4690E6A2385C}" name="Zarobki uzyskiwane przez mojego/moją podopieczną/podopiecznego w pierwszym roku po ukończeniu studiów były satysfakcjonujące (z mojego punktu widzenia)" totalsRowDxfId="243"/>
    <tableColumn id="58" xr3:uid="{BCC66B2D-86FD-4227-A5E9-2164B45893B0}" name="Zarobki uzyskiwane przez mojego/moją podopieczną/podopiecznego w 3 lata po ukończeniu studiów były satysfakcjonujące (z mojego punktu widzenia)" totalsRowDxfId="24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241"/>
    <tableColumn id="60" xr3:uid="{94345A4F-9EAB-4FE8-A337-CCC43CF7D9D3}" name="Jakie inne (poza zarobkami) efekty kształcenia na ocenianej uczelni się dostrzegasz obecnie?" totalsRowDxfId="240"/>
    <tableColumn id="61" xr3:uid="{05A46EBB-09E0-4294-881F-C45E3B66E515}" name="Jakiego rodzaju były studia, które ukończył/a Twoja/Twój podopieczna/podopieczny?" totalsRowDxfId="239"/>
    <tableColumn id="62" xr3:uid="{FE0A86D0-775F-435F-8B90-2A7B29B0B462}" name="Pole dodatkowe10" totalsRowDxfId="238"/>
    <tableColumn id="63" xr3:uid="{3C426FB0-5F3F-46C5-9E34-DD901FAA5A82}" name="Jeśli Twoja/Twój podopieczna/podopieczny ukończył/a również inne szkoły / kierunki studiów to proszę wpisz je tutaj." totalsRowDxfId="237"/>
    <tableColumn id="64" xr3:uid="{7B6238C1-79C7-4C59-B174-F693B78A54C8}" name="Czy będziesz oceniał uczelnię ukończoną przez drugiego podopiecznego?" totalsRowDxfId="236"/>
    <tableColumn id="65" xr3:uid="{72E69603-FDA8-458A-B355-C3F6177E2961}" name="Jak się nazywa uczelnia, którą ukończył/a Twoja/Twój podopieczna/podopieczny? (proszę o wybranie jednej uczelni podlegającej ocenie)11" totalsRowDxfId="23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234"/>
    <tableColumn id="67" xr3:uid="{51123307-FDE7-45CE-81D3-F8045A68CEB5}" name="Czy ukończony kierunek był kierunkiem technicznym, tzn. takim, po którym uzyskano tytuł inżyniera?13" totalsRowDxfId="233"/>
    <tableColumn id="68" xr3:uid="{E4E7F2FA-608F-4A76-95F9-FC633CF4A850}" name="Jak się nazywa kierunek, który ukończył/a Twoja/Twój podopieczna/podopieczny?14" totalsRowDxfId="232"/>
    <tableColumn id="69" xr3:uid="{2E0E2D92-CA45-4C29-AD1B-4107E60D2F5C}" name="Moja satysfakcja z (efektów) usług edukacyjnych ocenianej uczelni jest wysoka.15" totalsRowDxfId="231"/>
    <tableColumn id="70" xr3:uid="{22160B39-79EF-424B-9B2E-4205C1098DC4}" name="Usługi edukacyjne ocenianej uczelni mają wysoką wartość (okazja / szansa rozwoju własnego lub kariery).16" totalsRowDxfId="230"/>
    <tableColumn id="71" xr3:uid="{C5566328-CB9E-4672-AFA5-9A52C7FB1583}" name="Kształcenie na ocenianej uczelni ma/będzie miało pozytywny wpływ na zwiększenie zarobków mojej/mojego podopiecznej/podopiecznego.17" totalsRowDxfId="229"/>
    <tableColumn id="72" xr3:uid="{ED11287D-6F12-40C0-8EAE-0190C96B2475}" name="Zarobki uzyskiwane przez mojego/moją podopieczną/podopiecznego w pierwszym roku po ukończeniu studiów były satysfakcjonujące (z mojego punktu widzenia)18" totalsRowDxfId="228"/>
    <tableColumn id="73" xr3:uid="{5767066B-CB1E-4AC7-93CC-8721926057A1}" name="Zarobki uzyskiwane przez mojego/moją podopieczną/podopiecznego w 3 lata po ukończeniu studiów były satysfakcjonujące (z mojego punktu widzenia)19" totalsRowDxfId="22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226"/>
    <tableColumn id="75" xr3:uid="{91099E12-4AAE-4B3A-8B21-456B23B8E9C4}" name="Jakie inne (poza zarobkami) efekty kształcenia na ocenianej uczelni się dostrzegasz obecnie?21" totalsRowDxfId="225"/>
    <tableColumn id="76" xr3:uid="{F99FCD0E-141B-4162-9375-D912B829669B}" name="Jakiego rodzaju były studia, które ukończył/a Twoja/Twój podopieczna/podopieczny?22" totalsRowDxfId="224"/>
    <tableColumn id="77" xr3:uid="{9A935095-7069-4B79-9C19-ABCE05DB2953}" name="Pole dodatkowe23" totalsRowDxfId="223"/>
    <tableColumn id="78" xr3:uid="{73C50495-9837-4BA7-BE74-ED58E001D39F}" name="Jeśli Twoja/Twój podopieczna/podopieczny ukończył/a również inne szkoły / kierunki studiów to proszę wpisz je tutaj.24" totalsRowDxfId="222"/>
    <tableColumn id="79" xr3:uid="{2D9E6799-1116-4EBA-A4A6-EC67B715E65E}" name="Czy będziesz oceniał uczelnię ukończoną przez trzeciego podopiecznego?" totalsRowDxfId="221"/>
    <tableColumn id="80" xr3:uid="{98900E64-17FE-4566-98C9-57CB606D4413}" name="Jak się nazywa uczelnia, którą ukończył/a Twoja/Twój podopieczna/podopieczny? (proszę o wybranie jednej uczelni podlegającej ocenie)25" totalsRowDxfId="22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219"/>
    <tableColumn id="82" xr3:uid="{367FC414-3E67-4B03-A303-77F5139ABED4}" name="Czy ukończony kierunek był kierunkiem technicznym, tzn. takim, po którym uzyskano tytuł inżyniera?27" totalsRowDxfId="218"/>
    <tableColumn id="83" xr3:uid="{641F2969-C09A-425E-81A7-806949B38666}" name="Jak się nazywa kierunek, który ukończył/a Twoja/Twój podopieczna/podopieczny?28" totalsRowDxfId="217"/>
    <tableColumn id="84" xr3:uid="{6B2F3F5A-F4BF-41A2-85FA-BAC6E179E9A9}" name="Moja satysfakcja z (efektów) usług edukacyjnych ocenianej uczelni jest wysoka.29" totalsRowDxfId="216"/>
    <tableColumn id="85" xr3:uid="{792FE0EC-454A-47B2-9DEE-09E82A55AC5F}" name="Usługi edukacyjne ocenianej uczelni mają wysoką wartość (okazja / szansa rozwoju własnego lub kariery).30" totalsRowDxfId="215"/>
    <tableColumn id="86" xr3:uid="{4BD46113-3AB9-405D-8A53-F153B50E863D}" name="Kształcenie na ocenianej uczelni ma/będzie miało pozytywny wpływ na zwiększenie zarobków mojej/mojego podopiecznej/podopiecznego.31" totalsRowDxfId="214"/>
    <tableColumn id="87" xr3:uid="{4CA1C5A8-3427-428B-B7BA-106EBBA85C17}" name="Zarobki uzyskiwane przez mojego/moją podopieczną/podopiecznego w pierwszym roku po ukończeniu studiów były satysfakcjonujące (z mojego punktu widzenia)32" totalsRowDxfId="213"/>
    <tableColumn id="88" xr3:uid="{C37B06BC-EDB5-471E-9C95-05232AC9EACD}" name="Zarobki uzyskiwane przez mojego/moją podopieczną/podopiecznego w 3 lata po ukończeniu studiów były satysfakcjonujące (z mojego punktu widzenia)33" totalsRowDxfId="21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211"/>
    <tableColumn id="90" xr3:uid="{CEEBCBE8-4DF4-40BE-ADF0-2750A2BF2609}" name="Jakie inne (poza zarobkami) efekty kształcenia na ocenianej uczelni się dostrzegasz obecnie?35" totalsRowDxfId="210"/>
    <tableColumn id="91" xr3:uid="{F1A613DC-A59A-419D-8838-D041B4273E91}" name="Jakiego rodzaju były studia, które ukończył/a Twoja/Twój podopieczna/podopieczny?36" totalsRowDxfId="209"/>
    <tableColumn id="92" xr3:uid="{E26BB465-B221-4E80-9D41-43786B72F743}" name="Pole dodatkowe37" totalsRowDxfId="208"/>
    <tableColumn id="93" xr3:uid="{12E07FC6-6ACA-44C4-A376-689F504EB460}" name="Jeśli Twoja/Twój podopieczna/podopieczny ukończył/a również inne szkoły / kierunki studiów to proszę wpisz je tutaj.38" totalsRowDxfId="207"/>
    <tableColumn id="94" xr3:uid="{4FBA703D-33E9-44C4-BD22-B3FC7B168C76}" name="Czy jesteś aktualnie pracownikiem administracyjnym uczelni wyższej?" totalsRowFunction="custom" dataDxfId="206" totalsRowDxfId="20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204"/>
    <tableColumn id="96" xr3:uid="{43902112-5836-47AC-AA75-A65F0D4C7817}" name="Na jakim wydziale pracujesz?" totalsRowDxfId="203"/>
    <tableColumn id="97" xr3:uid="{68D4A5FB-B6F1-410C-BBCE-5D895E75D7EF}" name="Moja satysfakcja z pracy na ocenianej uczelni jest wysoka." totalsRowDxfId="202"/>
    <tableColumn id="98" xr3:uid="{097FDF01-C103-4396-9EE5-DC463D453E58}" name="Atmosfera w zespole współpracowników jest dobra." totalsRowDxfId="201"/>
    <tableColumn id="99" xr3:uid="{5B99CA3A-6D7C-4D3E-B448-2EDAF4856B42}" name="Moje zarobki są satysfakcjonujące." totalsRowDxfId="200"/>
    <tableColumn id="100" xr3:uid="{90B0699F-2BC7-4D96-9800-8B1DB165F81E}" name="Praca na ocenianej uczelni daje mi duże szanse rozwoju." totalsRowDxfId="199"/>
    <tableColumn id="101" xr3:uid="{5CB95189-87A6-4F97-B291-A05336B23F22}" name="Wartość wykształcenia zdobywanego przez studentów ocenianej uczelni jest wysoka." totalsRowDxfId="198"/>
    <tableColumn id="102" xr3:uid="{056CF7BB-B947-41A0-AC24-42A1CBCF15BD}" name="Zdobyte na ocenianej uczelni wykształcenie ma pozytywny wpływ na zwiększenie zarobków absolwentów." totalsRowDxfId="197"/>
    <tableColumn id="103" xr3:uid="{2AB65CA7-05ED-4EB7-B603-B864E6D6745F}" name="Jakie inne (poza zarobkami) efekty kształcenia na ocenianej uczelni się dostrzegasz obecnie?39" totalsRowDxfId="196"/>
    <tableColumn id="104" xr3:uid="{DC472BA3-8D88-44A6-B5C1-5BF9558627FA}" name="Czy jesteś aktualnie pracownikiem naukowym lub dydaktycznym uczelni wyższej?" totalsRowFunction="custom" dataDxfId="195" totalsRowDxfId="19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193"/>
    <tableColumn id="106" xr3:uid="{2E39D77C-CC0F-41F1-8F10-30523EA3DE78}" name="Na jakim wydziale pracujesz?41" totalsRowDxfId="192"/>
    <tableColumn id="107" xr3:uid="{B9CFBDFF-9DC1-4556-855E-D4463D760A19}" name="Moja satysfakcja z pracy na ocenianej uczelni jest wysoka.42" totalsRowDxfId="191"/>
    <tableColumn id="108" xr3:uid="{158CA86A-249B-4193-A207-D38756E887C7}" name="Atmosfera w zespole współpracowników jest dobra.43" totalsRowDxfId="190"/>
    <tableColumn id="109" xr3:uid="{AC3090A9-EC3C-4C62-8AA9-F261EAB7887F}" name="Moje zarobki są satysfakcjonujące.44" totalsRowDxfId="189"/>
    <tableColumn id="110" xr3:uid="{9E04970F-962C-490E-A570-2D0912A5E57D}" name="Praca na ocenianej uczelni daje mi duże szanse rozwoju.45" totalsRowDxfId="188"/>
    <tableColumn id="111" xr3:uid="{C148AE52-9ADC-45EF-8DBC-27F0F1F05355}" name="Wartość wykształcenia zdobywanego przez studentów ocenianej uczelni jest wysoka.46" totalsRowDxfId="187"/>
    <tableColumn id="112" xr3:uid="{63921520-0FA3-4905-ACEB-02AFFB69B471}" name="Zdobyte na ocenianej uczelni wykształcenie ma pozytywny wpływ na zwiększenie zarobków absolwentów.47" totalsRowDxfId="186"/>
    <tableColumn id="113" xr3:uid="{E32B227A-B5B2-41A4-9CEB-B75A56696D75}" name="Jakie inne (poza zarobkami) efekty kształcenia na ocenianej uczelni dostrzegasz obecnie?48" totalsRowDxfId="185"/>
    <tableColumn id="114" xr3:uid="{98E95A67-6B14-4A2E-AB34-682AE1A049DC}" name="Czy jesteś przedstawicielem władz uczelni z grupy rektorów, prorektorów, dziekanów, prodziekanów, członków senatu lub członków rady uczelni?" totalsRowFunction="custom" dataDxfId="184" totalsRowDxfId="18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182"/>
    <tableColumn id="116" xr3:uid="{55CD3327-D03D-49EA-AD7A-8A8492F8FF76}" name="Kolumna3" totalsRowDxfId="181"/>
    <tableColumn id="117" xr3:uid="{BF356D61-903B-4604-89F3-2B471880C5B8}" name="Kolumna4" totalsRowDxfId="180"/>
    <tableColumn id="118" xr3:uid="{7173EDEB-5382-4DCE-AA15-A72B322560D6}" name="Kolumna5" totalsRowDxfId="179"/>
    <tableColumn id="119" xr3:uid="{6200F07F-FA1F-4A3F-B8ED-B934678483AF}" name="Jak się nazywa uczelnia którą będziesz oceniać (jako przedstawiciel jej władz)?" totalsRowDxfId="178"/>
    <tableColumn id="120" xr3:uid="{E6250DE6-1A12-41F3-90EE-1B4F673F6E58}" name="Efekty działań ocenianej uczelni na rzesz jakości edukacji są dobre" totalsRowDxfId="177"/>
    <tableColumn id="121" xr3:uid="{8AE05FEE-B731-4F93-90B6-915E5774E346}" name="Wartość wykształcenia zdobywanego przez studentów na ocenianej uczelni jest wysoka." totalsRowDxfId="176"/>
    <tableColumn id="122" xr3:uid="{E115058D-8C9C-450E-8DA2-D64EB971F57D}" name="Zdobyte przez studentów ocenianej uczelni wykształcenie miało/ma pozytywny wpływ na ich zarobki." totalsRowDxfId="175"/>
    <tableColumn id="123" xr3:uid="{6FEBB446-227D-4EA1-B507-206156E53809}" name="Efekty działań ocenianej uczelni na rzecz jakości edukacji mają dobry wpływ na rozwój regionu." totalsRowDxfId="174"/>
    <tableColumn id="124" xr3:uid="{01E38E74-9E44-4BFF-97FF-3B0FF3F7CDD0}" name="Efekty działań ocenianej uczelni na rzecz jakości edukacji mają dobry wpływ na rozwój Polski." totalsRowDxfId="173"/>
    <tableColumn id="125" xr3:uid="{F17A6FA5-F0F2-48AD-B639-9161F59ACD49}" name="Współpraca ocenianej uczelni z biznesem ma pozytywne efekty dla rozwoju regionu / kraju." totalsRowDxfId="172"/>
    <tableColumn id="126" xr3:uid="{81D0BDE5-B5BD-41AD-AE49-0F05E206FF4F}" name="Ogólny poziom mojej satysfakcji z jakości usług edukacyjnych ocenianej uczelni jest wysoki." totalsRowDxfId="171"/>
    <tableColumn id="127" xr3:uid="{E1B74221-E8AC-4764-9FBA-17BC7A8DAB4F}" name="Studenci : wybierz wartość z listy rozwijanej" totalsRowDxfId="170"/>
    <tableColumn id="128" xr3:uid="{9521E128-6D78-41F6-9BED-3F1F3009376D}" name="Absolwenci : wybierz wartość z listy rozwijanej" totalsRowDxfId="169"/>
    <tableColumn id="129" xr3:uid="{F972B7F0-4237-45DD-B8D9-6E5F80BC382C}" name="Rodzice absolwentów : wybierz wartość z listy rozwijanej" totalsRowDxfId="168"/>
    <tableColumn id="130" xr3:uid="{D18127FA-4AAC-43F7-8718-648B089DA3AE}" name="Pracownicy administracyjni : wybierz wartość z listy rozwijanej" totalsRowDxfId="167"/>
    <tableColumn id="131" xr3:uid="{9AD30943-8FF3-4081-BC52-0A68F33FA1E6}" name="Pracownicy naukowi i dydaktyczni : wybierz wartość z listy rozwijanej" totalsRowDxfId="166"/>
    <tableColumn id="132" xr3:uid="{F15383FF-5030-41F2-B790-DA1B9ACCD614}" name="Pracodawcy : wybierz wartość z listy rozwijanej" totalsRowDxfId="165"/>
    <tableColumn id="133" xr3:uid="{A113041C-1CEA-48AE-A9F9-6427226B931F}" name="Władze samorządowe i centralne : wybierz wartość z listy rozwijanej" totalsRowDxfId="164"/>
    <tableColumn id="134" xr3:uid="{2391059C-06A8-4E9F-9A30-2923C913E592}" name="Pole dodatkowe4" totalsRowDxfId="163"/>
    <tableColumn id="135" xr3:uid="{87323607-8918-4675-942B-66DDA6ACC52D}" name="Studenci : wybierz wartość z listy rozwijanej5" totalsRowDxfId="162"/>
    <tableColumn id="136" xr3:uid="{575464E3-342E-4010-A0B5-F16E0DA7F25D}" name="Absolwenci : wybierz wartość z listy rozwijanej6" totalsRowDxfId="161"/>
    <tableColumn id="137" xr3:uid="{3C4E7A29-9534-46F7-9E09-353DAEA57455}" name="Rodzice absolwentów : wybierz wartość z listy rozwijanej7" totalsRowDxfId="160"/>
    <tableColumn id="138" xr3:uid="{5EFF4867-813D-4D19-AFD2-41795D704E9D}" name="Pracownicy administracyjni : wybierz wartość z listy rozwijanej8" totalsRowDxfId="159"/>
    <tableColumn id="139" xr3:uid="{BD3A3545-6744-40C8-B6F9-128B604A0016}" name="Pracownicy naukowi i dydaktyczni : wybierz wartość z listy rozwijanej9" totalsRowDxfId="158"/>
    <tableColumn id="140" xr3:uid="{A370427A-746A-432F-8439-DE3E0F05E90C}" name="Pracodawcy : wybierz wartość z listy rozwijanej10" totalsRowDxfId="157"/>
    <tableColumn id="141" xr3:uid="{A6D0879A-E0B6-4F9C-B8AB-CCB9C168853D}" name="Władze samorządowe i centralne : wybierz wartość z listy rozwijanej11" totalsRowDxfId="156"/>
    <tableColumn id="142" xr3:uid="{ED69D784-3A72-4212-8A94-FFF937BB5636}" name="Pole dodatkowe12" totalsRowDxfId="155"/>
    <tableColumn id="143" xr3:uid="{F9376235-C8DC-451D-B95A-275409F154F3}" name="Czy jesteś przedstawicielem firmy, w której są zatrudniani absolwenci uczelni wyższych (tytuł licencjata, magistra lub wyższy)?" totalsRowFunction="custom" dataDxfId="154" totalsRowDxfId="15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152"/>
    <tableColumn id="145" xr3:uid="{FEA12265-815B-4115-947C-C4D7389958E8}" name="Ile uczelni będziesz oceniać?" totalsRowDxfId="151"/>
    <tableColumn id="146" xr3:uid="{26F5BBF0-E63C-4FC8-A2F3-F0ADC728D5E4}" name="Jak się nazywa uczelnia, którą ocenisz? " totalsRowDxfId="150"/>
    <tableColumn id="147" xr3:uid="{61714612-8B24-4377-BCF5-066C33634E6F}" name="Moja satysfakcja z (efektów) usług edukacyjnych na ocenianej uczelni jest wysoka." totalsRowDxfId="149"/>
    <tableColumn id="148" xr3:uid="{043BF385-CFC6-4AC5-BD7D-2DC21351418F}" name="Kompetencje absolwentów ocenianej uczelni są wysokie." totalsRowDxfId="148"/>
    <tableColumn id="149" xr3:uid="{35B1450E-E76E-4137-923C-C1196FE6A242}" name="Zarobki absolwentów ocenianej uczelni zatrudnionych w mojej firmie są wyższe od zarobków absolwentów innych polskich uczelni." totalsRowDxfId="147"/>
    <tableColumn id="150" xr3:uid="{46264593-E5FF-4A8E-9E32-B5CDAD83DB38}" name="Czy w Twojej firmie są zatrudniani absolwenci uczelni w pierwszym roku po ukończeniu studiów (do 12 miesięcy od uzyskania dyplomu)?" totalsRowDxfId="146"/>
    <tableColumn id="151" xr3:uid="{AFEC3724-7638-4FBB-9B74-E3C5F372DFD7}" name="Jakie kompetencje absolwentów ocenianej uczelni są w Twojej firmie najwyżej wyceniane?" totalsRowDxfId="145"/>
    <tableColumn id="152" xr3:uid="{7C41F20E-87DA-419A-A4DC-8FC7E15280E1}" name="Jakiego rodzaju prace wykonują absolwenci ocenianej uczelni w Twojej firmie?" totalsRowDxfId="144"/>
    <tableColumn id="153" xr3:uid="{A53B26E4-0EB5-4875-918F-C84DFA999490}" name="Czy będziesz oceniał drugą uczelnię?" totalsRowDxfId="143"/>
    <tableColumn id="154" xr3:uid="{C51996BB-6F72-462D-AF3A-889816D9376D}" name="Jak się nazywa uczelnia, którą ocenisz? 13" totalsRowDxfId="142"/>
    <tableColumn id="155" xr3:uid="{C4DC7D31-6CB7-4667-BEF7-8EFAA1443E26}" name="Moja satysfakcja z (efektów) usług edukacyjnych na ocenianej uczelni jest wysoka.14" totalsRowDxfId="141"/>
    <tableColumn id="156" xr3:uid="{6BE5AEB2-D87C-4FAD-8A78-12F3665EA35B}" name="Kompetencje absolwentów ocenianej uczelni są wysokie.15" totalsRowDxfId="140"/>
    <tableColumn id="157" xr3:uid="{E68B03D6-C361-4634-B98C-870BC31CEDD8}" name="Zarobki absolwentów ocenianej uczelni zatrudnionych w mojej firmie są wyższe od zarobków absolwentów innych polskich uczelni.16" totalsRowDxfId="139"/>
    <tableColumn id="158" xr3:uid="{7AE77260-6064-4321-A8D8-8F0B2D560514}" name="Czy w Twojej firmie są zatrudniani absolwenci uczelni w pierwszym roku po ukończeniu studiów (do 12 miesięcy od uzyskania dyplomu)?17" totalsRowDxfId="138"/>
    <tableColumn id="159" xr3:uid="{02179DC7-236C-405B-9717-3820DB37DCDE}" name="Jakie kompetencje absolwentów ocenianej uczelni są w Twojej firmie najwyżej wyceniane?18" totalsRowDxfId="137"/>
    <tableColumn id="160" xr3:uid="{ACD9DA00-A265-43F3-A8CD-4AB9D52D21A7}" name="Jakiego rodzaju prace wykonują absolwenci ocenianej uczelni w Twojej firmie?19" totalsRowDxfId="136"/>
    <tableColumn id="161" xr3:uid="{40C65435-9246-41B9-9D13-8617AD0D615B}" name="Czy będziesz oceniał trzecią uczelnię techniczną?" totalsRowDxfId="135"/>
    <tableColumn id="162" xr3:uid="{6D52B5AA-D38E-4A9C-9FC4-C5F27711E4B2}" name="Jak się nazywa uczelnia, którą ocenisz? 20" totalsRowDxfId="134"/>
    <tableColumn id="163" xr3:uid="{121D311A-63E4-4EF2-A0DA-FAA985067046}" name="Moja satysfakcja z (efektów) usług edukacyjnych na ocenianej uczelni jest wysoka.21" totalsRowDxfId="133"/>
    <tableColumn id="164" xr3:uid="{F282EA05-D156-4529-9BC1-8600524F81FD}" name="Kompetencje absolwentów ocenianej uczelni są wysokie.22" totalsRowDxfId="132"/>
    <tableColumn id="165" xr3:uid="{58F11C5E-414B-4C75-8CE5-1580D3F448A9}" name="Zarobki absolwentów ocenianej uczelni zatrudnionych w mojej firmie są wyższe od zarobków absolwentów innych polskich uczelni.23" totalsRowDxfId="131"/>
    <tableColumn id="166" xr3:uid="{3E1C84AB-DCF6-4B96-B25A-E3AA8A32B928}" name="Czy w Twojej firmie są zatrudniani absolwenci uczelni w pierwszym roku po ukończeniu studiów (do 12 miesięcy od uzyskania dyplomu)?24" totalsRowDxfId="130"/>
    <tableColumn id="167" xr3:uid="{4C87DA44-3851-4B6F-8471-F5B274EEF69E}" name="Jakie kompetencje absolwentów ocenianej uczelni są w Twojej firmie najwyżej wyceniane?25" totalsRowDxfId="129"/>
    <tableColumn id="168" xr3:uid="{4889D3B6-442C-490C-9642-B9781EC55E1C}" name="Jakiego rodzaju prace wykonują absolwenci ocenianej uczelni są w Twojej firmie?" totalsRowDxfId="128"/>
    <tableColumn id="169" xr3:uid="{370CF6EE-F46C-4CFF-9496-7844071DF992}" name="Czy jesteś przedstawicielem władz samorządowych lub centralnych Rzeczypospolitej Polskiej?" totalsRowFunction="custom" dataDxfId="127" totalsRowDxfId="12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M42"/>
  <sheetViews>
    <sheetView tabSelected="1" topLeftCell="B1" zoomScale="130" zoomScaleNormal="130" workbookViewId="0">
      <pane ySplit="2" topLeftCell="A3" activePane="bottomLeft" state="frozen"/>
      <selection activeCell="J1" sqref="J1"/>
      <selection pane="bottomLeft" activeCell="I23" sqref="I23"/>
    </sheetView>
  </sheetViews>
  <sheetFormatPr defaultColWidth="8.1328125" defaultRowHeight="14.25" outlineLevelCol="1" x14ac:dyDescent="0.45"/>
  <cols>
    <col min="1" max="1" width="8.1328125" hidden="1" customWidth="1" outlineLevel="1"/>
    <col min="2" max="2" width="8.1328125" collapsed="1"/>
    <col min="3" max="3" width="8.1328125" hidden="1" customWidth="1" outlineLevel="1"/>
    <col min="4" max="5" width="5.9296875" hidden="1" customWidth="1" outlineLevel="1"/>
    <col min="6" max="6" width="8.1328125" hidden="1" customWidth="1" outlineLevel="1"/>
    <col min="7" max="7" width="8.1328125" customWidth="1" collapsed="1"/>
    <col min="8" max="12" width="12.33203125" customWidth="1"/>
    <col min="13" max="13" width="5.46484375" customWidth="1"/>
    <col min="14" max="14" width="15.796875" customWidth="1"/>
    <col min="15" max="15" width="16.06640625" customWidth="1"/>
    <col min="16" max="18" width="12.33203125" customWidth="1"/>
    <col min="19" max="19" width="19" customWidth="1"/>
    <col min="20" max="20" width="12.59765625" customWidth="1"/>
    <col min="21" max="21" width="11.796875" customWidth="1"/>
    <col min="22" max="22" width="33.1328125" hidden="1" customWidth="1" outlineLevel="1"/>
    <col min="23" max="23" width="8.1328125" hidden="1" customWidth="1" outlineLevel="1"/>
    <col min="24" max="24" width="16.1328125" hidden="1" customWidth="1" outlineLevel="1"/>
    <col min="25" max="25" width="14.59765625" hidden="1" customWidth="1" outlineLevel="1"/>
    <col min="26" max="36" width="8.1328125" hidden="1" customWidth="1" outlineLevel="1"/>
    <col min="37" max="37" width="11.796875" customWidth="1" collapsed="1"/>
    <col min="38" max="55" width="23.1328125" hidden="1" customWidth="1" outlineLevel="1"/>
    <col min="56" max="56" width="11.796875" customWidth="1" collapsed="1"/>
    <col min="57" max="57" width="8.1328125" hidden="1" customWidth="1" outlineLevel="1"/>
    <col min="58" max="101" width="26.3984375" hidden="1" customWidth="1" outlineLevel="1"/>
    <col min="102" max="102" width="11.796875" customWidth="1" collapsed="1"/>
    <col min="103" max="111" width="19.9296875" hidden="1" customWidth="1" outlineLevel="1"/>
    <col min="112" max="112" width="11.796875" customWidth="1" collapsed="1"/>
    <col min="113" max="121" width="23.33203125" hidden="1" customWidth="1" outlineLevel="1"/>
    <col min="122" max="122" width="11.796875" customWidth="1" collapsed="1"/>
    <col min="123" max="150" width="8.1328125" hidden="1" customWidth="1" outlineLevel="1"/>
    <col min="151" max="151" width="11.796875" customWidth="1" collapsed="1"/>
    <col min="152" max="176" width="8.1328125" hidden="1" customWidth="1" outlineLevel="1"/>
    <col min="177" max="177" width="11.796875" customWidth="1" collapsed="1"/>
    <col min="178" max="213" width="8.1328125" hidden="1" customWidth="1" outlineLevel="1"/>
    <col min="214" max="214" width="9.46484375" customWidth="1" collapsed="1"/>
    <col min="217" max="217" width="28.59765625" customWidth="1"/>
  </cols>
  <sheetData>
    <row r="1" spans="1:221" ht="57.75" customHeight="1" x14ac:dyDescent="0.45">
      <c r="A1" t="s">
        <v>0</v>
      </c>
      <c r="D1" t="s">
        <v>8</v>
      </c>
      <c r="E1" t="s">
        <v>9</v>
      </c>
      <c r="F1" t="s">
        <v>10</v>
      </c>
      <c r="U1" s="3" t="s">
        <v>13</v>
      </c>
      <c r="V1" t="s">
        <v>14</v>
      </c>
      <c r="W1" t="s">
        <v>15</v>
      </c>
      <c r="X1" t="s">
        <v>16</v>
      </c>
      <c r="Y1" t="s">
        <v>17</v>
      </c>
      <c r="AB1" t="s">
        <v>18</v>
      </c>
      <c r="AC1" t="s">
        <v>19</v>
      </c>
      <c r="AE1" t="s">
        <v>20</v>
      </c>
      <c r="AF1" t="s">
        <v>21</v>
      </c>
      <c r="AH1" t="s">
        <v>22</v>
      </c>
      <c r="AJ1" t="s">
        <v>23</v>
      </c>
      <c r="AK1" s="3" t="s">
        <v>24</v>
      </c>
      <c r="AL1" t="s">
        <v>25</v>
      </c>
      <c r="AN1" t="s">
        <v>26</v>
      </c>
      <c r="AO1" t="s">
        <v>27</v>
      </c>
      <c r="AP1" t="s">
        <v>28</v>
      </c>
      <c r="AQ1" t="s">
        <v>17</v>
      </c>
      <c r="AV1" t="s">
        <v>29</v>
      </c>
      <c r="AW1" t="s">
        <v>30</v>
      </c>
      <c r="AY1" t="s">
        <v>31</v>
      </c>
      <c r="AZ1" t="s">
        <v>32</v>
      </c>
      <c r="BB1" t="s">
        <v>33</v>
      </c>
      <c r="BD1" s="3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17</v>
      </c>
      <c r="BO1" t="s">
        <v>40</v>
      </c>
      <c r="BP1" t="s">
        <v>41</v>
      </c>
      <c r="BQ1" t="s">
        <v>42</v>
      </c>
      <c r="BS1" t="s">
        <v>43</v>
      </c>
      <c r="BT1" t="s">
        <v>44</v>
      </c>
      <c r="BU1" t="s">
        <v>36</v>
      </c>
      <c r="BV1" t="s">
        <v>37</v>
      </c>
      <c r="BW1" t="s">
        <v>38</v>
      </c>
      <c r="BX1" t="s">
        <v>39</v>
      </c>
      <c r="BY1" t="s">
        <v>17</v>
      </c>
      <c r="CD1" t="s">
        <v>40</v>
      </c>
      <c r="CE1" t="s">
        <v>41</v>
      </c>
      <c r="CF1" t="s">
        <v>42</v>
      </c>
      <c r="CH1" t="s">
        <v>43</v>
      </c>
      <c r="CI1" t="s">
        <v>45</v>
      </c>
      <c r="CJ1" t="s">
        <v>36</v>
      </c>
      <c r="CK1" t="s">
        <v>37</v>
      </c>
      <c r="CL1" t="s">
        <v>38</v>
      </c>
      <c r="CM1" t="s">
        <v>39</v>
      </c>
      <c r="CN1" t="s">
        <v>17</v>
      </c>
      <c r="CS1" t="s">
        <v>40</v>
      </c>
      <c r="CT1" t="s">
        <v>41</v>
      </c>
      <c r="CU1" t="s">
        <v>42</v>
      </c>
      <c r="CW1" t="s">
        <v>43</v>
      </c>
      <c r="CX1" s="3" t="s">
        <v>46</v>
      </c>
      <c r="CY1" t="s">
        <v>47</v>
      </c>
      <c r="CZ1" t="s">
        <v>48</v>
      </c>
      <c r="DA1" t="s">
        <v>17</v>
      </c>
      <c r="DG1" t="s">
        <v>41</v>
      </c>
      <c r="DH1" s="3" t="s">
        <v>49</v>
      </c>
      <c r="DI1" t="s">
        <v>47</v>
      </c>
      <c r="DJ1" t="s">
        <v>48</v>
      </c>
      <c r="DK1" t="s">
        <v>17</v>
      </c>
      <c r="DQ1" t="s">
        <v>31</v>
      </c>
      <c r="DR1" s="3" t="s">
        <v>50</v>
      </c>
      <c r="DS1" t="s">
        <v>51</v>
      </c>
      <c r="DW1" t="s">
        <v>52</v>
      </c>
      <c r="DX1" t="s">
        <v>17</v>
      </c>
      <c r="EE1" t="s">
        <v>53</v>
      </c>
      <c r="EM1" t="s">
        <v>54</v>
      </c>
      <c r="EU1" s="3" t="s">
        <v>55</v>
      </c>
      <c r="EV1" t="s">
        <v>56</v>
      </c>
      <c r="EW1" t="s">
        <v>57</v>
      </c>
      <c r="EX1" t="s">
        <v>58</v>
      </c>
      <c r="EY1" t="s">
        <v>17</v>
      </c>
      <c r="FB1" t="s">
        <v>59</v>
      </c>
      <c r="FC1" t="s">
        <v>60</v>
      </c>
      <c r="FD1" t="s">
        <v>61</v>
      </c>
      <c r="FE1" t="s">
        <v>62</v>
      </c>
      <c r="FF1" t="s">
        <v>58</v>
      </c>
      <c r="FG1" t="s">
        <v>17</v>
      </c>
      <c r="FJ1" t="s">
        <v>59</v>
      </c>
      <c r="FK1" t="s">
        <v>60</v>
      </c>
      <c r="FL1" t="s">
        <v>61</v>
      </c>
      <c r="FM1" t="s">
        <v>63</v>
      </c>
      <c r="FN1" t="s">
        <v>58</v>
      </c>
      <c r="FO1" t="s">
        <v>17</v>
      </c>
      <c r="FR1" t="s">
        <v>59</v>
      </c>
      <c r="FS1" t="s">
        <v>60</v>
      </c>
      <c r="FT1" t="s">
        <v>64</v>
      </c>
      <c r="FU1" s="3" t="s">
        <v>65</v>
      </c>
      <c r="FV1" t="s">
        <v>66</v>
      </c>
      <c r="FW1" t="s">
        <v>67</v>
      </c>
      <c r="FX1" t="s">
        <v>57</v>
      </c>
      <c r="FY1" t="s">
        <v>68</v>
      </c>
      <c r="FZ1" t="s">
        <v>17</v>
      </c>
      <c r="GH1" t="s">
        <v>69</v>
      </c>
      <c r="GI1" t="s">
        <v>70</v>
      </c>
      <c r="GJ1" t="s">
        <v>68</v>
      </c>
      <c r="GK1" t="s">
        <v>17</v>
      </c>
      <c r="GR1" t="s">
        <v>71</v>
      </c>
      <c r="GS1" t="s">
        <v>72</v>
      </c>
      <c r="GT1" t="s">
        <v>68</v>
      </c>
      <c r="GU1" t="s">
        <v>17</v>
      </c>
      <c r="HB1" t="s">
        <v>71</v>
      </c>
      <c r="HC1" t="s">
        <v>73</v>
      </c>
      <c r="HF1" t="s">
        <v>74</v>
      </c>
      <c r="HG1" t="s">
        <v>75</v>
      </c>
      <c r="HI1" t="s">
        <v>76</v>
      </c>
      <c r="HK1" t="s">
        <v>77</v>
      </c>
      <c r="HL1" t="s">
        <v>78</v>
      </c>
      <c r="HM1" t="s">
        <v>79</v>
      </c>
    </row>
    <row r="2" spans="1:221" ht="114" x14ac:dyDescent="0.45">
      <c r="A2" t="s">
        <v>0</v>
      </c>
      <c r="B2" t="s">
        <v>2264</v>
      </c>
      <c r="C2" t="s">
        <v>2267</v>
      </c>
      <c r="D2" t="s">
        <v>8</v>
      </c>
      <c r="E2" t="s">
        <v>9</v>
      </c>
      <c r="F2" t="s">
        <v>10</v>
      </c>
      <c r="G2" t="s">
        <v>2447</v>
      </c>
      <c r="H2" s="20" t="s">
        <v>2454</v>
      </c>
      <c r="I2" s="58" t="s">
        <v>2500</v>
      </c>
      <c r="J2" s="58" t="s">
        <v>2499</v>
      </c>
      <c r="K2" s="58" t="s">
        <v>2498</v>
      </c>
      <c r="L2" s="58" t="s">
        <v>2497</v>
      </c>
      <c r="M2" s="58" t="s">
        <v>2496</v>
      </c>
      <c r="N2" s="58" t="s">
        <v>2494</v>
      </c>
      <c r="O2" s="58" t="s">
        <v>2495</v>
      </c>
      <c r="P2" s="58" t="s">
        <v>2493</v>
      </c>
      <c r="Q2" s="58" t="s">
        <v>2490</v>
      </c>
      <c r="R2" s="58" t="s">
        <v>2491</v>
      </c>
      <c r="S2" s="58" t="s">
        <v>2492</v>
      </c>
      <c r="T2" s="58" t="s">
        <v>2489</v>
      </c>
      <c r="U2" s="1" t="s">
        <v>13</v>
      </c>
      <c r="V2" t="s">
        <v>14</v>
      </c>
      <c r="W2" t="s">
        <v>15</v>
      </c>
      <c r="X2" t="s">
        <v>16</v>
      </c>
      <c r="Y2" t="s">
        <v>80</v>
      </c>
      <c r="Z2" t="s">
        <v>81</v>
      </c>
      <c r="AA2" t="s">
        <v>82</v>
      </c>
      <c r="AB2" t="s">
        <v>2065</v>
      </c>
      <c r="AC2" t="s">
        <v>83</v>
      </c>
      <c r="AD2" t="s">
        <v>84</v>
      </c>
      <c r="AE2" t="s">
        <v>20</v>
      </c>
      <c r="AF2" t="s">
        <v>2265</v>
      </c>
      <c r="AG2" t="s">
        <v>2266</v>
      </c>
      <c r="AH2" t="s">
        <v>22</v>
      </c>
      <c r="AI2" t="s">
        <v>85</v>
      </c>
      <c r="AJ2" t="s">
        <v>23</v>
      </c>
      <c r="AK2" s="1" t="s">
        <v>24</v>
      </c>
      <c r="AL2" t="s">
        <v>25</v>
      </c>
      <c r="AM2" s="20" t="s">
        <v>2325</v>
      </c>
      <c r="AN2" t="s">
        <v>26</v>
      </c>
      <c r="AO2" t="s">
        <v>27</v>
      </c>
      <c r="AP2" t="s">
        <v>28</v>
      </c>
      <c r="AQ2" t="s">
        <v>86</v>
      </c>
      <c r="AR2" t="s">
        <v>2071</v>
      </c>
      <c r="AS2" t="s">
        <v>87</v>
      </c>
      <c r="AT2" t="s">
        <v>88</v>
      </c>
      <c r="AU2" t="s">
        <v>89</v>
      </c>
      <c r="AV2" t="s">
        <v>29</v>
      </c>
      <c r="AW2" t="s">
        <v>2072</v>
      </c>
      <c r="AX2" t="s">
        <v>2073</v>
      </c>
      <c r="AY2" t="s">
        <v>31</v>
      </c>
      <c r="AZ2" t="s">
        <v>32</v>
      </c>
      <c r="BA2" t="s">
        <v>2070</v>
      </c>
      <c r="BB2" t="s">
        <v>33</v>
      </c>
      <c r="BC2" t="s">
        <v>2074</v>
      </c>
      <c r="BD2" s="1" t="s">
        <v>34</v>
      </c>
      <c r="BE2" t="s">
        <v>35</v>
      </c>
      <c r="BF2" t="s">
        <v>36</v>
      </c>
      <c r="BG2" t="s">
        <v>37</v>
      </c>
      <c r="BH2" t="s">
        <v>38</v>
      </c>
      <c r="BI2" t="s">
        <v>39</v>
      </c>
      <c r="BJ2" s="20" t="s">
        <v>2075</v>
      </c>
      <c r="BK2" t="s">
        <v>2076</v>
      </c>
      <c r="BL2" t="s">
        <v>90</v>
      </c>
      <c r="BM2" t="s">
        <v>91</v>
      </c>
      <c r="BN2" t="s">
        <v>92</v>
      </c>
      <c r="BO2" t="s">
        <v>40</v>
      </c>
      <c r="BP2" t="s">
        <v>41</v>
      </c>
      <c r="BQ2" t="s">
        <v>42</v>
      </c>
      <c r="BR2" t="s">
        <v>2077</v>
      </c>
      <c r="BS2" t="s">
        <v>43</v>
      </c>
      <c r="BT2" t="s">
        <v>44</v>
      </c>
      <c r="BU2" t="s">
        <v>2078</v>
      </c>
      <c r="BV2" t="s">
        <v>2079</v>
      </c>
      <c r="BW2" t="s">
        <v>2080</v>
      </c>
      <c r="BX2" t="s">
        <v>2081</v>
      </c>
      <c r="BY2" t="s">
        <v>2082</v>
      </c>
      <c r="BZ2" t="s">
        <v>2083</v>
      </c>
      <c r="CA2" t="s">
        <v>2084</v>
      </c>
      <c r="CB2" t="s">
        <v>2085</v>
      </c>
      <c r="CC2" t="s">
        <v>2086</v>
      </c>
      <c r="CD2" t="s">
        <v>2087</v>
      </c>
      <c r="CE2" t="s">
        <v>2088</v>
      </c>
      <c r="CF2" t="s">
        <v>2089</v>
      </c>
      <c r="CG2" t="s">
        <v>2090</v>
      </c>
      <c r="CH2" t="s">
        <v>2091</v>
      </c>
      <c r="CI2" t="s">
        <v>45</v>
      </c>
      <c r="CJ2" t="s">
        <v>2092</v>
      </c>
      <c r="CK2" t="s">
        <v>2093</v>
      </c>
      <c r="CL2" t="s">
        <v>2094</v>
      </c>
      <c r="CM2" t="s">
        <v>2095</v>
      </c>
      <c r="CN2" t="s">
        <v>2096</v>
      </c>
      <c r="CO2" t="s">
        <v>2097</v>
      </c>
      <c r="CP2" t="s">
        <v>2098</v>
      </c>
      <c r="CQ2" t="s">
        <v>2099</v>
      </c>
      <c r="CR2" t="s">
        <v>2100</v>
      </c>
      <c r="CS2" t="s">
        <v>2101</v>
      </c>
      <c r="CT2" t="s">
        <v>2102</v>
      </c>
      <c r="CU2" t="s">
        <v>2103</v>
      </c>
      <c r="CV2" t="s">
        <v>2104</v>
      </c>
      <c r="CW2" t="s">
        <v>2105</v>
      </c>
      <c r="CX2" s="1" t="s">
        <v>46</v>
      </c>
      <c r="CY2" t="s">
        <v>47</v>
      </c>
      <c r="CZ2" t="s">
        <v>48</v>
      </c>
      <c r="DA2" t="s">
        <v>93</v>
      </c>
      <c r="DB2" t="s">
        <v>94</v>
      </c>
      <c r="DC2" s="20" t="s">
        <v>95</v>
      </c>
      <c r="DD2" s="20" t="s">
        <v>96</v>
      </c>
      <c r="DE2" t="s">
        <v>97</v>
      </c>
      <c r="DF2" t="s">
        <v>98</v>
      </c>
      <c r="DG2" t="s">
        <v>2106</v>
      </c>
      <c r="DH2" s="1" t="s">
        <v>49</v>
      </c>
      <c r="DI2" t="s">
        <v>2107</v>
      </c>
      <c r="DJ2" t="s">
        <v>2108</v>
      </c>
      <c r="DK2" t="s">
        <v>2109</v>
      </c>
      <c r="DL2" s="20" t="s">
        <v>2110</v>
      </c>
      <c r="DM2" s="20" t="s">
        <v>2111</v>
      </c>
      <c r="DN2" s="20" t="s">
        <v>2112</v>
      </c>
      <c r="DO2" s="20" t="s">
        <v>2113</v>
      </c>
      <c r="DP2" t="s">
        <v>2114</v>
      </c>
      <c r="DQ2" t="s">
        <v>2115</v>
      </c>
      <c r="DR2" s="1" t="s">
        <v>50</v>
      </c>
      <c r="DS2" t="s">
        <v>51</v>
      </c>
      <c r="DT2" t="s">
        <v>2067</v>
      </c>
      <c r="DU2" t="s">
        <v>2068</v>
      </c>
      <c r="DV2" t="s">
        <v>2069</v>
      </c>
      <c r="DW2" t="s">
        <v>52</v>
      </c>
      <c r="DX2" s="20" t="s">
        <v>99</v>
      </c>
      <c r="DY2" s="20" t="s">
        <v>100</v>
      </c>
      <c r="DZ2" s="20" t="s">
        <v>101</v>
      </c>
      <c r="EA2" t="s">
        <v>102</v>
      </c>
      <c r="EB2" t="s">
        <v>103</v>
      </c>
      <c r="EC2" s="20" t="s">
        <v>104</v>
      </c>
      <c r="ED2" s="20" t="s">
        <v>105</v>
      </c>
      <c r="EE2" t="s">
        <v>106</v>
      </c>
      <c r="EF2" t="s">
        <v>107</v>
      </c>
      <c r="EG2" t="s">
        <v>108</v>
      </c>
      <c r="EH2" t="s">
        <v>109</v>
      </c>
      <c r="EI2" t="s">
        <v>110</v>
      </c>
      <c r="EJ2" t="s">
        <v>111</v>
      </c>
      <c r="EK2" t="s">
        <v>112</v>
      </c>
      <c r="EL2" t="s">
        <v>2116</v>
      </c>
      <c r="EM2" t="s">
        <v>2117</v>
      </c>
      <c r="EN2" t="s">
        <v>2118</v>
      </c>
      <c r="EO2" t="s">
        <v>2119</v>
      </c>
      <c r="EP2" t="s">
        <v>2120</v>
      </c>
      <c r="EQ2" t="s">
        <v>2121</v>
      </c>
      <c r="ER2" t="s">
        <v>2122</v>
      </c>
      <c r="ES2" t="s">
        <v>2123</v>
      </c>
      <c r="ET2" t="s">
        <v>2124</v>
      </c>
      <c r="EU2" s="1" t="s">
        <v>55</v>
      </c>
      <c r="EV2" t="s">
        <v>56</v>
      </c>
      <c r="EW2" t="s">
        <v>57</v>
      </c>
      <c r="EX2" t="s">
        <v>58</v>
      </c>
      <c r="EY2" s="20" t="s">
        <v>113</v>
      </c>
      <c r="EZ2" t="s">
        <v>114</v>
      </c>
      <c r="FA2" t="s">
        <v>115</v>
      </c>
      <c r="FB2" t="s">
        <v>59</v>
      </c>
      <c r="FC2" t="s">
        <v>60</v>
      </c>
      <c r="FD2" t="s">
        <v>61</v>
      </c>
      <c r="FE2" t="s">
        <v>62</v>
      </c>
      <c r="FF2" t="s">
        <v>2125</v>
      </c>
      <c r="FG2" t="s">
        <v>2126</v>
      </c>
      <c r="FH2" t="s">
        <v>2127</v>
      </c>
      <c r="FI2" t="s">
        <v>2128</v>
      </c>
      <c r="FJ2" t="s">
        <v>2129</v>
      </c>
      <c r="FK2" t="s">
        <v>2130</v>
      </c>
      <c r="FL2" t="s">
        <v>2131</v>
      </c>
      <c r="FM2" t="s">
        <v>63</v>
      </c>
      <c r="FN2" t="s">
        <v>2132</v>
      </c>
      <c r="FO2" t="s">
        <v>2133</v>
      </c>
      <c r="FP2" t="s">
        <v>2134</v>
      </c>
      <c r="FQ2" t="s">
        <v>2135</v>
      </c>
      <c r="FR2" t="s">
        <v>2136</v>
      </c>
      <c r="FS2" t="s">
        <v>2137</v>
      </c>
      <c r="FT2" t="s">
        <v>64</v>
      </c>
      <c r="FU2" s="1" t="s">
        <v>65</v>
      </c>
      <c r="FV2" t="s">
        <v>66</v>
      </c>
      <c r="FW2" t="s">
        <v>67</v>
      </c>
      <c r="FX2" t="s">
        <v>2138</v>
      </c>
      <c r="FY2" t="s">
        <v>68</v>
      </c>
      <c r="FZ2" s="20" t="s">
        <v>116</v>
      </c>
      <c r="GA2" t="s">
        <v>2139</v>
      </c>
      <c r="GB2" t="s">
        <v>2140</v>
      </c>
      <c r="GC2" t="s">
        <v>2141</v>
      </c>
      <c r="GD2" t="s">
        <v>2142</v>
      </c>
      <c r="GE2" t="s">
        <v>2143</v>
      </c>
      <c r="GF2" t="s">
        <v>2144</v>
      </c>
      <c r="GG2" t="s">
        <v>2145</v>
      </c>
      <c r="GH2" t="s">
        <v>69</v>
      </c>
      <c r="GI2" t="s">
        <v>70</v>
      </c>
      <c r="GJ2" t="s">
        <v>2146</v>
      </c>
      <c r="GK2" t="s">
        <v>2147</v>
      </c>
      <c r="GL2" t="s">
        <v>2148</v>
      </c>
      <c r="GM2" t="s">
        <v>2149</v>
      </c>
      <c r="GN2" t="s">
        <v>2150</v>
      </c>
      <c r="GO2" t="s">
        <v>2151</v>
      </c>
      <c r="GP2" t="s">
        <v>2152</v>
      </c>
      <c r="GQ2" t="s">
        <v>2153</v>
      </c>
      <c r="GR2" t="s">
        <v>71</v>
      </c>
      <c r="GS2" t="s">
        <v>72</v>
      </c>
      <c r="GT2" t="s">
        <v>2154</v>
      </c>
      <c r="GU2" t="s">
        <v>2155</v>
      </c>
      <c r="GV2" t="s">
        <v>2156</v>
      </c>
      <c r="GW2" t="s">
        <v>2157</v>
      </c>
      <c r="GX2" t="s">
        <v>2158</v>
      </c>
      <c r="GY2" t="s">
        <v>2159</v>
      </c>
      <c r="GZ2" t="s">
        <v>2160</v>
      </c>
      <c r="HA2" t="s">
        <v>2161</v>
      </c>
      <c r="HB2" t="s">
        <v>2162</v>
      </c>
      <c r="HC2" t="s">
        <v>73</v>
      </c>
      <c r="HD2" t="s">
        <v>2163</v>
      </c>
      <c r="HE2" t="s">
        <v>2164</v>
      </c>
      <c r="HF2" t="s">
        <v>74</v>
      </c>
      <c r="HG2" t="s">
        <v>75</v>
      </c>
      <c r="HH2" s="20" t="s">
        <v>2316</v>
      </c>
      <c r="HI2" t="s">
        <v>76</v>
      </c>
      <c r="HJ2" t="s">
        <v>2165</v>
      </c>
      <c r="HK2" t="s">
        <v>77</v>
      </c>
      <c r="HL2" t="s">
        <v>78</v>
      </c>
      <c r="HM2" t="s">
        <v>79</v>
      </c>
    </row>
    <row r="3" spans="1:221" x14ac:dyDescent="0.45">
      <c r="A3">
        <v>2</v>
      </c>
      <c r="B3">
        <f>_xlfn.IFNA(VLOOKUP(AnalizaCzyste[[#This Row],[Zakończono wypełnianie]],Zakończone[],2,0),"BRAK")</f>
        <v>2</v>
      </c>
      <c r="C3">
        <f>COUNTA(U3:HM3)</f>
        <v>96</v>
      </c>
      <c r="D3" t="s">
        <v>145</v>
      </c>
      <c r="E3" t="s">
        <v>146</v>
      </c>
      <c r="F3">
        <v>1573</v>
      </c>
      <c r="G3" s="20" t="s">
        <v>2292</v>
      </c>
      <c r="H3" s="20" t="s">
        <v>2481</v>
      </c>
      <c r="I3" s="58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" t="s">
        <v>123</v>
      </c>
      <c r="AK3" s="56" t="s">
        <v>124</v>
      </c>
      <c r="AL3" t="s">
        <v>234</v>
      </c>
      <c r="AM3" t="str">
        <f>VLOOKUP(AnalizaCzyste[[#This Row],[Jak się nazywa uczelnia którą ukończyłeś? (proszę o wybranie jednej uczelni podlegającej ocenie)]],KategorieUczelni[],2,0)</f>
        <v>Publiczna</v>
      </c>
      <c r="AN3">
        <v>1986</v>
      </c>
      <c r="AO3" t="s">
        <v>148</v>
      </c>
      <c r="AP3" t="s">
        <v>149</v>
      </c>
      <c r="AQ3" t="s">
        <v>150</v>
      </c>
      <c r="AR3" t="s">
        <v>150</v>
      </c>
      <c r="AS3" t="s">
        <v>150</v>
      </c>
      <c r="AT3" t="s">
        <v>151</v>
      </c>
      <c r="AU3" t="s">
        <v>150</v>
      </c>
      <c r="AV3">
        <v>3</v>
      </c>
      <c r="AW3" t="s">
        <v>152</v>
      </c>
      <c r="AX3" t="s">
        <v>153</v>
      </c>
      <c r="AY3" t="s">
        <v>154</v>
      </c>
      <c r="AZ3" t="s">
        <v>155</v>
      </c>
      <c r="BA3" t="s">
        <v>156</v>
      </c>
      <c r="BB3" t="s">
        <v>157</v>
      </c>
      <c r="BC3" t="s">
        <v>158</v>
      </c>
      <c r="BD3" s="56" t="s">
        <v>159</v>
      </c>
      <c r="BE3">
        <v>2</v>
      </c>
      <c r="BF3" t="s">
        <v>160</v>
      </c>
      <c r="BG3">
        <v>2013</v>
      </c>
      <c r="BH3" t="s">
        <v>148</v>
      </c>
      <c r="BI3" t="s">
        <v>161</v>
      </c>
      <c r="BJ3" t="s">
        <v>162</v>
      </c>
      <c r="BK3" t="s">
        <v>150</v>
      </c>
      <c r="BL3" t="s">
        <v>150</v>
      </c>
      <c r="BM3" t="s">
        <v>150</v>
      </c>
      <c r="BN3" t="s">
        <v>150</v>
      </c>
      <c r="BO3" t="s">
        <v>163</v>
      </c>
      <c r="BP3" t="s">
        <v>164</v>
      </c>
      <c r="BQ3" t="s">
        <v>157</v>
      </c>
      <c r="BS3" t="s">
        <v>165</v>
      </c>
      <c r="BT3" t="s">
        <v>166</v>
      </c>
      <c r="BU3" t="s">
        <v>167</v>
      </c>
      <c r="BV3">
        <v>2015</v>
      </c>
      <c r="BW3" t="s">
        <v>148</v>
      </c>
      <c r="BX3" t="s">
        <v>168</v>
      </c>
      <c r="BY3" t="s">
        <v>150</v>
      </c>
      <c r="BZ3" t="s">
        <v>169</v>
      </c>
      <c r="CA3" t="s">
        <v>150</v>
      </c>
      <c r="CB3" t="s">
        <v>150</v>
      </c>
      <c r="CC3" t="s">
        <v>150</v>
      </c>
      <c r="CD3" t="s">
        <v>170</v>
      </c>
      <c r="CE3" t="s">
        <v>171</v>
      </c>
      <c r="CF3" t="s">
        <v>172</v>
      </c>
      <c r="CI3" t="s">
        <v>173</v>
      </c>
      <c r="CX3" s="1" t="s">
        <v>123</v>
      </c>
      <c r="DH3" s="1" t="s">
        <v>123</v>
      </c>
      <c r="DR3" s="56" t="s">
        <v>174</v>
      </c>
      <c r="DV3" t="s">
        <v>175</v>
      </c>
      <c r="DW3" t="s">
        <v>176</v>
      </c>
      <c r="DX3" t="s">
        <v>162</v>
      </c>
      <c r="DY3" t="s">
        <v>150</v>
      </c>
      <c r="DZ3" t="s">
        <v>151</v>
      </c>
      <c r="EA3" t="s">
        <v>151</v>
      </c>
      <c r="EB3" t="s">
        <v>162</v>
      </c>
      <c r="EC3" t="s">
        <v>162</v>
      </c>
      <c r="ED3" t="s">
        <v>150</v>
      </c>
      <c r="EE3">
        <v>25</v>
      </c>
      <c r="EF3">
        <v>25</v>
      </c>
      <c r="EG3">
        <v>2</v>
      </c>
      <c r="EH3">
        <v>5</v>
      </c>
      <c r="EI3">
        <v>8</v>
      </c>
      <c r="EJ3">
        <v>25</v>
      </c>
      <c r="EK3">
        <v>10</v>
      </c>
      <c r="EM3">
        <v>20</v>
      </c>
      <c r="EN3">
        <v>20</v>
      </c>
      <c r="EO3">
        <v>1</v>
      </c>
      <c r="EP3">
        <v>4</v>
      </c>
      <c r="EQ3">
        <v>25</v>
      </c>
      <c r="ER3">
        <v>25</v>
      </c>
      <c r="ES3">
        <v>5</v>
      </c>
      <c r="EU3" s="56" t="s">
        <v>177</v>
      </c>
      <c r="EV3" t="s">
        <v>178</v>
      </c>
      <c r="EW3">
        <v>1</v>
      </c>
      <c r="EX3" t="s">
        <v>179</v>
      </c>
      <c r="EY3" t="s">
        <v>150</v>
      </c>
      <c r="EZ3" t="s">
        <v>150</v>
      </c>
      <c r="FA3" t="s">
        <v>151</v>
      </c>
      <c r="FB3" t="s">
        <v>180</v>
      </c>
      <c r="FC3" t="s">
        <v>181</v>
      </c>
      <c r="FD3" t="s">
        <v>182</v>
      </c>
      <c r="FE3" t="s">
        <v>173</v>
      </c>
      <c r="FU3" s="1" t="s">
        <v>123</v>
      </c>
      <c r="FV3" t="s">
        <v>132</v>
      </c>
      <c r="HC3" t="s">
        <v>183</v>
      </c>
      <c r="HD3" t="s">
        <v>184</v>
      </c>
      <c r="HE3" t="s">
        <v>185</v>
      </c>
      <c r="HF3" t="s">
        <v>186</v>
      </c>
      <c r="HG3">
        <v>1961</v>
      </c>
      <c r="HH3" t="str">
        <f>VLOOKUP(AnalizaCzyste[[#This Row],[Rok urodzenia]],KategorieWiekowe[],2,1)</f>
        <v>56–65 lat</v>
      </c>
      <c r="HI3" t="s">
        <v>141</v>
      </c>
      <c r="HK3" t="s">
        <v>187</v>
      </c>
    </row>
    <row r="4" spans="1:221" x14ac:dyDescent="0.45">
      <c r="A4">
        <v>5</v>
      </c>
      <c r="B4">
        <f>_xlfn.IFNA(VLOOKUP(AnalizaCzyste[[#This Row],[Zakończono wypełnianie]],Zakończone[],2,0),"BRAK")</f>
        <v>5</v>
      </c>
      <c r="C4">
        <f>COUNTA(U4:HM4)</f>
        <v>84</v>
      </c>
      <c r="D4" t="s">
        <v>221</v>
      </c>
      <c r="E4" t="s">
        <v>222</v>
      </c>
      <c r="F4">
        <v>1659</v>
      </c>
      <c r="G4" s="20" t="s">
        <v>2292</v>
      </c>
      <c r="H4" s="20" t="s">
        <v>2473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" t="s">
        <v>123</v>
      </c>
      <c r="AK4" s="56" t="s">
        <v>124</v>
      </c>
      <c r="AL4" t="s">
        <v>223</v>
      </c>
      <c r="AM4" t="str">
        <f>VLOOKUP(AnalizaCzyste[[#This Row],[Jak się nazywa uczelnia którą ukończyłeś? (proszę o wybranie jednej uczelni podlegającej ocenie)]],KategorieUczelni[],2,0)</f>
        <v>Publiczna</v>
      </c>
      <c r="AN4">
        <v>1999</v>
      </c>
      <c r="AO4" t="s">
        <v>148</v>
      </c>
      <c r="AP4" t="s">
        <v>224</v>
      </c>
      <c r="AQ4" t="s">
        <v>162</v>
      </c>
      <c r="AR4" t="s">
        <v>162</v>
      </c>
      <c r="AS4" t="s">
        <v>150</v>
      </c>
      <c r="AT4" t="s">
        <v>150</v>
      </c>
      <c r="AU4" t="s">
        <v>169</v>
      </c>
      <c r="AV4" t="s">
        <v>225</v>
      </c>
      <c r="AW4" t="s">
        <v>153</v>
      </c>
      <c r="AX4" t="s">
        <v>226</v>
      </c>
      <c r="AY4" t="s">
        <v>227</v>
      </c>
      <c r="AZ4" t="s">
        <v>228</v>
      </c>
      <c r="BA4" t="s">
        <v>229</v>
      </c>
      <c r="BB4" t="s">
        <v>230</v>
      </c>
      <c r="BD4" s="56" t="s">
        <v>159</v>
      </c>
      <c r="BE4">
        <v>3</v>
      </c>
      <c r="BF4" t="s">
        <v>191</v>
      </c>
      <c r="BG4">
        <v>2011</v>
      </c>
      <c r="BH4" t="s">
        <v>126</v>
      </c>
      <c r="BI4" t="s">
        <v>2273</v>
      </c>
      <c r="BJ4" t="s">
        <v>169</v>
      </c>
      <c r="BK4" t="s">
        <v>169</v>
      </c>
      <c r="BL4" t="s">
        <v>150</v>
      </c>
      <c r="BM4" t="s">
        <v>162</v>
      </c>
      <c r="BN4" t="s">
        <v>150</v>
      </c>
      <c r="BO4">
        <v>1</v>
      </c>
      <c r="BP4" t="s">
        <v>232</v>
      </c>
      <c r="BQ4" t="s">
        <v>157</v>
      </c>
      <c r="BS4" t="s">
        <v>233</v>
      </c>
      <c r="BT4" t="s">
        <v>166</v>
      </c>
      <c r="BU4" t="s">
        <v>234</v>
      </c>
      <c r="BV4">
        <v>2011</v>
      </c>
      <c r="BW4" t="s">
        <v>148</v>
      </c>
      <c r="BX4" t="s">
        <v>235</v>
      </c>
      <c r="BY4" t="s">
        <v>151</v>
      </c>
      <c r="BZ4" t="s">
        <v>128</v>
      </c>
      <c r="CA4" t="s">
        <v>236</v>
      </c>
      <c r="CB4" t="s">
        <v>128</v>
      </c>
      <c r="CC4" t="s">
        <v>162</v>
      </c>
      <c r="CD4" t="s">
        <v>237</v>
      </c>
      <c r="CF4" t="s">
        <v>172</v>
      </c>
      <c r="CH4" t="s">
        <v>233</v>
      </c>
      <c r="CI4" t="s">
        <v>238</v>
      </c>
      <c r="CJ4" t="s">
        <v>223</v>
      </c>
      <c r="CK4">
        <v>2016</v>
      </c>
      <c r="CL4" t="s">
        <v>148</v>
      </c>
      <c r="CM4" t="s">
        <v>239</v>
      </c>
      <c r="CN4" t="s">
        <v>169</v>
      </c>
      <c r="CO4" t="s">
        <v>169</v>
      </c>
      <c r="CP4" t="s">
        <v>169</v>
      </c>
      <c r="CQ4" t="s">
        <v>150</v>
      </c>
      <c r="CR4" t="s">
        <v>150</v>
      </c>
      <c r="CS4">
        <v>1</v>
      </c>
      <c r="CT4" t="s">
        <v>240</v>
      </c>
      <c r="CU4" t="s">
        <v>157</v>
      </c>
      <c r="CW4" t="s">
        <v>233</v>
      </c>
      <c r="CX4" s="1" t="s">
        <v>123</v>
      </c>
      <c r="DH4" s="56" t="s">
        <v>214</v>
      </c>
      <c r="DI4" t="s">
        <v>234</v>
      </c>
      <c r="DJ4" t="s">
        <v>241</v>
      </c>
      <c r="DK4" t="s">
        <v>162</v>
      </c>
      <c r="DL4" t="s">
        <v>169</v>
      </c>
      <c r="DM4" t="s">
        <v>169</v>
      </c>
      <c r="DN4" t="s">
        <v>151</v>
      </c>
      <c r="DO4" t="s">
        <v>151</v>
      </c>
      <c r="DP4" t="s">
        <v>151</v>
      </c>
      <c r="DQ4" t="s">
        <v>242</v>
      </c>
      <c r="DR4" s="1" t="s">
        <v>123</v>
      </c>
      <c r="EU4" s="1" t="s">
        <v>123</v>
      </c>
      <c r="FU4" s="1" t="s">
        <v>123</v>
      </c>
      <c r="FV4" t="s">
        <v>132</v>
      </c>
      <c r="HC4" t="s">
        <v>243</v>
      </c>
      <c r="HD4" t="s">
        <v>244</v>
      </c>
      <c r="HE4" t="s">
        <v>245</v>
      </c>
      <c r="HF4" t="s">
        <v>186</v>
      </c>
      <c r="HG4">
        <v>1961</v>
      </c>
      <c r="HH4" t="str">
        <f>VLOOKUP(AnalizaCzyste[[#This Row],[Rok urodzenia]],KategorieWiekowe[],2,1)</f>
        <v>56–65 lat</v>
      </c>
      <c r="HI4" t="s">
        <v>246</v>
      </c>
      <c r="HK4" t="s">
        <v>247</v>
      </c>
    </row>
    <row r="5" spans="1:221" x14ac:dyDescent="0.45">
      <c r="A5">
        <v>11</v>
      </c>
      <c r="B5">
        <f>_xlfn.IFNA(VLOOKUP(AnalizaCzyste[[#This Row],[Zakończono wypełnianie]],Zakończone[],2,0),"BRAK")</f>
        <v>10</v>
      </c>
      <c r="C5">
        <f>COUNTA(U5:HM5)</f>
        <v>63</v>
      </c>
      <c r="D5" t="s">
        <v>299</v>
      </c>
      <c r="E5" t="s">
        <v>300</v>
      </c>
      <c r="F5">
        <v>1404</v>
      </c>
      <c r="G5" s="20" t="s">
        <v>2292</v>
      </c>
      <c r="H5" s="20" t="s">
        <v>2474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" t="s">
        <v>123</v>
      </c>
      <c r="AK5" s="56" t="s">
        <v>124</v>
      </c>
      <c r="AL5" t="s">
        <v>191</v>
      </c>
      <c r="AM5" t="str">
        <f>VLOOKUP(AnalizaCzyste[[#This Row],[Jak się nazywa uczelnia którą ukończyłeś? (proszę o wybranie jednej uczelni podlegającej ocenie)]],KategorieUczelni[],2,0)</f>
        <v>Publiczna</v>
      </c>
      <c r="AN5">
        <v>1986</v>
      </c>
      <c r="AO5" t="s">
        <v>126</v>
      </c>
      <c r="AP5" t="s">
        <v>301</v>
      </c>
      <c r="AQ5" t="s">
        <v>150</v>
      </c>
      <c r="AR5" t="s">
        <v>150</v>
      </c>
      <c r="AS5" t="s">
        <v>162</v>
      </c>
      <c r="AT5" t="s">
        <v>151</v>
      </c>
      <c r="AU5" t="s">
        <v>151</v>
      </c>
      <c r="AV5">
        <v>2</v>
      </c>
      <c r="AW5" t="s">
        <v>302</v>
      </c>
      <c r="AX5" t="s">
        <v>153</v>
      </c>
      <c r="AY5" t="s">
        <v>303</v>
      </c>
      <c r="AZ5" t="s">
        <v>304</v>
      </c>
      <c r="BA5" t="s">
        <v>305</v>
      </c>
      <c r="BB5" t="s">
        <v>157</v>
      </c>
      <c r="BD5" s="56" t="s">
        <v>159</v>
      </c>
      <c r="BE5">
        <v>1</v>
      </c>
      <c r="BF5" t="s">
        <v>223</v>
      </c>
      <c r="BG5">
        <v>2011</v>
      </c>
      <c r="BH5" t="s">
        <v>148</v>
      </c>
      <c r="BI5" t="s">
        <v>127</v>
      </c>
      <c r="BJ5" t="s">
        <v>150</v>
      </c>
      <c r="BK5" t="s">
        <v>150</v>
      </c>
      <c r="BL5" t="s">
        <v>169</v>
      </c>
      <c r="BM5" t="s">
        <v>169</v>
      </c>
      <c r="BN5" t="s">
        <v>169</v>
      </c>
      <c r="BO5">
        <v>1</v>
      </c>
      <c r="BP5" t="s">
        <v>306</v>
      </c>
      <c r="BQ5" t="s">
        <v>157</v>
      </c>
      <c r="BS5" t="s">
        <v>307</v>
      </c>
      <c r="BT5" t="s">
        <v>173</v>
      </c>
      <c r="CX5" s="1" t="s">
        <v>123</v>
      </c>
      <c r="DH5" s="56" t="s">
        <v>214</v>
      </c>
      <c r="DI5" t="s">
        <v>191</v>
      </c>
      <c r="DJ5" t="s">
        <v>308</v>
      </c>
      <c r="DK5" t="s">
        <v>150</v>
      </c>
      <c r="DL5" t="s">
        <v>150</v>
      </c>
      <c r="DM5" t="s">
        <v>162</v>
      </c>
      <c r="DN5" t="s">
        <v>150</v>
      </c>
      <c r="DO5" t="s">
        <v>150</v>
      </c>
      <c r="DP5" t="s">
        <v>150</v>
      </c>
      <c r="DQ5" t="s">
        <v>309</v>
      </c>
      <c r="DR5" s="57" t="s">
        <v>2488</v>
      </c>
      <c r="EU5" s="1" t="s">
        <v>123</v>
      </c>
      <c r="EV5" t="s">
        <v>180</v>
      </c>
      <c r="EW5" t="s">
        <v>132</v>
      </c>
      <c r="FU5" s="1" t="s">
        <v>123</v>
      </c>
      <c r="FV5" t="s">
        <v>132</v>
      </c>
      <c r="FX5" t="s">
        <v>132</v>
      </c>
      <c r="HC5" t="s">
        <v>310</v>
      </c>
      <c r="HD5" t="s">
        <v>311</v>
      </c>
      <c r="HE5" t="s">
        <v>312</v>
      </c>
      <c r="HF5" t="s">
        <v>186</v>
      </c>
      <c r="HG5">
        <v>1963</v>
      </c>
      <c r="HH5" t="str">
        <f>VLOOKUP(AnalizaCzyste[[#This Row],[Rok urodzenia]],KategorieWiekowe[],2,1)</f>
        <v>56–65 lat</v>
      </c>
      <c r="HI5" t="s">
        <v>141</v>
      </c>
      <c r="HJ5" t="s">
        <v>313</v>
      </c>
      <c r="HK5" t="s">
        <v>314</v>
      </c>
      <c r="HL5" t="s">
        <v>315</v>
      </c>
    </row>
    <row r="6" spans="1:221" x14ac:dyDescent="0.45">
      <c r="A6">
        <v>13</v>
      </c>
      <c r="B6">
        <f>_xlfn.IFNA(VLOOKUP(AnalizaCzyste[[#This Row],[Zakończono wypełnianie]],Zakończone[],2,0),"BRAK")</f>
        <v>12</v>
      </c>
      <c r="C6">
        <f>COUNTA(U6:HM6)</f>
        <v>36</v>
      </c>
      <c r="D6" t="s">
        <v>327</v>
      </c>
      <c r="E6" t="s">
        <v>328</v>
      </c>
      <c r="F6">
        <v>1387173</v>
      </c>
      <c r="G6" s="20" t="s">
        <v>2292</v>
      </c>
      <c r="H6" s="20" t="s">
        <v>2475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" t="s">
        <v>123</v>
      </c>
      <c r="AK6" s="56" t="s">
        <v>124</v>
      </c>
      <c r="AL6" t="s">
        <v>191</v>
      </c>
      <c r="AM6" t="str">
        <f>VLOOKUP(AnalizaCzyste[[#This Row],[Jak się nazywa uczelnia którą ukończyłeś? (proszę o wybranie jednej uczelni podlegającej ocenie)]],KategorieUczelni[],2,0)</f>
        <v>Publiczna</v>
      </c>
      <c r="AN6">
        <v>2011</v>
      </c>
      <c r="AO6" t="s">
        <v>126</v>
      </c>
      <c r="AP6" t="s">
        <v>330</v>
      </c>
      <c r="AQ6" t="s">
        <v>169</v>
      </c>
      <c r="AR6" t="s">
        <v>169</v>
      </c>
      <c r="AS6" t="s">
        <v>150</v>
      </c>
      <c r="AT6" t="s">
        <v>162</v>
      </c>
      <c r="AU6" t="s">
        <v>169</v>
      </c>
      <c r="AV6" t="s">
        <v>331</v>
      </c>
      <c r="AW6" t="s">
        <v>302</v>
      </c>
      <c r="AX6" t="s">
        <v>226</v>
      </c>
      <c r="AY6" t="s">
        <v>332</v>
      </c>
      <c r="AZ6" t="s">
        <v>333</v>
      </c>
      <c r="BA6" t="s">
        <v>334</v>
      </c>
      <c r="BB6" t="s">
        <v>157</v>
      </c>
      <c r="BC6" t="s">
        <v>335</v>
      </c>
      <c r="BD6" s="1" t="s">
        <v>123</v>
      </c>
      <c r="CX6" s="1" t="s">
        <v>123</v>
      </c>
      <c r="DH6" s="1" t="s">
        <v>123</v>
      </c>
      <c r="DR6" s="1" t="s">
        <v>123</v>
      </c>
      <c r="EU6" s="1" t="s">
        <v>123</v>
      </c>
      <c r="FU6" s="1" t="s">
        <v>123</v>
      </c>
      <c r="FV6" t="s">
        <v>132</v>
      </c>
      <c r="HC6" t="s">
        <v>336</v>
      </c>
      <c r="HD6" t="s">
        <v>337</v>
      </c>
      <c r="HE6" t="s">
        <v>338</v>
      </c>
      <c r="HF6" t="s">
        <v>186</v>
      </c>
      <c r="HG6">
        <v>1987</v>
      </c>
      <c r="HH6" t="str">
        <f>VLOOKUP(AnalizaCzyste[[#This Row],[Rok urodzenia]],KategorieWiekowe[],2,1)</f>
        <v>26–35 lat</v>
      </c>
      <c r="HI6" t="s">
        <v>246</v>
      </c>
      <c r="HK6" t="s">
        <v>339</v>
      </c>
      <c r="HL6" t="s">
        <v>340</v>
      </c>
    </row>
    <row r="7" spans="1:221" x14ac:dyDescent="0.45">
      <c r="A7">
        <v>21</v>
      </c>
      <c r="B7">
        <f>_xlfn.IFNA(VLOOKUP(AnalizaCzyste[[#This Row],[Zakończono wypełnianie]],Zakończone[],2,0),"BRAK")</f>
        <v>18</v>
      </c>
      <c r="C7">
        <f>COUNTA(U7:HM7)</f>
        <v>77</v>
      </c>
      <c r="D7" t="s">
        <v>379</v>
      </c>
      <c r="E7" t="s">
        <v>380</v>
      </c>
      <c r="F7">
        <v>5438</v>
      </c>
      <c r="G7" s="20" t="s">
        <v>2292</v>
      </c>
      <c r="H7" s="20" t="s">
        <v>2469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" t="s">
        <v>123</v>
      </c>
      <c r="AK7" s="56" t="s">
        <v>124</v>
      </c>
      <c r="AL7" t="s">
        <v>2268</v>
      </c>
      <c r="AM7" t="str">
        <f>VLOOKUP(AnalizaCzyste[[#This Row],[Jak się nazywa uczelnia którą ukończyłeś? (proszę o wybranie jednej uczelni podlegającej ocenie)]],KategorieUczelni[],2,0)</f>
        <v>Publiczna</v>
      </c>
      <c r="AN7">
        <v>1985</v>
      </c>
      <c r="AO7" t="s">
        <v>148</v>
      </c>
      <c r="AP7" t="s">
        <v>382</v>
      </c>
      <c r="AQ7" t="s">
        <v>169</v>
      </c>
      <c r="AR7" t="s">
        <v>169</v>
      </c>
      <c r="AS7" t="s">
        <v>128</v>
      </c>
      <c r="AT7" t="s">
        <v>236</v>
      </c>
      <c r="AU7" t="s">
        <v>236</v>
      </c>
      <c r="AV7" t="s">
        <v>383</v>
      </c>
      <c r="AW7" t="s">
        <v>152</v>
      </c>
      <c r="AX7" t="s">
        <v>152</v>
      </c>
      <c r="AY7" t="s">
        <v>384</v>
      </c>
      <c r="AZ7" t="s">
        <v>385</v>
      </c>
      <c r="BA7" t="s">
        <v>386</v>
      </c>
      <c r="BB7" t="s">
        <v>172</v>
      </c>
      <c r="BD7" s="1" t="s">
        <v>123</v>
      </c>
      <c r="CX7" s="56" t="s">
        <v>387</v>
      </c>
      <c r="CY7" t="s">
        <v>388</v>
      </c>
      <c r="CZ7" t="s">
        <v>389</v>
      </c>
      <c r="DA7" t="s">
        <v>169</v>
      </c>
      <c r="DB7" t="s">
        <v>169</v>
      </c>
      <c r="DC7" t="s">
        <v>169</v>
      </c>
      <c r="DD7" t="s">
        <v>169</v>
      </c>
      <c r="DE7" t="s">
        <v>169</v>
      </c>
      <c r="DF7" t="s">
        <v>169</v>
      </c>
      <c r="DG7" t="s">
        <v>390</v>
      </c>
      <c r="DH7" s="56" t="s">
        <v>214</v>
      </c>
      <c r="DI7" t="s">
        <v>388</v>
      </c>
      <c r="DJ7" t="s">
        <v>2274</v>
      </c>
      <c r="DK7" t="s">
        <v>169</v>
      </c>
      <c r="DL7" t="s">
        <v>169</v>
      </c>
      <c r="DM7" t="s">
        <v>169</v>
      </c>
      <c r="DN7" t="s">
        <v>169</v>
      </c>
      <c r="DO7" t="s">
        <v>169</v>
      </c>
      <c r="DP7" t="s">
        <v>169</v>
      </c>
      <c r="DQ7" t="s">
        <v>393</v>
      </c>
      <c r="DR7" s="56" t="s">
        <v>174</v>
      </c>
      <c r="DS7" t="s">
        <v>394</v>
      </c>
      <c r="DW7" t="s">
        <v>391</v>
      </c>
      <c r="DX7" t="s">
        <v>169</v>
      </c>
      <c r="DY7" t="s">
        <v>169</v>
      </c>
      <c r="DZ7" t="s">
        <v>169</v>
      </c>
      <c r="EA7" t="s">
        <v>169</v>
      </c>
      <c r="EB7" t="s">
        <v>169</v>
      </c>
      <c r="EC7" t="s">
        <v>169</v>
      </c>
      <c r="ED7" t="s">
        <v>169</v>
      </c>
      <c r="EE7">
        <v>20</v>
      </c>
      <c r="EF7">
        <v>20</v>
      </c>
      <c r="EG7">
        <v>0</v>
      </c>
      <c r="EH7">
        <v>15</v>
      </c>
      <c r="EI7">
        <v>30</v>
      </c>
      <c r="EJ7">
        <v>0</v>
      </c>
      <c r="EK7">
        <v>15</v>
      </c>
      <c r="EM7">
        <v>30</v>
      </c>
      <c r="EN7">
        <v>20</v>
      </c>
      <c r="EO7">
        <v>0</v>
      </c>
      <c r="EP7">
        <v>10</v>
      </c>
      <c r="EQ7">
        <v>25</v>
      </c>
      <c r="ER7">
        <v>0</v>
      </c>
      <c r="ES7">
        <v>15</v>
      </c>
      <c r="EU7" s="1" t="s">
        <v>123</v>
      </c>
      <c r="EV7" t="s">
        <v>178</v>
      </c>
      <c r="EW7" t="s">
        <v>132</v>
      </c>
      <c r="FU7" s="1" t="s">
        <v>123</v>
      </c>
      <c r="FV7" t="s">
        <v>132</v>
      </c>
      <c r="FX7" t="s">
        <v>132</v>
      </c>
      <c r="HC7" t="s">
        <v>395</v>
      </c>
      <c r="HD7" t="s">
        <v>396</v>
      </c>
      <c r="HE7" t="s">
        <v>397</v>
      </c>
      <c r="HF7" t="s">
        <v>186</v>
      </c>
      <c r="HG7">
        <v>1960</v>
      </c>
      <c r="HH7" t="str">
        <f>VLOOKUP(AnalizaCzyste[[#This Row],[Rok urodzenia]],KategorieWiekowe[],2,1)</f>
        <v>56–65 lat</v>
      </c>
      <c r="HI7" t="s">
        <v>398</v>
      </c>
    </row>
    <row r="8" spans="1:221" x14ac:dyDescent="0.45">
      <c r="A8">
        <v>30</v>
      </c>
      <c r="B8">
        <f>_xlfn.IFNA(VLOOKUP(AnalizaCzyste[[#This Row],[Zakończono wypełnianie]],Zakończone[],2,0),"BRAK")</f>
        <v>21</v>
      </c>
      <c r="C8">
        <f>COUNTA(U8:HM8)</f>
        <v>47</v>
      </c>
      <c r="D8" t="s">
        <v>443</v>
      </c>
      <c r="E8" t="s">
        <v>444</v>
      </c>
      <c r="F8">
        <v>6812</v>
      </c>
      <c r="G8" s="20" t="s">
        <v>2292</v>
      </c>
      <c r="H8" s="20" t="s">
        <v>2472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" t="s">
        <v>123</v>
      </c>
      <c r="AK8" s="56" t="s">
        <v>124</v>
      </c>
      <c r="AL8" t="s">
        <v>445</v>
      </c>
      <c r="AM8" t="str">
        <f>VLOOKUP(AnalizaCzyste[[#This Row],[Jak się nazywa uczelnia którą ukończyłeś? (proszę o wybranie jednej uczelni podlegającej ocenie)]],KategorieUczelni[],2,0)</f>
        <v>Publiczna</v>
      </c>
      <c r="AN8">
        <v>2019</v>
      </c>
      <c r="AO8" t="s">
        <v>148</v>
      </c>
      <c r="AP8" t="s">
        <v>446</v>
      </c>
      <c r="AQ8" t="s">
        <v>150</v>
      </c>
      <c r="AR8" t="s">
        <v>150</v>
      </c>
      <c r="AS8" t="s">
        <v>169</v>
      </c>
      <c r="AT8" t="s">
        <v>169</v>
      </c>
      <c r="AU8" t="s">
        <v>132</v>
      </c>
      <c r="AV8" t="s">
        <v>237</v>
      </c>
      <c r="AW8" t="s">
        <v>226</v>
      </c>
      <c r="AX8" t="s">
        <v>132</v>
      </c>
      <c r="AY8" t="s">
        <v>447</v>
      </c>
      <c r="AZ8" t="s">
        <v>448</v>
      </c>
      <c r="BA8" t="s">
        <v>449</v>
      </c>
      <c r="BB8" t="s">
        <v>157</v>
      </c>
      <c r="BD8" s="1" t="s">
        <v>123</v>
      </c>
      <c r="CX8" s="56" t="s">
        <v>387</v>
      </c>
      <c r="CY8" t="s">
        <v>445</v>
      </c>
      <c r="CZ8" t="s">
        <v>450</v>
      </c>
      <c r="DA8" t="s">
        <v>169</v>
      </c>
      <c r="DB8" t="s">
        <v>169</v>
      </c>
      <c r="DC8" t="s">
        <v>169</v>
      </c>
      <c r="DD8" t="s">
        <v>150</v>
      </c>
      <c r="DE8" t="s">
        <v>150</v>
      </c>
      <c r="DF8" t="s">
        <v>150</v>
      </c>
      <c r="DG8" t="s">
        <v>451</v>
      </c>
      <c r="DH8" s="1" t="s">
        <v>123</v>
      </c>
      <c r="DR8" s="1" t="s">
        <v>123</v>
      </c>
      <c r="EU8" s="1" t="s">
        <v>123</v>
      </c>
      <c r="EV8" t="s">
        <v>180</v>
      </c>
      <c r="EW8" t="s">
        <v>132</v>
      </c>
      <c r="FU8" s="1" t="s">
        <v>123</v>
      </c>
      <c r="FV8" t="s">
        <v>132</v>
      </c>
      <c r="FX8" t="s">
        <v>132</v>
      </c>
      <c r="HC8" t="s">
        <v>452</v>
      </c>
      <c r="HD8" t="s">
        <v>453</v>
      </c>
      <c r="HE8" t="s">
        <v>454</v>
      </c>
      <c r="HF8" t="s">
        <v>140</v>
      </c>
      <c r="HG8">
        <v>1994</v>
      </c>
      <c r="HH8" t="str">
        <f>VLOOKUP(AnalizaCzyste[[#This Row],[Rok urodzenia]],KategorieWiekowe[],2,1)</f>
        <v>26–35 lat</v>
      </c>
      <c r="HI8" t="s">
        <v>220</v>
      </c>
      <c r="HK8" t="s">
        <v>455</v>
      </c>
      <c r="HL8" t="s">
        <v>456</v>
      </c>
    </row>
    <row r="9" spans="1:221" x14ac:dyDescent="0.45">
      <c r="A9">
        <v>70</v>
      </c>
      <c r="B9">
        <f>_xlfn.IFNA(VLOOKUP(AnalizaCzyste[[#This Row],[Zakończono wypełnianie]],Zakończone[],2,0),"BRAK")</f>
        <v>39</v>
      </c>
      <c r="C9">
        <f>COUNTA(U9:HM9)</f>
        <v>55</v>
      </c>
      <c r="D9" t="s">
        <v>715</v>
      </c>
      <c r="E9" t="s">
        <v>716</v>
      </c>
      <c r="F9">
        <v>1868</v>
      </c>
      <c r="G9" s="20" t="s">
        <v>2292</v>
      </c>
      <c r="H9" s="20" t="s">
        <v>2471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" t="s">
        <v>123</v>
      </c>
      <c r="AK9" s="56" t="s">
        <v>124</v>
      </c>
      <c r="AL9" t="s">
        <v>191</v>
      </c>
      <c r="AM9" t="str">
        <f>VLOOKUP(AnalizaCzyste[[#This Row],[Jak się nazywa uczelnia którą ukończyłeś? (proszę o wybranie jednej uczelni podlegającej ocenie)]],KategorieUczelni[],2,0)</f>
        <v>Publiczna</v>
      </c>
      <c r="AN9">
        <v>2008</v>
      </c>
      <c r="AO9" t="s">
        <v>126</v>
      </c>
      <c r="AP9" t="s">
        <v>717</v>
      </c>
      <c r="AQ9" t="s">
        <v>162</v>
      </c>
      <c r="AR9" t="s">
        <v>151</v>
      </c>
      <c r="AS9" t="s">
        <v>162</v>
      </c>
      <c r="AT9" t="s">
        <v>236</v>
      </c>
      <c r="AU9" t="s">
        <v>236</v>
      </c>
      <c r="AV9" t="s">
        <v>718</v>
      </c>
      <c r="AW9" t="s">
        <v>131</v>
      </c>
      <c r="AX9" t="s">
        <v>302</v>
      </c>
      <c r="AY9" t="s">
        <v>719</v>
      </c>
      <c r="AZ9" t="s">
        <v>720</v>
      </c>
      <c r="BA9" t="s">
        <v>721</v>
      </c>
      <c r="BB9" t="s">
        <v>172</v>
      </c>
      <c r="BD9" s="1" t="s">
        <v>123</v>
      </c>
      <c r="CX9" s="1" t="s">
        <v>123</v>
      </c>
      <c r="DH9" s="56" t="s">
        <v>214</v>
      </c>
      <c r="DI9" t="s">
        <v>2275</v>
      </c>
      <c r="DJ9" t="s">
        <v>2276</v>
      </c>
      <c r="DK9" t="s">
        <v>150</v>
      </c>
      <c r="DL9" t="s">
        <v>162</v>
      </c>
      <c r="DM9" t="s">
        <v>151</v>
      </c>
      <c r="DN9" t="s">
        <v>162</v>
      </c>
      <c r="DO9" t="s">
        <v>128</v>
      </c>
      <c r="DP9" t="s">
        <v>128</v>
      </c>
      <c r="DQ9" t="s">
        <v>724</v>
      </c>
      <c r="DR9" s="1" t="s">
        <v>123</v>
      </c>
      <c r="EU9" s="56" t="s">
        <v>177</v>
      </c>
      <c r="EV9" t="s">
        <v>180</v>
      </c>
      <c r="EW9">
        <v>1</v>
      </c>
      <c r="EX9" t="s">
        <v>722</v>
      </c>
      <c r="EY9" t="s">
        <v>162</v>
      </c>
      <c r="EZ9" t="s">
        <v>150</v>
      </c>
      <c r="FA9" t="s">
        <v>236</v>
      </c>
      <c r="FB9" t="s">
        <v>178</v>
      </c>
      <c r="FC9" t="s">
        <v>725</v>
      </c>
      <c r="FD9" t="s">
        <v>726</v>
      </c>
      <c r="FE9" t="s">
        <v>173</v>
      </c>
      <c r="FU9" s="1" t="s">
        <v>123</v>
      </c>
      <c r="FV9" t="s">
        <v>132</v>
      </c>
      <c r="FX9" t="s">
        <v>132</v>
      </c>
      <c r="HC9" t="s">
        <v>727</v>
      </c>
      <c r="HD9" t="s">
        <v>728</v>
      </c>
      <c r="HE9" t="s">
        <v>729</v>
      </c>
      <c r="HF9" t="s">
        <v>186</v>
      </c>
      <c r="HG9">
        <v>1983</v>
      </c>
      <c r="HH9" t="str">
        <f>VLOOKUP(AnalizaCzyste[[#This Row],[Rok urodzenia]],KategorieWiekowe[],2,1)</f>
        <v>36–45 lat</v>
      </c>
      <c r="HI9" t="s">
        <v>141</v>
      </c>
      <c r="HK9" t="s">
        <v>730</v>
      </c>
      <c r="HM9" t="s">
        <v>731</v>
      </c>
    </row>
    <row r="10" spans="1:221" x14ac:dyDescent="0.45">
      <c r="A10">
        <v>74</v>
      </c>
      <c r="B10">
        <f>_xlfn.IFNA(VLOOKUP(AnalizaCzyste[[#This Row],[Zakończono wypełnianie]],Zakończone[],2,0),"BRAK")</f>
        <v>40</v>
      </c>
      <c r="C10">
        <f>COUNTA(U10:HM10)</f>
        <v>47</v>
      </c>
      <c r="D10" t="s">
        <v>740</v>
      </c>
      <c r="E10" t="s">
        <v>741</v>
      </c>
      <c r="F10">
        <v>341</v>
      </c>
      <c r="G10" s="20" t="s">
        <v>2292</v>
      </c>
      <c r="H10" s="20" t="s">
        <v>2477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" t="s">
        <v>123</v>
      </c>
      <c r="AK10" s="56" t="s">
        <v>124</v>
      </c>
      <c r="AL10" t="s">
        <v>223</v>
      </c>
      <c r="AM10" t="str">
        <f>VLOOKUP(AnalizaCzyste[[#This Row],[Jak się nazywa uczelnia którą ukończyłeś? (proszę o wybranie jednej uczelni podlegającej ocenie)]],KategorieUczelni[],2,0)</f>
        <v>Publiczna</v>
      </c>
      <c r="AN10">
        <v>2007</v>
      </c>
      <c r="AO10" t="s">
        <v>148</v>
      </c>
      <c r="AP10" t="s">
        <v>743</v>
      </c>
      <c r="AQ10" t="s">
        <v>236</v>
      </c>
      <c r="AR10" t="s">
        <v>129</v>
      </c>
      <c r="AS10" t="s">
        <v>128</v>
      </c>
      <c r="AT10" t="s">
        <v>162</v>
      </c>
      <c r="AU10" t="s">
        <v>150</v>
      </c>
      <c r="AV10" t="s">
        <v>237</v>
      </c>
      <c r="AW10" t="s">
        <v>302</v>
      </c>
      <c r="AX10" t="s">
        <v>153</v>
      </c>
      <c r="AY10" t="s">
        <v>744</v>
      </c>
      <c r="AZ10" t="s">
        <v>745</v>
      </c>
      <c r="BA10" t="s">
        <v>746</v>
      </c>
      <c r="BB10" t="s">
        <v>172</v>
      </c>
      <c r="BD10" s="1" t="s">
        <v>123</v>
      </c>
      <c r="CX10" s="56" t="s">
        <v>387</v>
      </c>
      <c r="CY10" t="s">
        <v>191</v>
      </c>
      <c r="CZ10" t="s">
        <v>748</v>
      </c>
      <c r="DA10" t="s">
        <v>150</v>
      </c>
      <c r="DB10" t="s">
        <v>150</v>
      </c>
      <c r="DC10" t="s">
        <v>169</v>
      </c>
      <c r="DD10" t="s">
        <v>169</v>
      </c>
      <c r="DE10" t="s">
        <v>150</v>
      </c>
      <c r="DF10" t="s">
        <v>150</v>
      </c>
      <c r="DG10" t="s">
        <v>749</v>
      </c>
      <c r="DH10" s="1" t="s">
        <v>123</v>
      </c>
      <c r="DR10" s="1" t="s">
        <v>123</v>
      </c>
      <c r="EU10" s="1" t="s">
        <v>123</v>
      </c>
      <c r="EV10" t="s">
        <v>178</v>
      </c>
      <c r="EW10" t="s">
        <v>132</v>
      </c>
      <c r="FU10" s="1" t="s">
        <v>123</v>
      </c>
      <c r="FV10" t="s">
        <v>132</v>
      </c>
      <c r="FX10" t="s">
        <v>132</v>
      </c>
      <c r="HC10" t="s">
        <v>750</v>
      </c>
      <c r="HD10" t="s">
        <v>751</v>
      </c>
      <c r="HE10" t="s">
        <v>752</v>
      </c>
      <c r="HF10" t="s">
        <v>186</v>
      </c>
      <c r="HG10">
        <v>1983</v>
      </c>
      <c r="HH10" t="str">
        <f>VLOOKUP(AnalizaCzyste[[#This Row],[Rok urodzenia]],KategorieWiekowe[],2,1)</f>
        <v>36–45 lat</v>
      </c>
      <c r="HI10" t="s">
        <v>398</v>
      </c>
      <c r="HK10" t="s">
        <v>753</v>
      </c>
      <c r="HL10" t="s">
        <v>532</v>
      </c>
    </row>
    <row r="11" spans="1:221" x14ac:dyDescent="0.45">
      <c r="A11">
        <v>75</v>
      </c>
      <c r="B11">
        <f>_xlfn.IFNA(VLOOKUP(AnalizaCzyste[[#This Row],[Zakończono wypełnianie]],Zakończone[],2,0),"BRAK")</f>
        <v>41</v>
      </c>
      <c r="C11">
        <f>COUNTA(U11:HM11)</f>
        <v>52</v>
      </c>
      <c r="D11" t="s">
        <v>756</v>
      </c>
      <c r="E11" t="s">
        <v>757</v>
      </c>
      <c r="F11">
        <v>487</v>
      </c>
      <c r="G11" s="20" t="s">
        <v>2292</v>
      </c>
      <c r="H11" s="20" t="s">
        <v>2470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56" t="s">
        <v>416</v>
      </c>
      <c r="V11" t="s">
        <v>147</v>
      </c>
      <c r="W11" t="s">
        <v>148</v>
      </c>
      <c r="X11" t="s">
        <v>758</v>
      </c>
      <c r="Y11" t="s">
        <v>236</v>
      </c>
      <c r="Z11" t="s">
        <v>129</v>
      </c>
      <c r="AA11" t="s">
        <v>236</v>
      </c>
      <c r="AB11" t="s">
        <v>718</v>
      </c>
      <c r="AC11" t="s">
        <v>759</v>
      </c>
      <c r="AD11" t="s">
        <v>194</v>
      </c>
      <c r="AE11" t="s">
        <v>760</v>
      </c>
      <c r="AF11" t="s">
        <v>761</v>
      </c>
      <c r="AG11" t="s">
        <v>762</v>
      </c>
      <c r="AH11" t="s">
        <v>157</v>
      </c>
      <c r="AJ11">
        <v>2</v>
      </c>
      <c r="AK11" s="56" t="s">
        <v>124</v>
      </c>
      <c r="AL11" t="s">
        <v>223</v>
      </c>
      <c r="AM11" t="str">
        <f>VLOOKUP(AnalizaCzyste[[#This Row],[Jak się nazywa uczelnia którą ukończyłeś? (proszę o wybranie jednej uczelni podlegającej ocenie)]],KategorieUczelni[],2,0)</f>
        <v>Publiczna</v>
      </c>
      <c r="AN11">
        <v>2012</v>
      </c>
      <c r="AO11" t="s">
        <v>148</v>
      </c>
      <c r="AP11" t="s">
        <v>764</v>
      </c>
      <c r="AQ11" t="s">
        <v>236</v>
      </c>
      <c r="AR11" t="s">
        <v>236</v>
      </c>
      <c r="AS11" t="s">
        <v>236</v>
      </c>
      <c r="AT11" t="s">
        <v>129</v>
      </c>
      <c r="AU11" t="s">
        <v>236</v>
      </c>
      <c r="AV11" t="s">
        <v>237</v>
      </c>
      <c r="AW11" t="s">
        <v>302</v>
      </c>
      <c r="AX11" t="s">
        <v>153</v>
      </c>
      <c r="AY11" t="s">
        <v>765</v>
      </c>
      <c r="AZ11" t="s">
        <v>766</v>
      </c>
      <c r="BA11" t="s">
        <v>767</v>
      </c>
      <c r="BB11" t="s">
        <v>230</v>
      </c>
      <c r="BD11" s="1" t="s">
        <v>123</v>
      </c>
      <c r="CX11" s="1" t="s">
        <v>123</v>
      </c>
      <c r="DH11" s="1" t="s">
        <v>123</v>
      </c>
      <c r="DR11" s="1" t="s">
        <v>123</v>
      </c>
      <c r="EU11" s="1" t="s">
        <v>123</v>
      </c>
      <c r="EV11" t="s">
        <v>180</v>
      </c>
      <c r="EW11" t="s">
        <v>132</v>
      </c>
      <c r="FU11" s="1" t="s">
        <v>123</v>
      </c>
      <c r="FV11" t="s">
        <v>132</v>
      </c>
      <c r="FX11" t="s">
        <v>132</v>
      </c>
      <c r="HC11" t="s">
        <v>768</v>
      </c>
      <c r="HD11" t="s">
        <v>769</v>
      </c>
      <c r="HE11" t="s">
        <v>770</v>
      </c>
      <c r="HF11" t="s">
        <v>186</v>
      </c>
      <c r="HG11">
        <v>1990</v>
      </c>
      <c r="HH11" t="str">
        <f>VLOOKUP(AnalizaCzyste[[#This Row],[Rok urodzenia]],KategorieWiekowe[],2,1)</f>
        <v>26–35 lat</v>
      </c>
      <c r="HI11" t="s">
        <v>141</v>
      </c>
      <c r="HK11" t="s">
        <v>771</v>
      </c>
      <c r="HL11" t="s">
        <v>772</v>
      </c>
    </row>
    <row r="12" spans="1:221" x14ac:dyDescent="0.45">
      <c r="A12">
        <v>82</v>
      </c>
      <c r="B12">
        <f>_xlfn.IFNA(VLOOKUP(AnalizaCzyste[[#This Row],[Zakończono wypełnianie]],Zakończone[],2,0),"BRAK")</f>
        <v>47</v>
      </c>
      <c r="C12">
        <f>COUNTA(U12:HM12)</f>
        <v>29</v>
      </c>
      <c r="D12" t="s">
        <v>829</v>
      </c>
      <c r="E12" t="s">
        <v>830</v>
      </c>
      <c r="F12">
        <v>3349</v>
      </c>
      <c r="G12" s="20" t="s">
        <v>2292</v>
      </c>
      <c r="H12" s="20" t="s">
        <v>2468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" t="s">
        <v>123</v>
      </c>
      <c r="AK12" s="57" t="s">
        <v>2488</v>
      </c>
      <c r="AM12" t="e">
        <f>VLOOKUP(AnalizaCzyste[[#This Row],[Jak się nazywa uczelnia którą ukończyłeś? (proszę o wybranie jednej uczelni podlegającej ocenie)]],KategorieUczelni[],2,0)</f>
        <v>#N/A</v>
      </c>
      <c r="BD12" s="1" t="s">
        <v>123</v>
      </c>
      <c r="CX12" s="1" t="s">
        <v>123</v>
      </c>
      <c r="DH12" s="1" t="s">
        <v>123</v>
      </c>
      <c r="DR12" s="1" t="s">
        <v>123</v>
      </c>
      <c r="EU12" s="56" t="s">
        <v>177</v>
      </c>
      <c r="EV12" t="s">
        <v>178</v>
      </c>
      <c r="EW12">
        <v>1</v>
      </c>
      <c r="EX12" t="s">
        <v>191</v>
      </c>
      <c r="EY12" t="s">
        <v>162</v>
      </c>
      <c r="EZ12" t="s">
        <v>162</v>
      </c>
      <c r="FA12" t="s">
        <v>128</v>
      </c>
      <c r="FB12" t="s">
        <v>178</v>
      </c>
      <c r="FC12" t="s">
        <v>831</v>
      </c>
      <c r="FD12" t="s">
        <v>832</v>
      </c>
      <c r="FE12" t="s">
        <v>173</v>
      </c>
      <c r="FU12" s="1" t="s">
        <v>123</v>
      </c>
      <c r="FV12" t="s">
        <v>132</v>
      </c>
      <c r="FX12" t="s">
        <v>132</v>
      </c>
      <c r="HC12" t="s">
        <v>833</v>
      </c>
      <c r="HD12" t="s">
        <v>834</v>
      </c>
      <c r="HE12" t="s">
        <v>835</v>
      </c>
      <c r="HF12" t="s">
        <v>140</v>
      </c>
      <c r="HG12">
        <v>1977</v>
      </c>
      <c r="HH12" t="str">
        <f>VLOOKUP(AnalizaCzyste[[#This Row],[Rok urodzenia]],KategorieWiekowe[],2,1)</f>
        <v>36–45 lat</v>
      </c>
      <c r="HI12" t="s">
        <v>398</v>
      </c>
      <c r="HK12" t="s">
        <v>836</v>
      </c>
    </row>
    <row r="13" spans="1:221" x14ac:dyDescent="0.45">
      <c r="A13">
        <v>83</v>
      </c>
      <c r="B13">
        <f>_xlfn.IFNA(VLOOKUP(AnalizaCzyste[[#This Row],[Zakończono wypełnianie]],Zakończone[],2,0),"BRAK")</f>
        <v>48</v>
      </c>
      <c r="C13">
        <f>COUNTA(U13:HM13)</f>
        <v>76</v>
      </c>
      <c r="D13" t="s">
        <v>838</v>
      </c>
      <c r="E13" t="s">
        <v>839</v>
      </c>
      <c r="F13">
        <v>3312</v>
      </c>
      <c r="G13" s="20" t="s">
        <v>2292</v>
      </c>
      <c r="H13" s="20" t="s">
        <v>2482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" t="s">
        <v>123</v>
      </c>
      <c r="AK13" s="56" t="s">
        <v>124</v>
      </c>
      <c r="AL13" s="20" t="s">
        <v>191</v>
      </c>
      <c r="AM13" s="20" t="str">
        <f>VLOOKUP(AnalizaCzyste[[#This Row],[Jak się nazywa uczelnia którą ukończyłeś? (proszę o wybranie jednej uczelni podlegającej ocenie)]],KategorieUczelni[],2,0)</f>
        <v>Publiczna</v>
      </c>
      <c r="AN13">
        <v>1978</v>
      </c>
      <c r="AO13" t="s">
        <v>126</v>
      </c>
      <c r="AP13" t="s">
        <v>841</v>
      </c>
      <c r="AQ13" t="s">
        <v>169</v>
      </c>
      <c r="AR13" t="s">
        <v>169</v>
      </c>
      <c r="AS13" t="s">
        <v>151</v>
      </c>
      <c r="AT13" t="s">
        <v>150</v>
      </c>
      <c r="AU13" t="s">
        <v>150</v>
      </c>
      <c r="AV13">
        <v>2</v>
      </c>
      <c r="AW13" t="s">
        <v>302</v>
      </c>
      <c r="AX13" t="s">
        <v>226</v>
      </c>
      <c r="AY13" t="s">
        <v>842</v>
      </c>
      <c r="AZ13" t="s">
        <v>843</v>
      </c>
      <c r="BA13" t="s">
        <v>386</v>
      </c>
      <c r="BB13" t="s">
        <v>157</v>
      </c>
      <c r="BD13" s="56" t="s">
        <v>159</v>
      </c>
      <c r="BE13">
        <v>2</v>
      </c>
      <c r="BF13" t="s">
        <v>191</v>
      </c>
      <c r="BG13">
        <v>2005</v>
      </c>
      <c r="BH13" t="s">
        <v>126</v>
      </c>
      <c r="BI13" t="s">
        <v>844</v>
      </c>
      <c r="BJ13" t="s">
        <v>150</v>
      </c>
      <c r="BK13" t="s">
        <v>150</v>
      </c>
      <c r="BL13" t="s">
        <v>169</v>
      </c>
      <c r="BM13" t="s">
        <v>162</v>
      </c>
      <c r="BN13" t="s">
        <v>162</v>
      </c>
      <c r="BO13">
        <v>3</v>
      </c>
      <c r="BP13" t="s">
        <v>845</v>
      </c>
      <c r="BQ13" t="s">
        <v>157</v>
      </c>
      <c r="BS13" t="s">
        <v>148</v>
      </c>
      <c r="BT13" t="s">
        <v>166</v>
      </c>
      <c r="BU13" t="s">
        <v>191</v>
      </c>
      <c r="BV13">
        <v>2007</v>
      </c>
      <c r="BW13" t="s">
        <v>126</v>
      </c>
      <c r="BX13" t="s">
        <v>844</v>
      </c>
      <c r="BY13" t="s">
        <v>150</v>
      </c>
      <c r="BZ13" t="s">
        <v>150</v>
      </c>
      <c r="CA13" t="s">
        <v>150</v>
      </c>
      <c r="CB13" t="s">
        <v>162</v>
      </c>
      <c r="CC13" t="s">
        <v>162</v>
      </c>
      <c r="CD13">
        <v>3</v>
      </c>
      <c r="CE13" t="s">
        <v>148</v>
      </c>
      <c r="CF13" t="s">
        <v>157</v>
      </c>
      <c r="CH13" t="s">
        <v>148</v>
      </c>
      <c r="CI13" t="s">
        <v>173</v>
      </c>
      <c r="CX13" s="1" t="s">
        <v>123</v>
      </c>
      <c r="DH13" s="56" t="s">
        <v>214</v>
      </c>
      <c r="DI13" t="s">
        <v>2275</v>
      </c>
      <c r="DJ13" t="s">
        <v>2276</v>
      </c>
      <c r="DK13" t="s">
        <v>150</v>
      </c>
      <c r="DL13" t="s">
        <v>150</v>
      </c>
      <c r="DM13" t="s">
        <v>150</v>
      </c>
      <c r="DN13" t="s">
        <v>150</v>
      </c>
      <c r="DO13" t="s">
        <v>150</v>
      </c>
      <c r="DP13" t="s">
        <v>162</v>
      </c>
      <c r="DQ13" t="s">
        <v>848</v>
      </c>
      <c r="DR13" s="1" t="s">
        <v>123</v>
      </c>
      <c r="EU13" s="1" t="s">
        <v>123</v>
      </c>
      <c r="EV13" t="s">
        <v>180</v>
      </c>
      <c r="EW13" t="s">
        <v>132</v>
      </c>
      <c r="FU13" s="1" t="s">
        <v>123</v>
      </c>
      <c r="FV13" t="s">
        <v>132</v>
      </c>
      <c r="FX13" t="s">
        <v>132</v>
      </c>
      <c r="HC13" t="s">
        <v>849</v>
      </c>
      <c r="HD13" t="s">
        <v>850</v>
      </c>
      <c r="HE13" t="s">
        <v>851</v>
      </c>
      <c r="HF13" t="s">
        <v>186</v>
      </c>
      <c r="HG13">
        <v>1954</v>
      </c>
      <c r="HH13" t="str">
        <f>VLOOKUP(AnalizaCzyste[[#This Row],[Rok urodzenia]],KategorieWiekowe[],2,1)</f>
        <v>powyżej 65 lat</v>
      </c>
      <c r="HI13" t="s">
        <v>141</v>
      </c>
      <c r="HK13" t="s">
        <v>852</v>
      </c>
      <c r="HL13" t="s">
        <v>853</v>
      </c>
    </row>
    <row r="14" spans="1:221" x14ac:dyDescent="0.45">
      <c r="A14">
        <v>84</v>
      </c>
      <c r="B14">
        <f>_xlfn.IFNA(VLOOKUP(AnalizaCzyste[[#This Row],[Zakończono wypełnianie]],Zakończone[],2,0),"BRAK")</f>
        <v>49</v>
      </c>
      <c r="C14">
        <f>COUNTA(U14:HM14)</f>
        <v>50</v>
      </c>
      <c r="D14" t="s">
        <v>855</v>
      </c>
      <c r="E14" t="s">
        <v>856</v>
      </c>
      <c r="F14">
        <v>1349</v>
      </c>
      <c r="G14" s="20" t="s">
        <v>2292</v>
      </c>
      <c r="H14" s="20" t="s">
        <v>2455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56" t="s">
        <v>416</v>
      </c>
      <c r="V14" t="s">
        <v>179</v>
      </c>
      <c r="W14" t="s">
        <v>148</v>
      </c>
      <c r="X14" t="s">
        <v>857</v>
      </c>
      <c r="Y14" t="s">
        <v>162</v>
      </c>
      <c r="Z14" t="s">
        <v>162</v>
      </c>
      <c r="AA14" t="s">
        <v>151</v>
      </c>
      <c r="AB14" t="s">
        <v>718</v>
      </c>
      <c r="AC14" t="s">
        <v>152</v>
      </c>
      <c r="AD14" t="s">
        <v>759</v>
      </c>
      <c r="AE14" t="s">
        <v>858</v>
      </c>
      <c r="AF14" t="s">
        <v>859</v>
      </c>
      <c r="AG14" t="s">
        <v>860</v>
      </c>
      <c r="AI14" t="s">
        <v>861</v>
      </c>
      <c r="AJ14">
        <v>2</v>
      </c>
      <c r="AK14" s="56" t="s">
        <v>124</v>
      </c>
      <c r="AL14" t="s">
        <v>862</v>
      </c>
      <c r="AM14" t="str">
        <f>VLOOKUP(AnalizaCzyste[[#This Row],[Jak się nazywa uczelnia którą ukończyłeś? (proszę o wybranie jednej uczelni podlegającej ocenie)]],KategorieUczelni[],2,0)</f>
        <v>Publiczna</v>
      </c>
      <c r="AN14">
        <v>2019</v>
      </c>
      <c r="AO14" t="s">
        <v>148</v>
      </c>
      <c r="AP14" t="s">
        <v>863</v>
      </c>
      <c r="AQ14" t="s">
        <v>150</v>
      </c>
      <c r="AR14" t="s">
        <v>150</v>
      </c>
      <c r="AS14" t="s">
        <v>169</v>
      </c>
      <c r="AT14" t="s">
        <v>151</v>
      </c>
      <c r="AU14" t="s">
        <v>150</v>
      </c>
      <c r="AV14" t="s">
        <v>864</v>
      </c>
      <c r="AW14" t="s">
        <v>302</v>
      </c>
      <c r="AX14" t="s">
        <v>759</v>
      </c>
      <c r="AY14" t="s">
        <v>865</v>
      </c>
      <c r="AZ14" t="s">
        <v>866</v>
      </c>
      <c r="BA14" t="s">
        <v>867</v>
      </c>
      <c r="BB14" t="s">
        <v>157</v>
      </c>
      <c r="BD14" s="1" t="s">
        <v>123</v>
      </c>
      <c r="CX14" s="1" t="s">
        <v>123</v>
      </c>
      <c r="DH14" s="1" t="s">
        <v>123</v>
      </c>
      <c r="DR14" s="1" t="s">
        <v>123</v>
      </c>
      <c r="EU14" s="1" t="s">
        <v>123</v>
      </c>
      <c r="FU14" s="1" t="s">
        <v>123</v>
      </c>
      <c r="FV14" t="s">
        <v>132</v>
      </c>
      <c r="HC14" t="s">
        <v>868</v>
      </c>
      <c r="HD14" t="s">
        <v>869</v>
      </c>
      <c r="HE14" t="s">
        <v>870</v>
      </c>
      <c r="HF14" t="s">
        <v>186</v>
      </c>
      <c r="HG14">
        <v>1991</v>
      </c>
      <c r="HH14" t="str">
        <f>VLOOKUP(AnalizaCzyste[[#This Row],[Rok urodzenia]],KategorieWiekowe[],2,1)</f>
        <v>26–35 lat</v>
      </c>
      <c r="HI14" t="s">
        <v>220</v>
      </c>
      <c r="HJ14" t="s">
        <v>871</v>
      </c>
      <c r="HK14" t="s">
        <v>872</v>
      </c>
      <c r="HL14" t="s">
        <v>386</v>
      </c>
    </row>
    <row r="15" spans="1:221" x14ac:dyDescent="0.45">
      <c r="A15">
        <v>89</v>
      </c>
      <c r="B15">
        <f>_xlfn.IFNA(VLOOKUP(AnalizaCzyste[[#This Row],[Zakończono wypełnianie]],Zakończone[],2,0),"BRAK")</f>
        <v>54</v>
      </c>
      <c r="C15">
        <f>COUNTA(U15:HM15)</f>
        <v>36</v>
      </c>
      <c r="D15" t="s">
        <v>903</v>
      </c>
      <c r="E15" t="s">
        <v>904</v>
      </c>
      <c r="F15">
        <v>255</v>
      </c>
      <c r="G15" s="20" t="s">
        <v>2292</v>
      </c>
      <c r="H15" s="20" t="s">
        <v>2476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" t="s">
        <v>123</v>
      </c>
      <c r="AK15" s="56" t="s">
        <v>124</v>
      </c>
      <c r="AL15" t="s">
        <v>191</v>
      </c>
      <c r="AM15" t="str">
        <f>VLOOKUP(AnalizaCzyste[[#This Row],[Jak się nazywa uczelnia którą ukończyłeś? (proszę o wybranie jednej uczelni podlegającej ocenie)]],KategorieUczelni[],2,0)</f>
        <v>Publiczna</v>
      </c>
      <c r="AN15">
        <v>2009</v>
      </c>
      <c r="AO15" t="s">
        <v>126</v>
      </c>
      <c r="AP15" t="s">
        <v>906</v>
      </c>
      <c r="AQ15" t="s">
        <v>151</v>
      </c>
      <c r="AR15" t="s">
        <v>151</v>
      </c>
      <c r="AS15" t="s">
        <v>150</v>
      </c>
      <c r="AT15" t="s">
        <v>128</v>
      </c>
      <c r="AU15" t="s">
        <v>162</v>
      </c>
      <c r="AV15" t="s">
        <v>907</v>
      </c>
      <c r="AW15" t="s">
        <v>131</v>
      </c>
      <c r="AX15" t="s">
        <v>759</v>
      </c>
      <c r="AY15" t="s">
        <v>908</v>
      </c>
      <c r="AZ15" t="s">
        <v>908</v>
      </c>
      <c r="BA15" t="s">
        <v>909</v>
      </c>
      <c r="BB15" t="s">
        <v>172</v>
      </c>
      <c r="BD15" s="1" t="s">
        <v>123</v>
      </c>
      <c r="CX15" s="1" t="s">
        <v>123</v>
      </c>
      <c r="DH15" s="1" t="s">
        <v>123</v>
      </c>
      <c r="DR15" s="1" t="s">
        <v>123</v>
      </c>
      <c r="EU15" s="1" t="s">
        <v>123</v>
      </c>
      <c r="EV15" t="s">
        <v>180</v>
      </c>
      <c r="EW15" t="s">
        <v>132</v>
      </c>
      <c r="FU15" s="1" t="s">
        <v>123</v>
      </c>
      <c r="FV15" t="s">
        <v>132</v>
      </c>
      <c r="FX15" t="s">
        <v>132</v>
      </c>
      <c r="HC15" t="s">
        <v>910</v>
      </c>
      <c r="HD15" t="s">
        <v>911</v>
      </c>
      <c r="HE15" t="s">
        <v>912</v>
      </c>
      <c r="HF15" t="s">
        <v>186</v>
      </c>
      <c r="HG15">
        <v>1983</v>
      </c>
      <c r="HH15" t="str">
        <f>VLOOKUP(AnalizaCzyste[[#This Row],[Rok urodzenia]],KategorieWiekowe[],2,1)</f>
        <v>36–45 lat</v>
      </c>
      <c r="HI15" t="s">
        <v>141</v>
      </c>
    </row>
    <row r="16" spans="1:221" x14ac:dyDescent="0.45">
      <c r="A16">
        <v>91</v>
      </c>
      <c r="B16">
        <f>_xlfn.IFNA(VLOOKUP(AnalizaCzyste[[#This Row],[Zakończono wypełnianie]],Zakończone[],2,0),"BRAK")</f>
        <v>55</v>
      </c>
      <c r="C16">
        <f>COUNTA(U16:HM16)</f>
        <v>78</v>
      </c>
      <c r="D16" t="s">
        <v>916</v>
      </c>
      <c r="E16" t="s">
        <v>917</v>
      </c>
      <c r="F16">
        <v>76609</v>
      </c>
      <c r="G16" s="20" t="s">
        <v>2292</v>
      </c>
      <c r="H16" s="20" t="s">
        <v>2453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" t="s">
        <v>123</v>
      </c>
      <c r="AK16" s="56" t="s">
        <v>124</v>
      </c>
      <c r="AL16" t="s">
        <v>223</v>
      </c>
      <c r="AM16" t="str">
        <f>VLOOKUP(AnalizaCzyste[[#This Row],[Jak się nazywa uczelnia którą ukończyłeś? (proszę o wybranie jednej uczelni podlegającej ocenie)]],KategorieUczelni[],2,0)</f>
        <v>Publiczna</v>
      </c>
      <c r="AN16">
        <v>1980</v>
      </c>
      <c r="AO16" t="s">
        <v>148</v>
      </c>
      <c r="AP16" t="s">
        <v>919</v>
      </c>
      <c r="AQ16" t="s">
        <v>169</v>
      </c>
      <c r="AR16" t="s">
        <v>169</v>
      </c>
      <c r="AS16" t="s">
        <v>150</v>
      </c>
      <c r="AT16" t="s">
        <v>128</v>
      </c>
      <c r="AU16" t="s">
        <v>128</v>
      </c>
      <c r="AV16" t="s">
        <v>920</v>
      </c>
      <c r="AW16" t="s">
        <v>302</v>
      </c>
      <c r="AX16" t="s">
        <v>302</v>
      </c>
      <c r="AY16" t="s">
        <v>921</v>
      </c>
      <c r="AZ16" t="s">
        <v>922</v>
      </c>
      <c r="BA16" t="s">
        <v>923</v>
      </c>
      <c r="BB16" t="s">
        <v>157</v>
      </c>
      <c r="BD16" s="56" t="s">
        <v>159</v>
      </c>
      <c r="BE16">
        <v>2</v>
      </c>
      <c r="BF16" t="s">
        <v>223</v>
      </c>
      <c r="BG16">
        <v>2009</v>
      </c>
      <c r="BH16" t="s">
        <v>148</v>
      </c>
      <c r="BI16" t="s">
        <v>743</v>
      </c>
      <c r="BJ16" t="s">
        <v>169</v>
      </c>
      <c r="BK16" t="s">
        <v>169</v>
      </c>
      <c r="BL16" t="s">
        <v>169</v>
      </c>
      <c r="BM16" t="s">
        <v>128</v>
      </c>
      <c r="BN16" t="s">
        <v>128</v>
      </c>
      <c r="BO16" t="s">
        <v>925</v>
      </c>
      <c r="BP16" t="s">
        <v>926</v>
      </c>
      <c r="BQ16" t="s">
        <v>157</v>
      </c>
      <c r="BS16" t="s">
        <v>927</v>
      </c>
      <c r="BT16" t="s">
        <v>173</v>
      </c>
      <c r="CX16" s="56" t="s">
        <v>387</v>
      </c>
      <c r="CY16" t="s">
        <v>223</v>
      </c>
      <c r="CZ16" t="s">
        <v>928</v>
      </c>
      <c r="DA16" t="s">
        <v>169</v>
      </c>
      <c r="DB16" t="s">
        <v>162</v>
      </c>
      <c r="DC16" t="s">
        <v>128</v>
      </c>
      <c r="DD16" t="s">
        <v>169</v>
      </c>
      <c r="DE16" t="s">
        <v>169</v>
      </c>
      <c r="DF16" t="s">
        <v>169</v>
      </c>
      <c r="DG16" t="s">
        <v>929</v>
      </c>
      <c r="DH16" s="56" t="s">
        <v>214</v>
      </c>
      <c r="DI16" t="s">
        <v>223</v>
      </c>
      <c r="DJ16" t="s">
        <v>928</v>
      </c>
      <c r="DK16" t="s">
        <v>169</v>
      </c>
      <c r="DL16" t="s">
        <v>162</v>
      </c>
      <c r="DM16" t="s">
        <v>128</v>
      </c>
      <c r="DN16" t="s">
        <v>169</v>
      </c>
      <c r="DO16" t="s">
        <v>169</v>
      </c>
      <c r="DP16" t="s">
        <v>150</v>
      </c>
      <c r="DQ16" t="s">
        <v>930</v>
      </c>
      <c r="DR16" s="1" t="s">
        <v>123</v>
      </c>
      <c r="EU16" s="56" t="s">
        <v>177</v>
      </c>
      <c r="EV16" t="s">
        <v>180</v>
      </c>
      <c r="EW16">
        <v>1</v>
      </c>
      <c r="EX16" t="s">
        <v>223</v>
      </c>
      <c r="EY16" t="s">
        <v>169</v>
      </c>
      <c r="EZ16" t="s">
        <v>169</v>
      </c>
      <c r="FA16" t="s">
        <v>236</v>
      </c>
      <c r="FB16" t="s">
        <v>180</v>
      </c>
      <c r="FC16" t="s">
        <v>931</v>
      </c>
      <c r="FD16" t="s">
        <v>932</v>
      </c>
      <c r="FE16" t="s">
        <v>173</v>
      </c>
      <c r="FU16" s="1" t="s">
        <v>123</v>
      </c>
      <c r="FV16" t="s">
        <v>132</v>
      </c>
      <c r="FX16" t="s">
        <v>132</v>
      </c>
      <c r="HC16" t="s">
        <v>933</v>
      </c>
      <c r="HD16" t="s">
        <v>934</v>
      </c>
      <c r="HE16" t="s">
        <v>935</v>
      </c>
      <c r="HF16" t="s">
        <v>140</v>
      </c>
      <c r="HG16">
        <v>1957</v>
      </c>
      <c r="HH16" t="str">
        <f>VLOOKUP(AnalizaCzyste[[#This Row],[Rok urodzenia]],KategorieWiekowe[],2,1)</f>
        <v>56–65 lat</v>
      </c>
      <c r="HI16" t="s">
        <v>141</v>
      </c>
      <c r="HK16" t="s">
        <v>936</v>
      </c>
    </row>
    <row r="17" spans="1:221" x14ac:dyDescent="0.45">
      <c r="A17">
        <v>122</v>
      </c>
      <c r="B17">
        <f>_xlfn.IFNA(VLOOKUP(AnalizaCzyste[[#This Row],[Zakończono wypełnianie]],Zakończone[],2,0),"BRAK")</f>
        <v>71</v>
      </c>
      <c r="C17">
        <f>COUNTA(U17:HM17)</f>
        <v>33</v>
      </c>
      <c r="D17" t="s">
        <v>1132</v>
      </c>
      <c r="E17" t="s">
        <v>1133</v>
      </c>
      <c r="F17">
        <v>3215</v>
      </c>
      <c r="G17" s="20" t="s">
        <v>2292</v>
      </c>
      <c r="H17" s="20" t="s">
        <v>2456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" t="s">
        <v>123</v>
      </c>
      <c r="AK17" s="56" t="s">
        <v>124</v>
      </c>
      <c r="AL17" t="s">
        <v>191</v>
      </c>
      <c r="AM17" t="str">
        <f>VLOOKUP(AnalizaCzyste[[#This Row],[Jak się nazywa uczelnia którą ukończyłeś? (proszę o wybranie jednej uczelni podlegającej ocenie)]],KategorieUczelni[],2,0)</f>
        <v>Publiczna</v>
      </c>
      <c r="AN17">
        <v>2015</v>
      </c>
      <c r="AO17" t="s">
        <v>126</v>
      </c>
      <c r="AP17" t="s">
        <v>1134</v>
      </c>
      <c r="AQ17" t="s">
        <v>128</v>
      </c>
      <c r="AR17" t="s">
        <v>151</v>
      </c>
      <c r="AS17" t="s">
        <v>169</v>
      </c>
      <c r="AT17" t="s">
        <v>162</v>
      </c>
      <c r="AU17" t="s">
        <v>150</v>
      </c>
      <c r="AV17">
        <v>1</v>
      </c>
      <c r="AW17" t="s">
        <v>302</v>
      </c>
      <c r="AX17" t="s">
        <v>226</v>
      </c>
      <c r="AY17" t="s">
        <v>1135</v>
      </c>
      <c r="AZ17" t="s">
        <v>1136</v>
      </c>
      <c r="BA17" t="s">
        <v>1137</v>
      </c>
      <c r="BB17" t="s">
        <v>172</v>
      </c>
      <c r="BD17" s="1" t="s">
        <v>123</v>
      </c>
      <c r="CX17" s="1" t="s">
        <v>123</v>
      </c>
      <c r="DH17" s="1" t="s">
        <v>123</v>
      </c>
      <c r="DR17" s="1" t="s">
        <v>123</v>
      </c>
      <c r="EU17" s="1" t="s">
        <v>123</v>
      </c>
      <c r="FU17" s="1" t="s">
        <v>123</v>
      </c>
      <c r="HC17" t="s">
        <v>1138</v>
      </c>
      <c r="HD17" t="s">
        <v>1139</v>
      </c>
      <c r="HE17" t="s">
        <v>1140</v>
      </c>
      <c r="HF17" t="s">
        <v>186</v>
      </c>
      <c r="HG17">
        <v>1991</v>
      </c>
      <c r="HH17" t="str">
        <f>VLOOKUP(AnalizaCzyste[[#This Row],[Rok urodzenia]],KategorieWiekowe[],2,1)</f>
        <v>26–35 lat</v>
      </c>
      <c r="HI17" t="s">
        <v>141</v>
      </c>
      <c r="HK17" t="s">
        <v>1141</v>
      </c>
    </row>
    <row r="18" spans="1:221" x14ac:dyDescent="0.45">
      <c r="A18">
        <v>124</v>
      </c>
      <c r="B18">
        <f>_xlfn.IFNA(VLOOKUP(AnalizaCzyste[[#This Row],[Zakończono wypełnianie]],Zakończone[],2,0),"BRAK")</f>
        <v>73</v>
      </c>
      <c r="C18">
        <f>COUNTA(U18:HM18)</f>
        <v>35</v>
      </c>
      <c r="D18" t="s">
        <v>1153</v>
      </c>
      <c r="E18" t="s">
        <v>1154</v>
      </c>
      <c r="F18">
        <v>1159</v>
      </c>
      <c r="G18" s="20" t="s">
        <v>2292</v>
      </c>
      <c r="H18" s="20" t="s">
        <v>2457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" t="s">
        <v>123</v>
      </c>
      <c r="AK18" s="56" t="s">
        <v>124</v>
      </c>
      <c r="AL18" t="s">
        <v>191</v>
      </c>
      <c r="AM18" t="str">
        <f>VLOOKUP(AnalizaCzyste[[#This Row],[Jak się nazywa uczelnia którą ukończyłeś? (proszę o wybranie jednej uczelni podlegającej ocenie)]],KategorieUczelni[],2,0)</f>
        <v>Publiczna</v>
      </c>
      <c r="AN18">
        <v>2018</v>
      </c>
      <c r="AO18" t="s">
        <v>126</v>
      </c>
      <c r="AP18" t="s">
        <v>969</v>
      </c>
      <c r="AQ18" t="s">
        <v>150</v>
      </c>
      <c r="AR18" t="s">
        <v>150</v>
      </c>
      <c r="AS18" t="s">
        <v>162</v>
      </c>
      <c r="AT18" t="s">
        <v>128</v>
      </c>
      <c r="AU18" t="s">
        <v>151</v>
      </c>
      <c r="AV18" t="s">
        <v>530</v>
      </c>
      <c r="AW18" t="s">
        <v>131</v>
      </c>
      <c r="AX18" t="s">
        <v>302</v>
      </c>
      <c r="AY18" t="s">
        <v>1155</v>
      </c>
      <c r="AZ18" t="s">
        <v>1156</v>
      </c>
      <c r="BA18" t="s">
        <v>1157</v>
      </c>
      <c r="BB18" t="s">
        <v>230</v>
      </c>
      <c r="BC18" t="s">
        <v>1158</v>
      </c>
      <c r="BD18" s="1" t="s">
        <v>123</v>
      </c>
      <c r="CX18" s="1" t="s">
        <v>123</v>
      </c>
      <c r="DH18" s="1" t="s">
        <v>123</v>
      </c>
      <c r="DR18" s="1" t="s">
        <v>123</v>
      </c>
      <c r="EU18" s="1" t="s">
        <v>123</v>
      </c>
      <c r="FU18" s="1" t="s">
        <v>123</v>
      </c>
      <c r="HC18" t="s">
        <v>1159</v>
      </c>
      <c r="HD18" t="s">
        <v>1160</v>
      </c>
      <c r="HE18" t="s">
        <v>1161</v>
      </c>
      <c r="HF18" t="s">
        <v>140</v>
      </c>
      <c r="HG18">
        <v>1991</v>
      </c>
      <c r="HH18" t="str">
        <f>VLOOKUP(AnalizaCzyste[[#This Row],[Rok urodzenia]],KategorieWiekowe[],2,1)</f>
        <v>26–35 lat</v>
      </c>
      <c r="HI18" t="s">
        <v>483</v>
      </c>
      <c r="HK18" t="s">
        <v>1162</v>
      </c>
      <c r="HL18" t="s">
        <v>142</v>
      </c>
    </row>
    <row r="19" spans="1:221" x14ac:dyDescent="0.45">
      <c r="A19">
        <v>125</v>
      </c>
      <c r="B19">
        <f>_xlfn.IFNA(VLOOKUP(AnalizaCzyste[[#This Row],[Zakończono wypełnianie]],Zakończone[],2,0),"BRAK")</f>
        <v>74</v>
      </c>
      <c r="C19">
        <f>COUNTA(U19:HM19)</f>
        <v>80</v>
      </c>
      <c r="D19" t="s">
        <v>1164</v>
      </c>
      <c r="E19" t="s">
        <v>1165</v>
      </c>
      <c r="F19">
        <v>982</v>
      </c>
      <c r="G19" s="20" t="s">
        <v>2292</v>
      </c>
      <c r="H19" s="20" t="s">
        <v>2459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" t="s">
        <v>123</v>
      </c>
      <c r="AK19" s="56" t="s">
        <v>124</v>
      </c>
      <c r="AL19" t="s">
        <v>191</v>
      </c>
      <c r="AM19" t="str">
        <f>VLOOKUP(AnalizaCzyste[[#This Row],[Jak się nazywa uczelnia którą ukończyłeś? (proszę o wybranie jednej uczelni podlegającej ocenie)]],KategorieUczelni[],2,0)</f>
        <v>Publiczna</v>
      </c>
      <c r="AN19">
        <v>1978</v>
      </c>
      <c r="AO19" t="s">
        <v>148</v>
      </c>
      <c r="AP19" t="s">
        <v>1167</v>
      </c>
      <c r="AQ19" t="s">
        <v>169</v>
      </c>
      <c r="AR19" t="s">
        <v>169</v>
      </c>
      <c r="AS19" t="s">
        <v>169</v>
      </c>
      <c r="AT19" t="s">
        <v>150</v>
      </c>
      <c r="AU19" t="s">
        <v>150</v>
      </c>
      <c r="AV19" t="s">
        <v>1168</v>
      </c>
      <c r="AW19" t="s">
        <v>132</v>
      </c>
      <c r="AX19" t="s">
        <v>132</v>
      </c>
      <c r="AY19" t="s">
        <v>1169</v>
      </c>
      <c r="AZ19" t="s">
        <v>1170</v>
      </c>
      <c r="BA19" t="s">
        <v>132</v>
      </c>
      <c r="BC19" t="s">
        <v>1171</v>
      </c>
      <c r="BD19" s="56" t="s">
        <v>159</v>
      </c>
      <c r="BE19">
        <v>1</v>
      </c>
      <c r="BF19" t="s">
        <v>1290</v>
      </c>
      <c r="BG19">
        <v>2020</v>
      </c>
      <c r="BH19" t="s">
        <v>148</v>
      </c>
      <c r="BI19" t="s">
        <v>1050</v>
      </c>
      <c r="BJ19" t="s">
        <v>132</v>
      </c>
      <c r="BK19" t="s">
        <v>132</v>
      </c>
      <c r="BL19" t="s">
        <v>132</v>
      </c>
      <c r="BM19" t="s">
        <v>132</v>
      </c>
      <c r="BN19" t="s">
        <v>132</v>
      </c>
      <c r="BO19" t="s">
        <v>1173</v>
      </c>
      <c r="BP19" t="s">
        <v>1174</v>
      </c>
      <c r="BQ19" t="s">
        <v>230</v>
      </c>
      <c r="BS19" t="s">
        <v>1175</v>
      </c>
      <c r="BT19" t="s">
        <v>173</v>
      </c>
      <c r="CX19" s="1" t="s">
        <v>123</v>
      </c>
      <c r="DH19" s="56" t="s">
        <v>214</v>
      </c>
      <c r="DI19" t="s">
        <v>191</v>
      </c>
      <c r="DJ19" t="s">
        <v>308</v>
      </c>
      <c r="DK19" t="s">
        <v>169</v>
      </c>
      <c r="DL19" t="s">
        <v>162</v>
      </c>
      <c r="DM19" t="s">
        <v>150</v>
      </c>
      <c r="DN19" t="s">
        <v>169</v>
      </c>
      <c r="DO19" t="s">
        <v>150</v>
      </c>
      <c r="DP19" t="s">
        <v>150</v>
      </c>
      <c r="DQ19" t="s">
        <v>1177</v>
      </c>
      <c r="DR19" s="56" t="s">
        <v>174</v>
      </c>
      <c r="DU19" t="s">
        <v>1178</v>
      </c>
      <c r="DW19" t="s">
        <v>747</v>
      </c>
      <c r="DX19" t="s">
        <v>150</v>
      </c>
      <c r="DY19" t="s">
        <v>150</v>
      </c>
      <c r="DZ19" t="s">
        <v>150</v>
      </c>
      <c r="EA19" t="s">
        <v>150</v>
      </c>
      <c r="EB19" t="s">
        <v>162</v>
      </c>
      <c r="EC19" t="s">
        <v>162</v>
      </c>
      <c r="ED19" t="s">
        <v>162</v>
      </c>
      <c r="EE19">
        <v>25</v>
      </c>
      <c r="EF19">
        <v>10</v>
      </c>
      <c r="EG19">
        <v>0</v>
      </c>
      <c r="EH19">
        <v>10</v>
      </c>
      <c r="EI19">
        <v>25</v>
      </c>
      <c r="EJ19">
        <v>15</v>
      </c>
      <c r="EK19">
        <v>15</v>
      </c>
      <c r="EM19">
        <v>10</v>
      </c>
      <c r="EN19">
        <v>10</v>
      </c>
      <c r="EO19">
        <v>0</v>
      </c>
      <c r="EP19">
        <v>10</v>
      </c>
      <c r="EQ19">
        <v>50</v>
      </c>
      <c r="ER19">
        <v>10</v>
      </c>
      <c r="ES19">
        <v>10</v>
      </c>
      <c r="EU19" s="1" t="s">
        <v>123</v>
      </c>
      <c r="FU19" s="1" t="s">
        <v>123</v>
      </c>
      <c r="HC19" t="s">
        <v>1179</v>
      </c>
      <c r="HD19" t="s">
        <v>1180</v>
      </c>
      <c r="HE19" t="s">
        <v>1181</v>
      </c>
      <c r="HF19" t="s">
        <v>186</v>
      </c>
      <c r="HG19" s="20" t="s">
        <v>1473</v>
      </c>
      <c r="HH19" s="20" t="e">
        <f>VLOOKUP(AnalizaCzyste[[#This Row],[Rok urodzenia]],KategorieWiekowe[],2,1)</f>
        <v>#N/A</v>
      </c>
      <c r="HI19" t="s">
        <v>141</v>
      </c>
      <c r="HK19" t="s">
        <v>1183</v>
      </c>
    </row>
    <row r="20" spans="1:221" x14ac:dyDescent="0.45">
      <c r="A20">
        <v>126</v>
      </c>
      <c r="B20">
        <f>_xlfn.IFNA(VLOOKUP(AnalizaCzyste[[#This Row],[Zakończono wypełnianie]],Zakończone[],2,0),"BRAK")</f>
        <v>75</v>
      </c>
      <c r="C20">
        <f>COUNTA(U20:HM20)</f>
        <v>32</v>
      </c>
      <c r="D20" t="s">
        <v>1184</v>
      </c>
      <c r="E20" t="s">
        <v>1185</v>
      </c>
      <c r="F20">
        <v>739</v>
      </c>
      <c r="G20" s="20" t="s">
        <v>2292</v>
      </c>
      <c r="H20" s="20" t="s">
        <v>2458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" t="s">
        <v>123</v>
      </c>
      <c r="AK20" s="56" t="s">
        <v>124</v>
      </c>
      <c r="AL20" t="s">
        <v>191</v>
      </c>
      <c r="AM20" t="str">
        <f>VLOOKUP(AnalizaCzyste[[#This Row],[Jak się nazywa uczelnia którą ukończyłeś? (proszę o wybranie jednej uczelni podlegającej ocenie)]],KategorieUczelni[],2,0)</f>
        <v>Publiczna</v>
      </c>
      <c r="AN20">
        <v>2018</v>
      </c>
      <c r="AO20" t="s">
        <v>126</v>
      </c>
      <c r="AP20" t="s">
        <v>1186</v>
      </c>
      <c r="AQ20" t="s">
        <v>151</v>
      </c>
      <c r="AR20" t="s">
        <v>162</v>
      </c>
      <c r="AS20" t="s">
        <v>169</v>
      </c>
      <c r="AT20" t="s">
        <v>150</v>
      </c>
      <c r="AU20" t="s">
        <v>132</v>
      </c>
      <c r="AV20" t="s">
        <v>959</v>
      </c>
      <c r="AW20" t="s">
        <v>302</v>
      </c>
      <c r="AX20" t="s">
        <v>226</v>
      </c>
      <c r="AY20" t="s">
        <v>1187</v>
      </c>
      <c r="AZ20" t="s">
        <v>1188</v>
      </c>
      <c r="BA20" t="s">
        <v>1189</v>
      </c>
      <c r="BB20" t="s">
        <v>172</v>
      </c>
      <c r="BD20" s="1" t="s">
        <v>123</v>
      </c>
      <c r="CX20" s="1" t="s">
        <v>123</v>
      </c>
      <c r="DH20" s="1" t="s">
        <v>123</v>
      </c>
      <c r="DR20" s="1" t="s">
        <v>123</v>
      </c>
      <c r="EU20" s="1" t="s">
        <v>123</v>
      </c>
      <c r="FU20" s="1" t="s">
        <v>123</v>
      </c>
      <c r="HC20" t="s">
        <v>276</v>
      </c>
      <c r="HD20" t="s">
        <v>1190</v>
      </c>
      <c r="HE20" t="s">
        <v>1191</v>
      </c>
      <c r="HF20" t="s">
        <v>186</v>
      </c>
      <c r="HG20">
        <v>1991</v>
      </c>
      <c r="HH20" t="str">
        <f>VLOOKUP(AnalizaCzyste[[#This Row],[Rok urodzenia]],KategorieWiekowe[],2,1)</f>
        <v>26–35 lat</v>
      </c>
      <c r="HI20" t="s">
        <v>141</v>
      </c>
    </row>
    <row r="21" spans="1:221" x14ac:dyDescent="0.45">
      <c r="A21">
        <v>127</v>
      </c>
      <c r="B21">
        <f>_xlfn.IFNA(VLOOKUP(AnalizaCzyste[[#This Row],[Zakończono wypełnianie]],Zakończone[],2,0),"BRAK")</f>
        <v>76</v>
      </c>
      <c r="C21">
        <f>COUNTA(U21:HM21)</f>
        <v>43</v>
      </c>
      <c r="D21" t="s">
        <v>1193</v>
      </c>
      <c r="E21" t="s">
        <v>1194</v>
      </c>
      <c r="F21">
        <v>1676</v>
      </c>
      <c r="G21" s="20" t="s">
        <v>2292</v>
      </c>
      <c r="H21" s="20" t="s">
        <v>2460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" t="s">
        <v>123</v>
      </c>
      <c r="AK21" s="56" t="s">
        <v>124</v>
      </c>
      <c r="AL21" t="s">
        <v>223</v>
      </c>
      <c r="AM21" t="str">
        <f>VLOOKUP(AnalizaCzyste[[#This Row],[Jak się nazywa uczelnia którą ukończyłeś? (proszę o wybranie jednej uczelni podlegającej ocenie)]],KategorieUczelni[],2,0)</f>
        <v>Publiczna</v>
      </c>
      <c r="AN21">
        <v>1998</v>
      </c>
      <c r="AO21" t="s">
        <v>148</v>
      </c>
      <c r="AP21" t="s">
        <v>1195</v>
      </c>
      <c r="AQ21" t="s">
        <v>162</v>
      </c>
      <c r="AR21" t="s">
        <v>151</v>
      </c>
      <c r="AS21" t="s">
        <v>151</v>
      </c>
      <c r="AT21" t="s">
        <v>236</v>
      </c>
      <c r="AU21" t="s">
        <v>151</v>
      </c>
      <c r="AV21">
        <v>0</v>
      </c>
      <c r="AW21" t="s">
        <v>131</v>
      </c>
      <c r="AX21" t="s">
        <v>302</v>
      </c>
      <c r="AY21" t="s">
        <v>1196</v>
      </c>
      <c r="AZ21" t="s">
        <v>1196</v>
      </c>
      <c r="BA21" t="s">
        <v>1197</v>
      </c>
      <c r="BB21" t="s">
        <v>157</v>
      </c>
      <c r="BD21" s="1" t="s">
        <v>123</v>
      </c>
      <c r="CX21" s="1" t="s">
        <v>123</v>
      </c>
      <c r="DH21" s="1" t="s">
        <v>123</v>
      </c>
      <c r="DR21" s="1" t="s">
        <v>123</v>
      </c>
      <c r="EU21" s="56" t="s">
        <v>177</v>
      </c>
      <c r="EV21" t="s">
        <v>180</v>
      </c>
      <c r="EW21" t="s">
        <v>132</v>
      </c>
      <c r="EX21" t="s">
        <v>132</v>
      </c>
      <c r="EY21" t="s">
        <v>151</v>
      </c>
      <c r="EZ21" t="s">
        <v>151</v>
      </c>
      <c r="FA21" t="s">
        <v>151</v>
      </c>
      <c r="FB21" t="s">
        <v>178</v>
      </c>
      <c r="FC21" t="s">
        <v>132</v>
      </c>
      <c r="FD21" t="s">
        <v>132</v>
      </c>
      <c r="FE21" t="s">
        <v>173</v>
      </c>
      <c r="FU21" s="1" t="s">
        <v>123</v>
      </c>
      <c r="HC21" t="s">
        <v>1198</v>
      </c>
      <c r="HD21" t="s">
        <v>1199</v>
      </c>
      <c r="HE21" t="s">
        <v>1198</v>
      </c>
      <c r="HF21" t="s">
        <v>186</v>
      </c>
      <c r="HG21">
        <v>1974</v>
      </c>
      <c r="HH21" t="str">
        <f>VLOOKUP(AnalizaCzyste[[#This Row],[Rok urodzenia]],KategorieWiekowe[],2,1)</f>
        <v>46–55 lat</v>
      </c>
      <c r="HI21" t="s">
        <v>141</v>
      </c>
      <c r="HJ21" t="s">
        <v>313</v>
      </c>
    </row>
    <row r="22" spans="1:221" x14ac:dyDescent="0.45">
      <c r="A22">
        <v>128</v>
      </c>
      <c r="B22">
        <f>_xlfn.IFNA(VLOOKUP(AnalizaCzyste[[#This Row],[Zakończono wypełnianie]],Zakończone[],2,0),"BRAK")</f>
        <v>77</v>
      </c>
      <c r="C22">
        <f>COUNTA(U22:HM22)</f>
        <v>44</v>
      </c>
      <c r="D22" t="s">
        <v>1201</v>
      </c>
      <c r="E22" t="s">
        <v>1202</v>
      </c>
      <c r="F22">
        <v>658</v>
      </c>
      <c r="G22" s="20" t="s">
        <v>2292</v>
      </c>
      <c r="H22" s="20" t="s">
        <v>2461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" t="s">
        <v>123</v>
      </c>
      <c r="AK22" s="57" t="s">
        <v>2488</v>
      </c>
      <c r="AM22" t="e">
        <f>VLOOKUP(AnalizaCzyste[[#This Row],[Jak się nazywa uczelnia którą ukończyłeś? (proszę o wybranie jednej uczelni podlegającej ocenie)]],KategorieUczelni[],2,0)</f>
        <v>#N/A</v>
      </c>
      <c r="BD22" s="1" t="s">
        <v>123</v>
      </c>
      <c r="CX22" s="1" t="s">
        <v>123</v>
      </c>
      <c r="DH22" s="56" t="s">
        <v>214</v>
      </c>
      <c r="DI22" t="s">
        <v>191</v>
      </c>
      <c r="DJ22" t="s">
        <v>308</v>
      </c>
      <c r="DK22" t="s">
        <v>162</v>
      </c>
      <c r="DL22" t="s">
        <v>162</v>
      </c>
      <c r="DM22" t="s">
        <v>150</v>
      </c>
      <c r="DN22" t="s">
        <v>150</v>
      </c>
      <c r="DO22" t="s">
        <v>150</v>
      </c>
      <c r="DP22" t="s">
        <v>169</v>
      </c>
      <c r="DQ22" t="s">
        <v>1203</v>
      </c>
      <c r="DR22" s="1" t="s">
        <v>123</v>
      </c>
      <c r="EU22" s="56" t="s">
        <v>177</v>
      </c>
      <c r="EV22" t="s">
        <v>178</v>
      </c>
      <c r="EW22">
        <v>2</v>
      </c>
      <c r="EX22" t="s">
        <v>191</v>
      </c>
      <c r="EY22" t="s">
        <v>169</v>
      </c>
      <c r="EZ22" t="s">
        <v>169</v>
      </c>
      <c r="FA22" t="s">
        <v>169</v>
      </c>
      <c r="FB22" t="s">
        <v>178</v>
      </c>
      <c r="FC22" t="s">
        <v>1204</v>
      </c>
      <c r="FD22" t="s">
        <v>1205</v>
      </c>
      <c r="FE22" t="s">
        <v>1206</v>
      </c>
      <c r="FF22" t="s">
        <v>223</v>
      </c>
      <c r="FG22" t="s">
        <v>128</v>
      </c>
      <c r="FH22" t="s">
        <v>236</v>
      </c>
      <c r="FI22" t="s">
        <v>129</v>
      </c>
      <c r="FJ22" t="s">
        <v>178</v>
      </c>
      <c r="FK22" t="s">
        <v>960</v>
      </c>
      <c r="FL22" t="s">
        <v>1207</v>
      </c>
      <c r="FM22" t="s">
        <v>173</v>
      </c>
      <c r="FU22" s="1" t="s">
        <v>123</v>
      </c>
      <c r="HC22" t="s">
        <v>1208</v>
      </c>
      <c r="HD22" t="s">
        <v>1209</v>
      </c>
      <c r="HE22" t="s">
        <v>1210</v>
      </c>
      <c r="HF22" t="s">
        <v>186</v>
      </c>
      <c r="HG22">
        <v>1987</v>
      </c>
      <c r="HH22" t="str">
        <f>VLOOKUP(AnalizaCzyste[[#This Row],[Rok urodzenia]],KategorieWiekowe[],2,1)</f>
        <v>26–35 lat</v>
      </c>
      <c r="HI22" t="s">
        <v>141</v>
      </c>
      <c r="HK22" t="s">
        <v>191</v>
      </c>
    </row>
    <row r="23" spans="1:221" x14ac:dyDescent="0.45">
      <c r="A23">
        <v>129</v>
      </c>
      <c r="B23">
        <f>_xlfn.IFNA(VLOOKUP(AnalizaCzyste[[#This Row],[Zakończono wypełnianie]],Zakończone[],2,0),"BRAK")</f>
        <v>78</v>
      </c>
      <c r="C23">
        <f>COUNTA(U23:HM23)</f>
        <v>32</v>
      </c>
      <c r="D23" t="s">
        <v>1212</v>
      </c>
      <c r="E23" t="s">
        <v>1213</v>
      </c>
      <c r="F23">
        <v>808</v>
      </c>
      <c r="G23" s="20" t="s">
        <v>2292</v>
      </c>
      <c r="H23" s="20" t="s">
        <v>2479</v>
      </c>
      <c r="I23" s="59" t="s">
        <v>2519</v>
      </c>
      <c r="J23" s="20"/>
      <c r="K23" s="20"/>
      <c r="L23" s="20" t="s">
        <v>2518</v>
      </c>
      <c r="M23" s="20" t="s">
        <v>2508</v>
      </c>
      <c r="N23" s="20" t="s">
        <v>2517</v>
      </c>
      <c r="O23" s="20" t="s">
        <v>2516</v>
      </c>
      <c r="P23" s="20" t="s">
        <v>2515</v>
      </c>
      <c r="Q23" s="20" t="s">
        <v>2515</v>
      </c>
      <c r="R23" s="59" t="s">
        <v>2514</v>
      </c>
      <c r="S23" s="20" t="s">
        <v>2512</v>
      </c>
      <c r="T23" s="29" t="s">
        <v>2511</v>
      </c>
      <c r="U23" s="1" t="s">
        <v>123</v>
      </c>
      <c r="AK23" s="56" t="s">
        <v>124</v>
      </c>
      <c r="AL23" t="s">
        <v>428</v>
      </c>
      <c r="AM23" t="str">
        <f>VLOOKUP(AnalizaCzyste[[#This Row],[Jak się nazywa uczelnia którą ukończyłeś? (proszę o wybranie jednej uczelni podlegającej ocenie)]],KategorieUczelni[],2,0)</f>
        <v>Publiczna</v>
      </c>
      <c r="AN23">
        <v>1998</v>
      </c>
      <c r="AO23" t="s">
        <v>148</v>
      </c>
      <c r="AP23" t="s">
        <v>1215</v>
      </c>
      <c r="AQ23" t="s">
        <v>150</v>
      </c>
      <c r="AR23" t="s">
        <v>150</v>
      </c>
      <c r="AS23" t="s">
        <v>151</v>
      </c>
      <c r="AT23" t="s">
        <v>129</v>
      </c>
      <c r="AU23" t="s">
        <v>128</v>
      </c>
      <c r="AV23" t="s">
        <v>1216</v>
      </c>
      <c r="AW23" t="s">
        <v>131</v>
      </c>
      <c r="AX23" t="s">
        <v>131</v>
      </c>
      <c r="AY23" t="s">
        <v>1217</v>
      </c>
      <c r="AZ23" t="s">
        <v>1218</v>
      </c>
      <c r="BA23" t="s">
        <v>1219</v>
      </c>
      <c r="BC23" t="s">
        <v>1220</v>
      </c>
      <c r="BD23" s="1" t="s">
        <v>123</v>
      </c>
      <c r="CX23" s="1" t="s">
        <v>123</v>
      </c>
      <c r="DH23" s="1" t="s">
        <v>123</v>
      </c>
      <c r="DR23" s="1" t="s">
        <v>123</v>
      </c>
      <c r="EU23" s="1" t="s">
        <v>123</v>
      </c>
      <c r="FU23" s="1" t="s">
        <v>123</v>
      </c>
      <c r="HC23" t="s">
        <v>1221</v>
      </c>
      <c r="HD23" t="s">
        <v>1222</v>
      </c>
      <c r="HE23" t="s">
        <v>1223</v>
      </c>
      <c r="HF23" t="s">
        <v>186</v>
      </c>
      <c r="HG23">
        <v>1973</v>
      </c>
      <c r="HH23" t="str">
        <f>VLOOKUP(AnalizaCzyste[[#This Row],[Rok urodzenia]],KategorieWiekowe[],2,1)</f>
        <v>46–55 lat</v>
      </c>
      <c r="HI23" t="s">
        <v>141</v>
      </c>
    </row>
    <row r="24" spans="1:221" x14ac:dyDescent="0.45">
      <c r="A24">
        <v>130</v>
      </c>
      <c r="B24">
        <f>_xlfn.IFNA(VLOOKUP(AnalizaCzyste[[#This Row],[Zakończono wypełnianie]],Zakończone[],2,0),"BRAK")</f>
        <v>79</v>
      </c>
      <c r="C24">
        <f>COUNTA(U24:HM24)</f>
        <v>82</v>
      </c>
      <c r="D24" t="s">
        <v>1225</v>
      </c>
      <c r="E24" t="s">
        <v>1226</v>
      </c>
      <c r="F24">
        <v>4209</v>
      </c>
      <c r="G24" s="20" t="s">
        <v>2292</v>
      </c>
      <c r="H24" s="20" t="s">
        <v>2478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 t="s">
        <v>2513</v>
      </c>
      <c r="T24" s="20"/>
      <c r="U24" s="1" t="s">
        <v>123</v>
      </c>
      <c r="AK24" s="56" t="s">
        <v>124</v>
      </c>
      <c r="AL24" t="s">
        <v>2269</v>
      </c>
      <c r="AM24" t="str">
        <f>VLOOKUP(AnalizaCzyste[[#This Row],[Jak się nazywa uczelnia którą ukończyłeś? (proszę o wybranie jednej uczelni podlegającej ocenie)]],KategorieUczelni[],2,0)</f>
        <v>Publiczna</v>
      </c>
      <c r="AN24">
        <v>1985</v>
      </c>
      <c r="AO24" t="s">
        <v>148</v>
      </c>
      <c r="AP24" t="s">
        <v>391</v>
      </c>
      <c r="AQ24" t="s">
        <v>150</v>
      </c>
      <c r="AR24" t="s">
        <v>150</v>
      </c>
      <c r="AS24" t="s">
        <v>169</v>
      </c>
      <c r="AT24" t="s">
        <v>236</v>
      </c>
      <c r="AU24" t="s">
        <v>236</v>
      </c>
      <c r="AV24">
        <v>0</v>
      </c>
      <c r="AW24" t="s">
        <v>152</v>
      </c>
      <c r="AX24" t="s">
        <v>152</v>
      </c>
      <c r="AY24" t="s">
        <v>1228</v>
      </c>
      <c r="AZ24" t="s">
        <v>1229</v>
      </c>
      <c r="BA24" t="s">
        <v>1229</v>
      </c>
      <c r="BB24" t="s">
        <v>157</v>
      </c>
      <c r="BD24" s="56" t="s">
        <v>159</v>
      </c>
      <c r="BE24">
        <v>2</v>
      </c>
      <c r="BF24" t="s">
        <v>1230</v>
      </c>
      <c r="BG24">
        <v>2005</v>
      </c>
      <c r="BH24" t="s">
        <v>148</v>
      </c>
      <c r="BI24" t="s">
        <v>1231</v>
      </c>
      <c r="BJ24" t="s">
        <v>169</v>
      </c>
      <c r="BK24" t="s">
        <v>169</v>
      </c>
      <c r="BL24" t="s">
        <v>169</v>
      </c>
      <c r="BM24" t="s">
        <v>236</v>
      </c>
      <c r="BN24" t="s">
        <v>236</v>
      </c>
      <c r="BO24">
        <v>0</v>
      </c>
      <c r="BP24" t="s">
        <v>1232</v>
      </c>
      <c r="BQ24" t="s">
        <v>157</v>
      </c>
      <c r="BT24" t="s">
        <v>166</v>
      </c>
      <c r="BU24" t="s">
        <v>1233</v>
      </c>
      <c r="BV24">
        <v>2008</v>
      </c>
      <c r="BW24" t="s">
        <v>148</v>
      </c>
      <c r="BX24" t="s">
        <v>1234</v>
      </c>
      <c r="BY24" t="s">
        <v>169</v>
      </c>
      <c r="BZ24" t="s">
        <v>169</v>
      </c>
      <c r="CA24" t="s">
        <v>169</v>
      </c>
      <c r="CB24" t="s">
        <v>128</v>
      </c>
      <c r="CC24" t="s">
        <v>162</v>
      </c>
      <c r="CD24" t="s">
        <v>1235</v>
      </c>
      <c r="CE24" t="s">
        <v>1236</v>
      </c>
      <c r="CF24" t="s">
        <v>157</v>
      </c>
      <c r="CI24" t="s">
        <v>173</v>
      </c>
      <c r="CX24" s="1" t="s">
        <v>123</v>
      </c>
      <c r="DH24" s="1" t="s">
        <v>123</v>
      </c>
      <c r="DR24" s="56" t="s">
        <v>174</v>
      </c>
      <c r="DS24" t="s">
        <v>394</v>
      </c>
      <c r="DW24" t="s">
        <v>1230</v>
      </c>
      <c r="DX24" t="s">
        <v>150</v>
      </c>
      <c r="DY24" t="s">
        <v>150</v>
      </c>
      <c r="DZ24" t="s">
        <v>150</v>
      </c>
      <c r="EA24" t="s">
        <v>150</v>
      </c>
      <c r="EB24" t="s">
        <v>150</v>
      </c>
      <c r="EC24" t="s">
        <v>169</v>
      </c>
      <c r="ED24" t="s">
        <v>150</v>
      </c>
      <c r="EE24">
        <v>20</v>
      </c>
      <c r="EF24">
        <v>5</v>
      </c>
      <c r="EG24">
        <v>0</v>
      </c>
      <c r="EH24">
        <v>30</v>
      </c>
      <c r="EI24">
        <v>25</v>
      </c>
      <c r="EJ24">
        <v>10</v>
      </c>
      <c r="EK24">
        <v>10</v>
      </c>
      <c r="EM24">
        <v>10</v>
      </c>
      <c r="EN24">
        <v>5</v>
      </c>
      <c r="EO24">
        <v>0</v>
      </c>
      <c r="EP24">
        <v>25</v>
      </c>
      <c r="EQ24">
        <v>25</v>
      </c>
      <c r="ER24">
        <v>5</v>
      </c>
      <c r="ES24">
        <v>30</v>
      </c>
      <c r="EU24" s="1" t="s">
        <v>123</v>
      </c>
      <c r="FU24" s="1" t="s">
        <v>123</v>
      </c>
      <c r="HC24" t="s">
        <v>1237</v>
      </c>
      <c r="HD24" t="s">
        <v>1229</v>
      </c>
      <c r="HE24" t="s">
        <v>1229</v>
      </c>
      <c r="HF24" t="s">
        <v>140</v>
      </c>
      <c r="HG24">
        <v>1958</v>
      </c>
      <c r="HH24" t="str">
        <f>VLOOKUP(AnalizaCzyste[[#This Row],[Rok urodzenia]],KategorieWiekowe[],2,1)</f>
        <v>56–65 lat</v>
      </c>
      <c r="HI24" t="s">
        <v>141</v>
      </c>
    </row>
    <row r="25" spans="1:221" x14ac:dyDescent="0.45">
      <c r="A25">
        <v>131</v>
      </c>
      <c r="B25">
        <f>_xlfn.IFNA(VLOOKUP(AnalizaCzyste[[#This Row],[Zakończono wypełnianie]],Zakończone[],2,0),"BRAK")</f>
        <v>80</v>
      </c>
      <c r="C25">
        <f>COUNTA(U25:HM25)</f>
        <v>36</v>
      </c>
      <c r="D25" t="s">
        <v>1239</v>
      </c>
      <c r="E25" t="s">
        <v>1240</v>
      </c>
      <c r="F25">
        <v>356</v>
      </c>
      <c r="G25" s="20" t="s">
        <v>2292</v>
      </c>
      <c r="H25" s="20" t="s">
        <v>2462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" t="s">
        <v>123</v>
      </c>
      <c r="AK25" s="56" t="s">
        <v>124</v>
      </c>
      <c r="AL25" t="s">
        <v>223</v>
      </c>
      <c r="AM25" t="str">
        <f>VLOOKUP(AnalizaCzyste[[#This Row],[Jak się nazywa uczelnia którą ukończyłeś? (proszę o wybranie jednej uczelni podlegającej ocenie)]],KategorieUczelni[],2,0)</f>
        <v>Publiczna</v>
      </c>
      <c r="AN25">
        <v>1997</v>
      </c>
      <c r="AO25" t="s">
        <v>148</v>
      </c>
      <c r="AP25" t="s">
        <v>161</v>
      </c>
      <c r="AQ25" t="s">
        <v>128</v>
      </c>
      <c r="AR25" t="s">
        <v>128</v>
      </c>
      <c r="AS25" t="s">
        <v>162</v>
      </c>
      <c r="AT25" t="s">
        <v>162</v>
      </c>
      <c r="AU25" t="s">
        <v>162</v>
      </c>
      <c r="AV25">
        <v>1</v>
      </c>
      <c r="AW25" t="s">
        <v>131</v>
      </c>
      <c r="AX25" t="s">
        <v>131</v>
      </c>
      <c r="AY25" t="s">
        <v>1241</v>
      </c>
      <c r="AZ25" t="s">
        <v>1242</v>
      </c>
      <c r="BA25" t="s">
        <v>1243</v>
      </c>
      <c r="BB25" t="s">
        <v>157</v>
      </c>
      <c r="BC25" t="s">
        <v>1244</v>
      </c>
      <c r="BD25" s="1" t="s">
        <v>123</v>
      </c>
      <c r="CX25" s="1" t="s">
        <v>123</v>
      </c>
      <c r="DH25" s="1" t="s">
        <v>123</v>
      </c>
      <c r="DR25" s="1" t="s">
        <v>123</v>
      </c>
      <c r="EU25" s="1" t="s">
        <v>123</v>
      </c>
      <c r="EV25" t="s">
        <v>178</v>
      </c>
      <c r="EW25" t="s">
        <v>132</v>
      </c>
      <c r="FU25" s="57" t="s">
        <v>2488</v>
      </c>
      <c r="HC25" t="s">
        <v>1245</v>
      </c>
      <c r="HD25" t="s">
        <v>1246</v>
      </c>
      <c r="HE25" t="s">
        <v>1247</v>
      </c>
      <c r="HF25" t="s">
        <v>186</v>
      </c>
      <c r="HG25">
        <v>1974</v>
      </c>
      <c r="HH25" t="str">
        <f>VLOOKUP(AnalizaCzyste[[#This Row],[Rok urodzenia]],KategorieWiekowe[],2,1)</f>
        <v>46–55 lat</v>
      </c>
      <c r="HI25" t="s">
        <v>398</v>
      </c>
      <c r="HK25" t="s">
        <v>1248</v>
      </c>
    </row>
    <row r="26" spans="1:221" x14ac:dyDescent="0.45">
      <c r="A26">
        <v>133</v>
      </c>
      <c r="B26">
        <f>_xlfn.IFNA(VLOOKUP(AnalizaCzyste[[#This Row],[Zakończono wypełnianie]],Zakończone[],2,0),"BRAK")</f>
        <v>81</v>
      </c>
      <c r="C26">
        <f>COUNTA(U26:HM26)</f>
        <v>42</v>
      </c>
      <c r="D26" t="s">
        <v>1252</v>
      </c>
      <c r="E26" t="s">
        <v>1253</v>
      </c>
      <c r="F26">
        <v>367</v>
      </c>
      <c r="G26" s="20" t="s">
        <v>2292</v>
      </c>
      <c r="H26" s="20" t="s">
        <v>2463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" t="s">
        <v>123</v>
      </c>
      <c r="AK26" s="56" t="s">
        <v>124</v>
      </c>
      <c r="AL26" t="s">
        <v>223</v>
      </c>
      <c r="AM26" t="str">
        <f>VLOOKUP(AnalizaCzyste[[#This Row],[Jak się nazywa uczelnia którą ukończyłeś? (proszę o wybranie jednej uczelni podlegającej ocenie)]],KategorieUczelni[],2,0)</f>
        <v>Publiczna</v>
      </c>
      <c r="AN26">
        <v>2006</v>
      </c>
      <c r="AO26" t="s">
        <v>148</v>
      </c>
      <c r="AP26" t="s">
        <v>1050</v>
      </c>
      <c r="AQ26" t="s">
        <v>162</v>
      </c>
      <c r="AR26" t="s">
        <v>162</v>
      </c>
      <c r="AS26" t="s">
        <v>169</v>
      </c>
      <c r="AT26" t="s">
        <v>236</v>
      </c>
      <c r="AU26" t="s">
        <v>151</v>
      </c>
      <c r="AV26">
        <v>3</v>
      </c>
      <c r="AW26" t="s">
        <v>131</v>
      </c>
      <c r="AX26" t="s">
        <v>302</v>
      </c>
      <c r="AY26" t="s">
        <v>1254</v>
      </c>
      <c r="AZ26" t="s">
        <v>1255</v>
      </c>
      <c r="BA26" t="s">
        <v>1256</v>
      </c>
      <c r="BB26" t="s">
        <v>157</v>
      </c>
      <c r="BC26" t="s">
        <v>1257</v>
      </c>
      <c r="BD26" s="1" t="s">
        <v>123</v>
      </c>
      <c r="CX26" s="1" t="s">
        <v>123</v>
      </c>
      <c r="DH26" s="56" t="s">
        <v>214</v>
      </c>
      <c r="DI26" t="s">
        <v>191</v>
      </c>
      <c r="DJ26" t="s">
        <v>308</v>
      </c>
      <c r="DK26" t="s">
        <v>169</v>
      </c>
      <c r="DL26" t="s">
        <v>150</v>
      </c>
      <c r="DM26" t="s">
        <v>150</v>
      </c>
      <c r="DN26" t="s">
        <v>169</v>
      </c>
      <c r="DO26" t="s">
        <v>162</v>
      </c>
      <c r="DP26" t="s">
        <v>162</v>
      </c>
      <c r="DQ26" t="s">
        <v>1258</v>
      </c>
      <c r="DR26" s="1" t="s">
        <v>123</v>
      </c>
      <c r="EU26" s="1" t="s">
        <v>123</v>
      </c>
      <c r="FU26" s="1" t="s">
        <v>123</v>
      </c>
      <c r="HC26" t="s">
        <v>1259</v>
      </c>
      <c r="HD26" t="s">
        <v>1260</v>
      </c>
      <c r="HE26" t="s">
        <v>1261</v>
      </c>
      <c r="HF26" t="s">
        <v>186</v>
      </c>
      <c r="HG26">
        <v>1982</v>
      </c>
      <c r="HH26" t="str">
        <f>VLOOKUP(AnalizaCzyste[[#This Row],[Rok urodzenia]],KategorieWiekowe[],2,1)</f>
        <v>36–45 lat</v>
      </c>
      <c r="HI26" t="s">
        <v>141</v>
      </c>
    </row>
    <row r="27" spans="1:221" x14ac:dyDescent="0.45">
      <c r="A27">
        <v>135</v>
      </c>
      <c r="B27">
        <f>_xlfn.IFNA(VLOOKUP(AnalizaCzyste[[#This Row],[Zakończono wypełnianie]],Zakończone[],2,0),"BRAK")</f>
        <v>82</v>
      </c>
      <c r="C27">
        <f>COUNTA(U27:HM27)</f>
        <v>68</v>
      </c>
      <c r="D27" t="s">
        <v>1266</v>
      </c>
      <c r="E27" t="s">
        <v>1267</v>
      </c>
      <c r="F27">
        <v>2127</v>
      </c>
      <c r="G27" s="20" t="s">
        <v>2292</v>
      </c>
      <c r="H27" s="20" t="s">
        <v>2480</v>
      </c>
      <c r="I27" s="20" t="s">
        <v>2510</v>
      </c>
      <c r="J27" s="20"/>
      <c r="K27" s="20"/>
      <c r="L27" s="20" t="s">
        <v>2509</v>
      </c>
      <c r="M27" s="20" t="s">
        <v>2508</v>
      </c>
      <c r="N27" s="20" t="s">
        <v>2507</v>
      </c>
      <c r="O27" s="20" t="s">
        <v>2506</v>
      </c>
      <c r="P27" s="20" t="s">
        <v>2505</v>
      </c>
      <c r="Q27" s="20" t="s">
        <v>2504</v>
      </c>
      <c r="R27" s="59" t="s">
        <v>2503</v>
      </c>
      <c r="S27" s="20" t="s">
        <v>2502</v>
      </c>
      <c r="T27" s="20" t="s">
        <v>2501</v>
      </c>
      <c r="U27" s="1" t="s">
        <v>123</v>
      </c>
      <c r="AK27" s="56" t="s">
        <v>124</v>
      </c>
      <c r="AL27" t="s">
        <v>191</v>
      </c>
      <c r="AM27" t="str">
        <f>VLOOKUP(AnalizaCzyste[[#This Row],[Jak się nazywa uczelnia którą ukończyłeś? (proszę o wybranie jednej uczelni podlegającej ocenie)]],KategorieUczelni[],2,0)</f>
        <v>Publiczna</v>
      </c>
      <c r="AN27">
        <v>1982</v>
      </c>
      <c r="AO27" t="s">
        <v>126</v>
      </c>
      <c r="AP27" t="s">
        <v>1268</v>
      </c>
      <c r="AQ27" t="s">
        <v>169</v>
      </c>
      <c r="AR27" t="s">
        <v>169</v>
      </c>
      <c r="AS27" t="s">
        <v>169</v>
      </c>
      <c r="AT27" t="s">
        <v>169</v>
      </c>
      <c r="AU27" t="s">
        <v>169</v>
      </c>
      <c r="AV27">
        <v>0</v>
      </c>
      <c r="AW27" t="s">
        <v>153</v>
      </c>
      <c r="AX27" t="s">
        <v>759</v>
      </c>
      <c r="AY27" t="s">
        <v>1269</v>
      </c>
      <c r="AZ27" t="s">
        <v>1270</v>
      </c>
      <c r="BA27" t="s">
        <v>386</v>
      </c>
      <c r="BC27" t="s">
        <v>1271</v>
      </c>
      <c r="BD27" s="56" t="s">
        <v>159</v>
      </c>
      <c r="BE27">
        <v>1</v>
      </c>
      <c r="BF27" t="s">
        <v>1290</v>
      </c>
      <c r="BG27">
        <v>2011</v>
      </c>
      <c r="BH27" t="s">
        <v>148</v>
      </c>
      <c r="BI27" t="s">
        <v>1050</v>
      </c>
      <c r="BJ27" t="s">
        <v>169</v>
      </c>
      <c r="BK27" t="s">
        <v>169</v>
      </c>
      <c r="BL27" t="s">
        <v>169</v>
      </c>
      <c r="BM27" t="s">
        <v>169</v>
      </c>
      <c r="BN27" t="s">
        <v>169</v>
      </c>
      <c r="BO27" t="s">
        <v>1273</v>
      </c>
      <c r="BP27" t="s">
        <v>1274</v>
      </c>
      <c r="BQ27" t="s">
        <v>157</v>
      </c>
      <c r="BS27" t="s">
        <v>1275</v>
      </c>
      <c r="BT27" t="s">
        <v>173</v>
      </c>
      <c r="CX27" s="1" t="s">
        <v>123</v>
      </c>
      <c r="DH27" s="56" t="s">
        <v>214</v>
      </c>
      <c r="DI27" t="s">
        <v>191</v>
      </c>
      <c r="DJ27" t="s">
        <v>1276</v>
      </c>
      <c r="DK27" t="s">
        <v>169</v>
      </c>
      <c r="DL27" t="s">
        <v>169</v>
      </c>
      <c r="DM27" t="s">
        <v>169</v>
      </c>
      <c r="DN27" t="s">
        <v>150</v>
      </c>
      <c r="DO27" t="s">
        <v>169</v>
      </c>
      <c r="DP27" t="s">
        <v>169</v>
      </c>
      <c r="DQ27" t="s">
        <v>1277</v>
      </c>
      <c r="DR27" s="1" t="s">
        <v>123</v>
      </c>
      <c r="EU27" s="56" t="s">
        <v>177</v>
      </c>
      <c r="EV27" t="s">
        <v>178</v>
      </c>
      <c r="EW27">
        <v>1</v>
      </c>
      <c r="EX27" t="s">
        <v>747</v>
      </c>
      <c r="EY27" t="s">
        <v>169</v>
      </c>
      <c r="EZ27" t="s">
        <v>169</v>
      </c>
      <c r="FA27" t="s">
        <v>151</v>
      </c>
      <c r="FB27" t="s">
        <v>178</v>
      </c>
      <c r="FC27" t="s">
        <v>1278</v>
      </c>
      <c r="FD27" t="s">
        <v>1279</v>
      </c>
      <c r="FE27" t="s">
        <v>173</v>
      </c>
      <c r="FU27" s="1" t="s">
        <v>123</v>
      </c>
      <c r="HC27" t="s">
        <v>1280</v>
      </c>
      <c r="HD27" t="s">
        <v>1281</v>
      </c>
      <c r="HE27" t="s">
        <v>1282</v>
      </c>
      <c r="HF27" t="s">
        <v>186</v>
      </c>
      <c r="HG27" s="42">
        <v>1956</v>
      </c>
      <c r="HH27" s="42" t="str">
        <f>VLOOKUP(AnalizaCzyste[[#This Row],[Rok urodzenia]],KategorieWiekowe[],2,1)</f>
        <v>56–65 lat</v>
      </c>
      <c r="HI27" t="s">
        <v>398</v>
      </c>
      <c r="HK27" t="s">
        <v>1284</v>
      </c>
      <c r="HL27" t="s">
        <v>1285</v>
      </c>
    </row>
    <row r="28" spans="1:221" x14ac:dyDescent="0.45">
      <c r="A28">
        <v>137</v>
      </c>
      <c r="B28">
        <f>_xlfn.IFNA(VLOOKUP(AnalizaCzyste[[#This Row],[Zakończono wypełnianie]],Zakończone[],2,0),"BRAK")</f>
        <v>83</v>
      </c>
      <c r="C28">
        <f>COUNTA(U28:HM28)</f>
        <v>44</v>
      </c>
      <c r="D28" t="s">
        <v>1288</v>
      </c>
      <c r="E28" t="s">
        <v>1289</v>
      </c>
      <c r="F28">
        <v>1208727</v>
      </c>
      <c r="G28" s="20" t="s">
        <v>2292</v>
      </c>
      <c r="H28" s="20" t="s">
        <v>2464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" t="s">
        <v>123</v>
      </c>
      <c r="AK28" s="56" t="s">
        <v>124</v>
      </c>
      <c r="AL28" t="s">
        <v>1290</v>
      </c>
      <c r="AM28" t="str">
        <f>VLOOKUP(AnalizaCzyste[[#This Row],[Jak się nazywa uczelnia którą ukończyłeś? (proszę o wybranie jednej uczelni podlegającej ocenie)]],KategorieUczelni[],2,0)</f>
        <v>Niepubliczna</v>
      </c>
      <c r="AN28">
        <v>2012</v>
      </c>
      <c r="AO28" t="s">
        <v>148</v>
      </c>
      <c r="AP28" t="s">
        <v>1050</v>
      </c>
      <c r="AQ28" t="s">
        <v>162</v>
      </c>
      <c r="AR28" t="s">
        <v>151</v>
      </c>
      <c r="AS28" t="s">
        <v>162</v>
      </c>
      <c r="AT28" t="s">
        <v>151</v>
      </c>
      <c r="AU28" t="s">
        <v>128</v>
      </c>
      <c r="AV28" t="s">
        <v>237</v>
      </c>
      <c r="AW28" t="s">
        <v>132</v>
      </c>
      <c r="AX28" t="s">
        <v>132</v>
      </c>
      <c r="AY28" t="s">
        <v>1291</v>
      </c>
      <c r="AZ28" t="s">
        <v>1292</v>
      </c>
      <c r="BA28" t="s">
        <v>1293</v>
      </c>
      <c r="BB28" t="s">
        <v>892</v>
      </c>
      <c r="BD28" s="1" t="s">
        <v>123</v>
      </c>
      <c r="CX28" s="1" t="s">
        <v>123</v>
      </c>
      <c r="DH28" s="1" t="s">
        <v>123</v>
      </c>
      <c r="DR28" s="1" t="s">
        <v>123</v>
      </c>
      <c r="EU28" s="56" t="s">
        <v>177</v>
      </c>
      <c r="EV28" t="s">
        <v>178</v>
      </c>
      <c r="EW28" t="s">
        <v>132</v>
      </c>
      <c r="EX28" t="s">
        <v>191</v>
      </c>
      <c r="EY28" t="s">
        <v>162</v>
      </c>
      <c r="EZ28" t="s">
        <v>151</v>
      </c>
      <c r="FA28" t="s">
        <v>128</v>
      </c>
      <c r="FB28" t="s">
        <v>178</v>
      </c>
      <c r="FC28" t="s">
        <v>1294</v>
      </c>
      <c r="FD28" t="s">
        <v>1295</v>
      </c>
      <c r="FE28" t="s">
        <v>173</v>
      </c>
      <c r="FU28" s="1" t="s">
        <v>123</v>
      </c>
      <c r="HC28" t="s">
        <v>1296</v>
      </c>
      <c r="HD28" t="s">
        <v>1297</v>
      </c>
      <c r="HE28" t="s">
        <v>1298</v>
      </c>
      <c r="HF28" t="s">
        <v>186</v>
      </c>
      <c r="HG28">
        <v>1987</v>
      </c>
      <c r="HH28" t="str">
        <f>VLOOKUP(AnalizaCzyste[[#This Row],[Rok urodzenia]],KategorieWiekowe[],2,1)</f>
        <v>26–35 lat</v>
      </c>
      <c r="HI28" t="s">
        <v>246</v>
      </c>
      <c r="HK28" t="s">
        <v>1299</v>
      </c>
      <c r="HL28" t="s">
        <v>1300</v>
      </c>
    </row>
    <row r="29" spans="1:221" x14ac:dyDescent="0.45">
      <c r="A29">
        <v>257</v>
      </c>
      <c r="B29">
        <f>_xlfn.IFNA(VLOOKUP(AnalizaCzyste[[#This Row],[Zakończono wypełnianie]],Zakończone[],2,0),"BRAK")</f>
        <v>134</v>
      </c>
      <c r="C29">
        <f>COUNTA(U29:HM29)</f>
        <v>62</v>
      </c>
      <c r="D29" t="s">
        <v>2015</v>
      </c>
      <c r="E29" t="s">
        <v>2016</v>
      </c>
      <c r="F29">
        <v>1430</v>
      </c>
      <c r="G29" s="20" t="s">
        <v>2292</v>
      </c>
      <c r="H29" s="20" t="s">
        <v>2483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" t="s">
        <v>123</v>
      </c>
      <c r="AK29" s="56" t="s">
        <v>124</v>
      </c>
      <c r="AL29" t="s">
        <v>191</v>
      </c>
      <c r="AM29" t="str">
        <f>VLOOKUP(AnalizaCzyste[[#This Row],[Jak się nazywa uczelnia którą ukończyłeś? (proszę o wybranie jednej uczelni podlegającej ocenie)]],KategorieUczelni[],2,0)</f>
        <v>Publiczna</v>
      </c>
      <c r="AN29">
        <v>1989</v>
      </c>
      <c r="AO29" t="s">
        <v>126</v>
      </c>
      <c r="AP29" t="s">
        <v>2017</v>
      </c>
      <c r="AQ29" t="s">
        <v>150</v>
      </c>
      <c r="AR29" t="s">
        <v>150</v>
      </c>
      <c r="AS29" t="s">
        <v>162</v>
      </c>
      <c r="AT29" t="s">
        <v>162</v>
      </c>
      <c r="AU29" t="s">
        <v>162</v>
      </c>
      <c r="AV29">
        <v>0</v>
      </c>
      <c r="AW29" t="s">
        <v>226</v>
      </c>
      <c r="AX29" t="s">
        <v>226</v>
      </c>
      <c r="AY29" t="s">
        <v>2018</v>
      </c>
      <c r="AZ29" t="s">
        <v>1229</v>
      </c>
      <c r="BA29" t="s">
        <v>1229</v>
      </c>
      <c r="BB29" t="s">
        <v>157</v>
      </c>
      <c r="BC29" t="s">
        <v>1271</v>
      </c>
      <c r="BD29" s="56" t="s">
        <v>159</v>
      </c>
      <c r="BE29">
        <v>1</v>
      </c>
      <c r="BF29" t="s">
        <v>191</v>
      </c>
      <c r="BG29">
        <v>2016</v>
      </c>
      <c r="BH29" t="s">
        <v>126</v>
      </c>
      <c r="BI29" t="s">
        <v>2019</v>
      </c>
      <c r="BJ29" t="s">
        <v>150</v>
      </c>
      <c r="BK29" t="s">
        <v>150</v>
      </c>
      <c r="BL29" t="s">
        <v>151</v>
      </c>
      <c r="BM29" t="s">
        <v>128</v>
      </c>
      <c r="BN29" t="s">
        <v>162</v>
      </c>
      <c r="BO29" t="s">
        <v>2020</v>
      </c>
      <c r="BP29" t="s">
        <v>2021</v>
      </c>
      <c r="BQ29" t="s">
        <v>157</v>
      </c>
      <c r="BT29" t="s">
        <v>173</v>
      </c>
      <c r="CX29" s="1" t="s">
        <v>123</v>
      </c>
      <c r="DH29" s="1" t="s">
        <v>123</v>
      </c>
      <c r="DR29" s="1" t="s">
        <v>123</v>
      </c>
      <c r="EU29" s="1" t="s">
        <v>123</v>
      </c>
      <c r="FU29" s="56" t="s">
        <v>2022</v>
      </c>
      <c r="FV29" t="s">
        <v>2023</v>
      </c>
      <c r="FW29" t="s">
        <v>2024</v>
      </c>
      <c r="FX29">
        <v>1</v>
      </c>
      <c r="FY29" t="s">
        <v>191</v>
      </c>
      <c r="FZ29" t="s">
        <v>150</v>
      </c>
      <c r="GA29" t="s">
        <v>150</v>
      </c>
      <c r="GB29" t="s">
        <v>150</v>
      </c>
      <c r="GC29" t="s">
        <v>150</v>
      </c>
      <c r="GD29" t="s">
        <v>150</v>
      </c>
      <c r="GE29" t="s">
        <v>150</v>
      </c>
      <c r="GF29" t="s">
        <v>150</v>
      </c>
      <c r="GH29" t="s">
        <v>2025</v>
      </c>
      <c r="GI29" t="s">
        <v>173</v>
      </c>
      <c r="HC29" t="s">
        <v>1229</v>
      </c>
      <c r="HD29" t="s">
        <v>1229</v>
      </c>
      <c r="HE29" t="s">
        <v>1229</v>
      </c>
      <c r="HF29" t="s">
        <v>186</v>
      </c>
      <c r="HG29">
        <v>1965</v>
      </c>
      <c r="HH29" t="str">
        <f>VLOOKUP(AnalizaCzyste[[#This Row],[Rok urodzenia]],KategorieWiekowe[],2,1)</f>
        <v>46–55 lat</v>
      </c>
      <c r="HI29" t="s">
        <v>220</v>
      </c>
      <c r="HK29" t="s">
        <v>2026</v>
      </c>
      <c r="HM29" t="s">
        <v>2027</v>
      </c>
    </row>
    <row r="30" spans="1:221" x14ac:dyDescent="0.45">
      <c r="A30">
        <v>258</v>
      </c>
      <c r="B30">
        <f>_xlfn.IFNA(VLOOKUP(AnalizaCzyste[[#This Row],[Zakończono wypełnianie]],Zakończone[],2,0),"BRAK")</f>
        <v>135</v>
      </c>
      <c r="C30">
        <f>COUNTA(U30:HM30)</f>
        <v>56</v>
      </c>
      <c r="D30" t="s">
        <v>2028</v>
      </c>
      <c r="E30" t="s">
        <v>2029</v>
      </c>
      <c r="F30">
        <v>721</v>
      </c>
      <c r="G30" s="20" t="s">
        <v>2292</v>
      </c>
      <c r="H30" s="20" t="s">
        <v>2484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" t="s">
        <v>123</v>
      </c>
      <c r="AK30" s="56" t="s">
        <v>124</v>
      </c>
      <c r="AL30" t="s">
        <v>234</v>
      </c>
      <c r="AM30" t="str">
        <f>VLOOKUP(AnalizaCzyste[[#This Row],[Jak się nazywa uczelnia którą ukończyłeś? (proszę o wybranie jednej uczelni podlegającej ocenie)]],KategorieUczelni[],2,0)</f>
        <v>Publiczna</v>
      </c>
      <c r="AN30">
        <v>1985</v>
      </c>
      <c r="AO30" t="s">
        <v>148</v>
      </c>
      <c r="AP30" t="s">
        <v>2030</v>
      </c>
      <c r="AQ30" t="s">
        <v>169</v>
      </c>
      <c r="AR30" t="s">
        <v>169</v>
      </c>
      <c r="AS30" t="s">
        <v>150</v>
      </c>
      <c r="AT30" t="s">
        <v>128</v>
      </c>
      <c r="AU30" t="s">
        <v>128</v>
      </c>
      <c r="AV30">
        <v>4</v>
      </c>
      <c r="AW30" t="s">
        <v>131</v>
      </c>
      <c r="AX30" t="s">
        <v>131</v>
      </c>
      <c r="AY30" t="s">
        <v>2031</v>
      </c>
      <c r="AZ30" t="s">
        <v>1229</v>
      </c>
      <c r="BA30" t="s">
        <v>1229</v>
      </c>
      <c r="BB30" t="s">
        <v>157</v>
      </c>
      <c r="BC30" t="s">
        <v>2032</v>
      </c>
      <c r="BD30" s="1" t="s">
        <v>123</v>
      </c>
      <c r="CX30" s="1" t="s">
        <v>123</v>
      </c>
      <c r="DH30" s="1" t="s">
        <v>123</v>
      </c>
      <c r="DR30" s="56" t="s">
        <v>174</v>
      </c>
      <c r="DS30" t="s">
        <v>394</v>
      </c>
      <c r="DW30" t="s">
        <v>234</v>
      </c>
      <c r="DX30" t="s">
        <v>162</v>
      </c>
      <c r="DY30" t="s">
        <v>162</v>
      </c>
      <c r="DZ30" t="s">
        <v>162</v>
      </c>
      <c r="EA30" t="s">
        <v>132</v>
      </c>
      <c r="EB30" t="s">
        <v>132</v>
      </c>
      <c r="EC30" t="s">
        <v>132</v>
      </c>
      <c r="ED30" t="s">
        <v>162</v>
      </c>
      <c r="EE30">
        <v>20</v>
      </c>
      <c r="EF30">
        <v>60</v>
      </c>
      <c r="EG30">
        <v>0</v>
      </c>
      <c r="EH30">
        <v>0</v>
      </c>
      <c r="EI30">
        <v>0</v>
      </c>
      <c r="EJ30">
        <v>20</v>
      </c>
      <c r="EK30">
        <v>0</v>
      </c>
      <c r="EM30">
        <v>20</v>
      </c>
      <c r="EN30">
        <v>60</v>
      </c>
      <c r="EO30">
        <v>0</v>
      </c>
      <c r="EP30">
        <v>0</v>
      </c>
      <c r="EQ30">
        <v>0</v>
      </c>
      <c r="ER30">
        <v>20</v>
      </c>
      <c r="ES30">
        <v>0</v>
      </c>
      <c r="EU30" s="1" t="s">
        <v>123</v>
      </c>
      <c r="FU30" s="1" t="s">
        <v>123</v>
      </c>
      <c r="HC30" t="s">
        <v>2033</v>
      </c>
      <c r="HD30" t="s">
        <v>1229</v>
      </c>
      <c r="HE30" t="s">
        <v>1229</v>
      </c>
      <c r="HF30" t="s">
        <v>186</v>
      </c>
      <c r="HG30">
        <v>1961</v>
      </c>
      <c r="HH30" t="str">
        <f>VLOOKUP(AnalizaCzyste[[#This Row],[Rok urodzenia]],KategorieWiekowe[],2,1)</f>
        <v>56–65 lat</v>
      </c>
      <c r="HI30" t="s">
        <v>141</v>
      </c>
    </row>
    <row r="31" spans="1:221" x14ac:dyDescent="0.45">
      <c r="A31">
        <v>259</v>
      </c>
      <c r="B31">
        <f>_xlfn.IFNA(VLOOKUP(AnalizaCzyste[[#This Row],[Zakończono wypełnianie]],Zakończone[],2,0),"BRAK")</f>
        <v>136</v>
      </c>
      <c r="C31">
        <f>COUNTA(U31:HM31)</f>
        <v>73</v>
      </c>
      <c r="D31" t="s">
        <v>2034</v>
      </c>
      <c r="E31" t="s">
        <v>2035</v>
      </c>
      <c r="F31">
        <v>1151</v>
      </c>
      <c r="G31" s="20" t="s">
        <v>2292</v>
      </c>
      <c r="H31" s="20" t="s">
        <v>2467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" t="s">
        <v>123</v>
      </c>
      <c r="AK31" s="56" t="s">
        <v>124</v>
      </c>
      <c r="AL31" t="s">
        <v>223</v>
      </c>
      <c r="AM31" t="str">
        <f>VLOOKUP(AnalizaCzyste[[#This Row],[Jak się nazywa uczelnia którą ukończyłeś? (proszę o wybranie jednej uczelni podlegającej ocenie)]],KategorieUczelni[],2,0)</f>
        <v>Publiczna</v>
      </c>
      <c r="AN31">
        <v>1987</v>
      </c>
      <c r="AO31" t="s">
        <v>148</v>
      </c>
      <c r="AP31" t="s">
        <v>554</v>
      </c>
      <c r="AQ31" t="s">
        <v>132</v>
      </c>
      <c r="AR31" t="s">
        <v>132</v>
      </c>
      <c r="AS31" t="s">
        <v>132</v>
      </c>
      <c r="AT31" t="s">
        <v>132</v>
      </c>
      <c r="AU31" t="s">
        <v>132</v>
      </c>
      <c r="AV31" t="s">
        <v>2036</v>
      </c>
      <c r="AW31" t="s">
        <v>132</v>
      </c>
      <c r="AX31" t="s">
        <v>132</v>
      </c>
      <c r="AZ31" t="s">
        <v>1229</v>
      </c>
      <c r="BA31" t="s">
        <v>1229</v>
      </c>
      <c r="BB31" t="s">
        <v>157</v>
      </c>
      <c r="BC31" t="s">
        <v>2037</v>
      </c>
      <c r="BD31" s="56" t="s">
        <v>159</v>
      </c>
      <c r="BE31">
        <v>3</v>
      </c>
      <c r="BF31" t="s">
        <v>191</v>
      </c>
      <c r="BG31">
        <v>2020</v>
      </c>
      <c r="BH31" t="s">
        <v>126</v>
      </c>
      <c r="BI31" t="s">
        <v>2038</v>
      </c>
      <c r="BJ31" t="s">
        <v>150</v>
      </c>
      <c r="BK31" t="s">
        <v>162</v>
      </c>
      <c r="BL31" t="s">
        <v>169</v>
      </c>
      <c r="BM31" t="s">
        <v>150</v>
      </c>
      <c r="BN31" t="s">
        <v>132</v>
      </c>
      <c r="BO31" t="s">
        <v>2039</v>
      </c>
      <c r="BP31" t="s">
        <v>2040</v>
      </c>
      <c r="BQ31" t="s">
        <v>157</v>
      </c>
      <c r="BT31" t="s">
        <v>166</v>
      </c>
      <c r="BU31" t="s">
        <v>191</v>
      </c>
      <c r="BV31">
        <v>2013</v>
      </c>
      <c r="BW31" t="s">
        <v>126</v>
      </c>
      <c r="BX31" t="s">
        <v>1867</v>
      </c>
      <c r="BY31" t="s">
        <v>162</v>
      </c>
      <c r="BZ31" t="s">
        <v>150</v>
      </c>
      <c r="CA31" t="s">
        <v>162</v>
      </c>
      <c r="CB31" t="s">
        <v>162</v>
      </c>
      <c r="CC31" t="s">
        <v>162</v>
      </c>
      <c r="CD31" t="s">
        <v>237</v>
      </c>
      <c r="CF31" t="s">
        <v>157</v>
      </c>
      <c r="CH31" t="s">
        <v>2041</v>
      </c>
      <c r="CI31" t="s">
        <v>238</v>
      </c>
      <c r="CJ31" t="s">
        <v>191</v>
      </c>
      <c r="CK31">
        <v>2016</v>
      </c>
      <c r="CL31" t="s">
        <v>126</v>
      </c>
      <c r="CM31" t="s">
        <v>2042</v>
      </c>
      <c r="CN31" t="s">
        <v>151</v>
      </c>
      <c r="CO31" t="s">
        <v>162</v>
      </c>
      <c r="CP31" t="s">
        <v>150</v>
      </c>
      <c r="CQ31" t="s">
        <v>169</v>
      </c>
      <c r="CR31" t="s">
        <v>150</v>
      </c>
      <c r="CS31" t="s">
        <v>237</v>
      </c>
      <c r="CT31" t="s">
        <v>2043</v>
      </c>
      <c r="CU31" t="s">
        <v>157</v>
      </c>
      <c r="CX31" s="1" t="s">
        <v>123</v>
      </c>
      <c r="DH31" s="1" t="s">
        <v>123</v>
      </c>
      <c r="DR31" s="1" t="s">
        <v>123</v>
      </c>
      <c r="EU31" s="1" t="s">
        <v>123</v>
      </c>
      <c r="FU31" s="1" t="s">
        <v>123</v>
      </c>
      <c r="HC31" t="s">
        <v>1229</v>
      </c>
      <c r="HD31" t="s">
        <v>1229</v>
      </c>
      <c r="HE31" t="s">
        <v>1229</v>
      </c>
      <c r="HF31" t="s">
        <v>186</v>
      </c>
      <c r="HG31">
        <v>1962</v>
      </c>
      <c r="HH31" t="str">
        <f>VLOOKUP(AnalizaCzyste[[#This Row],[Rok urodzenia]],KategorieWiekowe[],2,1)</f>
        <v>56–65 lat</v>
      </c>
      <c r="HI31" t="s">
        <v>141</v>
      </c>
      <c r="HL31" t="s">
        <v>2044</v>
      </c>
      <c r="HM31" t="s">
        <v>2045</v>
      </c>
    </row>
    <row r="32" spans="1:221" x14ac:dyDescent="0.45">
      <c r="A32">
        <v>260</v>
      </c>
      <c r="B32">
        <f>_xlfn.IFNA(VLOOKUP(AnalizaCzyste[[#This Row],[Zakończono wypełnianie]],Zakończone[],2,0),"BRAK")</f>
        <v>137</v>
      </c>
      <c r="C32">
        <f>COUNTA(U32:HM32)</f>
        <v>67</v>
      </c>
      <c r="D32" t="s">
        <v>2046</v>
      </c>
      <c r="E32" t="s">
        <v>2047</v>
      </c>
      <c r="F32">
        <v>707</v>
      </c>
      <c r="G32" s="20" t="s">
        <v>2292</v>
      </c>
      <c r="H32" s="20" t="s">
        <v>2466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" t="s">
        <v>123</v>
      </c>
      <c r="AK32" s="56" t="s">
        <v>124</v>
      </c>
      <c r="AL32" t="s">
        <v>191</v>
      </c>
      <c r="AM32" t="str">
        <f>VLOOKUP(AnalizaCzyste[[#This Row],[Jak się nazywa uczelnia którą ukończyłeś? (proszę o wybranie jednej uczelni podlegającej ocenie)]],KategorieUczelni[],2,0)</f>
        <v>Publiczna</v>
      </c>
      <c r="AN32">
        <v>1985</v>
      </c>
      <c r="AO32" t="s">
        <v>126</v>
      </c>
      <c r="AP32" t="s">
        <v>2017</v>
      </c>
      <c r="AQ32" t="s">
        <v>150</v>
      </c>
      <c r="AR32" t="s">
        <v>150</v>
      </c>
      <c r="AS32" t="s">
        <v>151</v>
      </c>
      <c r="AT32" t="s">
        <v>236</v>
      </c>
      <c r="AU32" t="s">
        <v>150</v>
      </c>
      <c r="AV32" t="s">
        <v>237</v>
      </c>
      <c r="AW32" t="s">
        <v>152</v>
      </c>
      <c r="AX32" t="s">
        <v>759</v>
      </c>
      <c r="AY32" t="s">
        <v>2048</v>
      </c>
      <c r="AZ32" t="s">
        <v>1229</v>
      </c>
      <c r="BA32" t="s">
        <v>1229</v>
      </c>
      <c r="BB32" t="s">
        <v>157</v>
      </c>
      <c r="BC32" t="s">
        <v>2032</v>
      </c>
      <c r="BD32" s="56" t="s">
        <v>159</v>
      </c>
      <c r="BE32">
        <v>1</v>
      </c>
      <c r="BF32" t="s">
        <v>191</v>
      </c>
      <c r="BG32">
        <v>2018</v>
      </c>
      <c r="BH32" t="s">
        <v>126</v>
      </c>
      <c r="BI32" t="s">
        <v>2049</v>
      </c>
      <c r="BJ32" t="s">
        <v>151</v>
      </c>
      <c r="BK32" t="s">
        <v>151</v>
      </c>
      <c r="BL32" t="s">
        <v>128</v>
      </c>
      <c r="BM32" t="s">
        <v>162</v>
      </c>
      <c r="BN32" t="s">
        <v>132</v>
      </c>
      <c r="BO32">
        <v>12</v>
      </c>
      <c r="BP32" t="s">
        <v>2050</v>
      </c>
      <c r="BQ32" t="s">
        <v>157</v>
      </c>
      <c r="BT32" t="s">
        <v>173</v>
      </c>
      <c r="CX32" s="1" t="s">
        <v>123</v>
      </c>
      <c r="DH32" s="1" t="s">
        <v>123</v>
      </c>
      <c r="DR32" s="1" t="s">
        <v>123</v>
      </c>
      <c r="EU32" s="56" t="s">
        <v>177</v>
      </c>
      <c r="EV32" t="s">
        <v>178</v>
      </c>
      <c r="EW32">
        <v>2</v>
      </c>
      <c r="EX32" t="s">
        <v>191</v>
      </c>
      <c r="EY32" t="s">
        <v>151</v>
      </c>
      <c r="EZ32" t="s">
        <v>162</v>
      </c>
      <c r="FA32" t="s">
        <v>151</v>
      </c>
      <c r="FB32" t="s">
        <v>178</v>
      </c>
      <c r="FC32" t="s">
        <v>2051</v>
      </c>
      <c r="FD32" t="s">
        <v>2052</v>
      </c>
      <c r="FE32" t="s">
        <v>1206</v>
      </c>
      <c r="FF32" t="s">
        <v>223</v>
      </c>
      <c r="FG32" t="s">
        <v>162</v>
      </c>
      <c r="FH32" t="s">
        <v>162</v>
      </c>
      <c r="FI32" t="s">
        <v>151</v>
      </c>
      <c r="FJ32" t="s">
        <v>178</v>
      </c>
      <c r="FK32" t="s">
        <v>2053</v>
      </c>
      <c r="FL32" t="s">
        <v>2054</v>
      </c>
      <c r="FM32" t="s">
        <v>173</v>
      </c>
      <c r="FU32" s="1" t="s">
        <v>123</v>
      </c>
      <c r="HC32" t="s">
        <v>1229</v>
      </c>
      <c r="HD32" t="s">
        <v>1229</v>
      </c>
      <c r="HE32" t="s">
        <v>1229</v>
      </c>
      <c r="HF32" t="s">
        <v>186</v>
      </c>
      <c r="HG32">
        <v>1959</v>
      </c>
      <c r="HH32" t="str">
        <f>VLOOKUP(AnalizaCzyste[[#This Row],[Rok urodzenia]],KategorieWiekowe[],2,1)</f>
        <v>56–65 lat</v>
      </c>
      <c r="HI32" t="s">
        <v>141</v>
      </c>
      <c r="HK32" t="s">
        <v>2055</v>
      </c>
      <c r="HM32" t="s">
        <v>2056</v>
      </c>
    </row>
    <row r="33" spans="1:221" x14ac:dyDescent="0.45">
      <c r="A33">
        <v>261</v>
      </c>
      <c r="B33">
        <f>_xlfn.IFNA(VLOOKUP(AnalizaCzyste[[#This Row],[Zakończono wypełnianie]],Zakończone[],2,0),"BRAK")</f>
        <v>138</v>
      </c>
      <c r="C33">
        <f>COUNTA(U33:HM33)</f>
        <v>62</v>
      </c>
      <c r="D33" t="s">
        <v>2057</v>
      </c>
      <c r="E33" t="s">
        <v>2058</v>
      </c>
      <c r="F33">
        <v>616</v>
      </c>
      <c r="G33" s="20" t="s">
        <v>2292</v>
      </c>
      <c r="H33" s="20" t="s">
        <v>2465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" t="s">
        <v>123</v>
      </c>
      <c r="AK33" s="56" t="s">
        <v>124</v>
      </c>
      <c r="AL33" t="s">
        <v>223</v>
      </c>
      <c r="AM33" t="str">
        <f>VLOOKUP(AnalizaCzyste[[#This Row],[Jak się nazywa uczelnia którą ukończyłeś? (proszę o wybranie jednej uczelni podlegającej ocenie)]],KategorieUczelni[],2,0)</f>
        <v>Publiczna</v>
      </c>
      <c r="AN33">
        <v>1992</v>
      </c>
      <c r="AO33" t="s">
        <v>148</v>
      </c>
      <c r="AP33" t="s">
        <v>2059</v>
      </c>
      <c r="AQ33" t="s">
        <v>150</v>
      </c>
      <c r="AR33" t="s">
        <v>169</v>
      </c>
      <c r="AS33" t="s">
        <v>150</v>
      </c>
      <c r="AT33" t="s">
        <v>151</v>
      </c>
      <c r="AU33" t="s">
        <v>162</v>
      </c>
      <c r="AV33">
        <v>0</v>
      </c>
      <c r="AW33" t="s">
        <v>131</v>
      </c>
      <c r="AX33" t="s">
        <v>302</v>
      </c>
      <c r="AY33" t="s">
        <v>2060</v>
      </c>
      <c r="AZ33" t="s">
        <v>1229</v>
      </c>
      <c r="BA33" t="s">
        <v>1229</v>
      </c>
      <c r="BB33" t="s">
        <v>157</v>
      </c>
      <c r="BC33" t="s">
        <v>2032</v>
      </c>
      <c r="BD33" s="56" t="s">
        <v>159</v>
      </c>
      <c r="BE33">
        <v>1</v>
      </c>
      <c r="BF33" t="s">
        <v>445</v>
      </c>
      <c r="BG33">
        <v>2019</v>
      </c>
      <c r="BH33" t="s">
        <v>148</v>
      </c>
      <c r="BI33" t="s">
        <v>461</v>
      </c>
      <c r="BJ33" t="s">
        <v>169</v>
      </c>
      <c r="BK33" t="s">
        <v>169</v>
      </c>
      <c r="BL33" t="s">
        <v>169</v>
      </c>
      <c r="BM33" t="s">
        <v>169</v>
      </c>
      <c r="BN33" t="s">
        <v>132</v>
      </c>
      <c r="BO33" t="s">
        <v>2020</v>
      </c>
      <c r="BP33" t="s">
        <v>2061</v>
      </c>
      <c r="BQ33" t="s">
        <v>157</v>
      </c>
      <c r="BS33" t="s">
        <v>2062</v>
      </c>
      <c r="BT33" t="s">
        <v>173</v>
      </c>
      <c r="CX33" s="1" t="s">
        <v>123</v>
      </c>
      <c r="DH33" s="1" t="s">
        <v>123</v>
      </c>
      <c r="DR33" s="1" t="s">
        <v>123</v>
      </c>
      <c r="EU33" s="1" t="s">
        <v>123</v>
      </c>
      <c r="FU33" s="56" t="s">
        <v>2022</v>
      </c>
      <c r="FV33" t="s">
        <v>2023</v>
      </c>
      <c r="FW33" t="s">
        <v>2063</v>
      </c>
      <c r="FX33">
        <v>1</v>
      </c>
      <c r="FY33" t="s">
        <v>191</v>
      </c>
      <c r="FZ33" t="s">
        <v>150</v>
      </c>
      <c r="GA33" t="s">
        <v>150</v>
      </c>
      <c r="GB33" t="s">
        <v>169</v>
      </c>
      <c r="GC33" t="s">
        <v>169</v>
      </c>
      <c r="GD33" t="s">
        <v>132</v>
      </c>
      <c r="GE33" t="s">
        <v>132</v>
      </c>
      <c r="GF33" t="s">
        <v>169</v>
      </c>
      <c r="GI33" t="s">
        <v>173</v>
      </c>
      <c r="HC33" t="s">
        <v>1229</v>
      </c>
      <c r="HD33" t="s">
        <v>1229</v>
      </c>
      <c r="HE33" t="s">
        <v>1229</v>
      </c>
      <c r="HF33" t="s">
        <v>186</v>
      </c>
      <c r="HG33">
        <v>1968</v>
      </c>
      <c r="HH33" t="str">
        <f>VLOOKUP(AnalizaCzyste[[#This Row],[Rok urodzenia]],KategorieWiekowe[],2,1)</f>
        <v>46–55 lat</v>
      </c>
      <c r="HI33" t="s">
        <v>220</v>
      </c>
      <c r="HK33" t="s">
        <v>2055</v>
      </c>
      <c r="HM33" t="s">
        <v>2064</v>
      </c>
    </row>
    <row r="34" spans="1:221" x14ac:dyDescent="0.45">
      <c r="B34" t="str">
        <f>_xlfn.IFNA(VLOOKUP(AnalizaCzyste[[#This Row],[Zakończono wypełnianie]],Zakończone[],2,0),"BRAK")</f>
        <v>BRAK</v>
      </c>
      <c r="C34">
        <f>COUNTA(U34:HM34)</f>
        <v>12</v>
      </c>
      <c r="G34" s="20" t="s">
        <v>2292</v>
      </c>
      <c r="H34" s="20" t="s">
        <v>2485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" t="s">
        <v>123</v>
      </c>
      <c r="AK34" s="56" t="s">
        <v>124</v>
      </c>
      <c r="AM34" t="e">
        <f>VLOOKUP(AnalizaCzyste[[#This Row],[Jak się nazywa uczelnia którą ukończyłeś? (proszę o wybranie jednej uczelni podlegającej ocenie)]],KategorieUczelni[],2,0)</f>
        <v>#N/A</v>
      </c>
      <c r="BD34" s="1" t="s">
        <v>123</v>
      </c>
      <c r="CX34" s="1" t="s">
        <v>123</v>
      </c>
      <c r="DH34" s="56" t="s">
        <v>214</v>
      </c>
      <c r="DR34" s="1" t="s">
        <v>123</v>
      </c>
      <c r="EU34" s="1" t="s">
        <v>123</v>
      </c>
      <c r="FU34" s="1" t="s">
        <v>123</v>
      </c>
      <c r="HF34" t="s">
        <v>186</v>
      </c>
      <c r="HG34" s="42">
        <v>1972</v>
      </c>
      <c r="HH34" t="str">
        <f>VLOOKUP(AnalizaCzyste[[#This Row],[Rok urodzenia]],KategorieWiekowe[],2,1)</f>
        <v>46–55 lat</v>
      </c>
    </row>
    <row r="35" spans="1:221" x14ac:dyDescent="0.45">
      <c r="B35" t="str">
        <f>_xlfn.IFNA(VLOOKUP(AnalizaCzyste[[#This Row],[Zakończono wypełnianie]],Zakończone[],2,0),"BRAK")</f>
        <v>BRAK</v>
      </c>
      <c r="C35">
        <f>COUNTA(U35:HM35)</f>
        <v>12</v>
      </c>
      <c r="G35" s="20" t="s">
        <v>2292</v>
      </c>
      <c r="H35" s="20" t="s">
        <v>2486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" t="s">
        <v>123</v>
      </c>
      <c r="AK35" s="56" t="s">
        <v>124</v>
      </c>
      <c r="AM35" t="e">
        <f>VLOOKUP(AnalizaCzyste[[#This Row],[Jak się nazywa uczelnia którą ukończyłeś? (proszę o wybranie jednej uczelni podlegającej ocenie)]],KategorieUczelni[],2,0)</f>
        <v>#N/A</v>
      </c>
      <c r="BD35" s="1" t="s">
        <v>123</v>
      </c>
      <c r="CX35" s="1" t="s">
        <v>123</v>
      </c>
      <c r="DH35" s="56" t="s">
        <v>214</v>
      </c>
      <c r="DR35" s="1" t="s">
        <v>123</v>
      </c>
      <c r="EU35" s="1" t="s">
        <v>123</v>
      </c>
      <c r="FU35" s="1" t="s">
        <v>123</v>
      </c>
      <c r="HF35" t="s">
        <v>140</v>
      </c>
      <c r="HG35">
        <v>1985</v>
      </c>
      <c r="HH35" t="str">
        <f>VLOOKUP(AnalizaCzyste[[#This Row],[Rok urodzenia]],KategorieWiekowe[],2,1)</f>
        <v>26–35 lat</v>
      </c>
    </row>
    <row r="36" spans="1:221" ht="14.65" thickBot="1" x14ac:dyDescent="0.5">
      <c r="U36" s="6">
        <f>COUNTA((U3:U35))</f>
        <v>33</v>
      </c>
      <c r="V36" s="1">
        <f>COUNTA((V3:V35))</f>
        <v>2</v>
      </c>
      <c r="W36" s="1">
        <f>COUNTA((W3:W35))</f>
        <v>2</v>
      </c>
      <c r="X36" s="1">
        <f>COUNTA((X3:X35))</f>
        <v>2</v>
      </c>
      <c r="Y36" s="1">
        <f>COUNTA((Y3:Y35))</f>
        <v>2</v>
      </c>
      <c r="Z36" s="1">
        <f>COUNTA((Z3:Z35))</f>
        <v>2</v>
      </c>
      <c r="AA36" s="1">
        <f>COUNTA((AA3:AA35))</f>
        <v>2</v>
      </c>
      <c r="AB36" s="1">
        <f>COUNTA((AB3:AB35))</f>
        <v>2</v>
      </c>
      <c r="AC36" s="1">
        <f>COUNTA((AC3:AC35))</f>
        <v>2</v>
      </c>
      <c r="AD36" s="1">
        <f>COUNTA((AD3:AD35))</f>
        <v>2</v>
      </c>
      <c r="AE36" s="1">
        <f>COUNTA((AE3:AE35))</f>
        <v>2</v>
      </c>
      <c r="AF36" s="1">
        <f>COUNTA((AF3:AF35))</f>
        <v>2</v>
      </c>
      <c r="AG36" s="1">
        <f>COUNTA((AG3:AG35))</f>
        <v>2</v>
      </c>
      <c r="AH36" s="1">
        <f>COUNTA((AH3:AH35))</f>
        <v>1</v>
      </c>
      <c r="AI36" s="1">
        <f>COUNTA((AI3:AI35))</f>
        <v>1</v>
      </c>
      <c r="AJ36" s="1">
        <f>COUNTA((AJ3:AJ35))</f>
        <v>2</v>
      </c>
      <c r="AK36" s="6">
        <f>COUNTA((AK3:AK35))</f>
        <v>33</v>
      </c>
      <c r="AL36" s="1">
        <f>COUNTA((AL3:AL35))</f>
        <v>29</v>
      </c>
      <c r="AM36" s="1"/>
      <c r="AN36" s="1">
        <f>COUNTA((AN3:AN35))</f>
        <v>29</v>
      </c>
      <c r="AO36" s="1">
        <f>COUNTA((AO3:AO35))</f>
        <v>29</v>
      </c>
      <c r="AP36" s="1">
        <f>COUNTA((AP3:AP35))</f>
        <v>29</v>
      </c>
      <c r="AQ36" s="1">
        <f>COUNTA((AQ3:AQ35))</f>
        <v>29</v>
      </c>
      <c r="AR36" s="1">
        <f>COUNTA((AR3:AR35))</f>
        <v>29</v>
      </c>
      <c r="AS36" s="1">
        <f>COUNTA((AS3:AS35))</f>
        <v>29</v>
      </c>
      <c r="AT36" s="1">
        <f>COUNTA((AT3:AT35))</f>
        <v>29</v>
      </c>
      <c r="AU36" s="1">
        <f>COUNTA((AU3:AU35))</f>
        <v>29</v>
      </c>
      <c r="AV36" s="1">
        <f>COUNTA((AV3:AV35))</f>
        <v>29</v>
      </c>
      <c r="AW36" s="1">
        <f>COUNTA((AW3:AW35))</f>
        <v>29</v>
      </c>
      <c r="AX36" s="1">
        <f>COUNTA((AX3:AX35))</f>
        <v>29</v>
      </c>
      <c r="AY36" s="1">
        <f>COUNTA((AY3:AY35))</f>
        <v>28</v>
      </c>
      <c r="AZ36" s="1">
        <f>COUNTA((AZ3:AZ35))</f>
        <v>29</v>
      </c>
      <c r="BA36" s="1">
        <f>COUNTA((BA3:BA35))</f>
        <v>29</v>
      </c>
      <c r="BB36" s="1">
        <f>COUNTA((BB3:BB35))</f>
        <v>26</v>
      </c>
      <c r="BC36" s="1">
        <f>COUNTA((BC3:BC35))</f>
        <v>13</v>
      </c>
      <c r="BD36" s="6">
        <f>COUNTA((BD3:BD35))</f>
        <v>33</v>
      </c>
      <c r="BE36" s="1">
        <f>COUNTA((BE3:BE35))</f>
        <v>12</v>
      </c>
      <c r="BF36" s="1">
        <f>COUNTA((BF3:BF35))</f>
        <v>12</v>
      </c>
      <c r="BG36" s="1">
        <f>COUNTA((BG3:BG35))</f>
        <v>12</v>
      </c>
      <c r="BH36" s="1">
        <f>COUNTA((BH3:BH35))</f>
        <v>12</v>
      </c>
      <c r="BI36" s="1">
        <f>COUNTA((BI3:BI35))</f>
        <v>12</v>
      </c>
      <c r="BJ36" s="1">
        <f>COUNTA((BJ3:BJ35))</f>
        <v>12</v>
      </c>
      <c r="BK36" s="1">
        <f>COUNTA((BK3:BK35))</f>
        <v>12</v>
      </c>
      <c r="BL36" s="1">
        <f>COUNTA((BL3:BL35))</f>
        <v>12</v>
      </c>
      <c r="BM36" s="1">
        <f>COUNTA((BM3:BM35))</f>
        <v>12</v>
      </c>
      <c r="BN36" s="1">
        <f>COUNTA((BN3:BN35))</f>
        <v>12</v>
      </c>
      <c r="BO36" s="1">
        <f>COUNTA((BO3:BO35))</f>
        <v>12</v>
      </c>
      <c r="BP36" s="1">
        <f>COUNTA((BP3:BP35))</f>
        <v>12</v>
      </c>
      <c r="BQ36" s="1">
        <f>COUNTA((BQ3:BQ35))</f>
        <v>12</v>
      </c>
      <c r="BR36" s="1">
        <f>COUNTA((BR3:BR35))</f>
        <v>0</v>
      </c>
      <c r="BS36" s="1">
        <f>COUNTA((BS3:BS35))</f>
        <v>8</v>
      </c>
      <c r="BT36" s="1">
        <f>COUNTA((BT3:BT35))</f>
        <v>12</v>
      </c>
      <c r="BU36" s="1">
        <f>COUNTA((BU3:BU35))</f>
        <v>5</v>
      </c>
      <c r="BV36" s="1">
        <f>COUNTA((BV3:BV35))</f>
        <v>5</v>
      </c>
      <c r="BW36" s="1">
        <f>COUNTA((BW3:BW35))</f>
        <v>5</v>
      </c>
      <c r="BX36" s="1">
        <f>COUNTA((BX3:BX35))</f>
        <v>5</v>
      </c>
      <c r="BY36" s="1">
        <f>COUNTA((BY3:BY35))</f>
        <v>5</v>
      </c>
      <c r="BZ36" s="1">
        <f>COUNTA((BZ3:BZ35))</f>
        <v>5</v>
      </c>
      <c r="CA36" s="1">
        <f>COUNTA((CA3:CA35))</f>
        <v>5</v>
      </c>
      <c r="CB36" s="1">
        <f>COUNTA((CB3:CB35))</f>
        <v>5</v>
      </c>
      <c r="CC36" s="1">
        <f>COUNTA((CC3:CC35))</f>
        <v>5</v>
      </c>
      <c r="CD36" s="1">
        <f>COUNTA((CD3:CD35))</f>
        <v>5</v>
      </c>
      <c r="CE36" s="1">
        <f>COUNTA((CE3:CE35))</f>
        <v>3</v>
      </c>
      <c r="CF36" s="1">
        <f>COUNTA((CF3:CF35))</f>
        <v>5</v>
      </c>
      <c r="CG36" s="1">
        <f>COUNTA((CG3:CG35))</f>
        <v>0</v>
      </c>
      <c r="CH36" s="1">
        <f>COUNTA((CH3:CH35))</f>
        <v>3</v>
      </c>
      <c r="CI36" s="1">
        <f>COUNTA((CI3:CI35))</f>
        <v>5</v>
      </c>
      <c r="CJ36" s="1">
        <f>COUNTA((CJ3:CJ35))</f>
        <v>2</v>
      </c>
      <c r="CK36" s="1">
        <f>COUNTA((CK3:CK35))</f>
        <v>2</v>
      </c>
      <c r="CL36" s="1">
        <f>COUNTA((CL3:CL35))</f>
        <v>2</v>
      </c>
      <c r="CM36" s="1">
        <f>COUNTA((CM3:CM35))</f>
        <v>2</v>
      </c>
      <c r="CN36" s="1">
        <f>COUNTA((CN3:CN35))</f>
        <v>2</v>
      </c>
      <c r="CO36" s="1">
        <f>COUNTA((CO3:CO35))</f>
        <v>2</v>
      </c>
      <c r="CP36" s="1">
        <f>COUNTA((CP3:CP35))</f>
        <v>2</v>
      </c>
      <c r="CQ36" s="1">
        <f>COUNTA((CQ3:CQ35))</f>
        <v>2</v>
      </c>
      <c r="CR36" s="1">
        <f>COUNTA((CR3:CR35))</f>
        <v>2</v>
      </c>
      <c r="CS36" s="1">
        <f>COUNTA((CS3:CS35))</f>
        <v>2</v>
      </c>
      <c r="CT36" s="1">
        <f>COUNTA((CT3:CT35))</f>
        <v>2</v>
      </c>
      <c r="CU36" s="1">
        <f>COUNTA((CU3:CU35))</f>
        <v>2</v>
      </c>
      <c r="CV36" s="1">
        <f>COUNTA((CV3:CV35))</f>
        <v>0</v>
      </c>
      <c r="CW36" s="1">
        <f>COUNTA((CW3:CW35))</f>
        <v>1</v>
      </c>
      <c r="CX36" s="6">
        <f>COUNTA((CX3:CX35))</f>
        <v>33</v>
      </c>
      <c r="DH36" s="6">
        <f>COUNTA((DH3:DH35))</f>
        <v>33</v>
      </c>
      <c r="DR36" s="6">
        <f>COUNTA((DR3:DR35))</f>
        <v>33</v>
      </c>
      <c r="EU36" s="6">
        <f>COUNTA((EU3:EU35))</f>
        <v>33</v>
      </c>
      <c r="FU36" s="6">
        <f>COUNTA((FU3:FU35))</f>
        <v>33</v>
      </c>
      <c r="HF36" s="6">
        <f>COUNTA((HF3:HF35))</f>
        <v>33</v>
      </c>
      <c r="HG36" s="6">
        <f>COUNTA((HG3:HG35))</f>
        <v>33</v>
      </c>
      <c r="HH36" s="6"/>
      <c r="HI36" s="6">
        <f>COUNTA((HI3:HI35))</f>
        <v>31</v>
      </c>
      <c r="HJ36" s="6">
        <f>COUNTA((HJ3:HJ35))</f>
        <v>3</v>
      </c>
      <c r="HK36" s="6">
        <f>COUNTA((HK3:HK35))</f>
        <v>22</v>
      </c>
      <c r="HL36" s="6">
        <f>COUNTA((HL3:HL35))</f>
        <v>11</v>
      </c>
      <c r="HM36" s="6">
        <f>COUNTA((HM3:HM35))</f>
        <v>5</v>
      </c>
    </row>
    <row r="37" spans="1:221" ht="15" thickTop="1" thickBot="1" x14ac:dyDescent="0.5">
      <c r="B37" s="20" t="s">
        <v>2292</v>
      </c>
      <c r="G37" s="7">
        <f>COUNTIF(AnalizaCzyste[Wywiad (tak)],"*"&amp;"Tak"&amp;"*")</f>
        <v>33</v>
      </c>
      <c r="U37" s="7">
        <f>COUNTIF(AnalizaCzyste[Czy jesteś studentem uczelni wyższej?],"*"&amp;"Tak"&amp;"*")</f>
        <v>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>
        <f>COUNTIF(AnalizaCzyste[Czy jesteś absolwentem uczelni wyższej?],"*"&amp;"Tak"&amp;"*")</f>
        <v>33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7">
        <f>COUNTIF(AnalizaCzyste[Czy jesteś rodzicem / opiekunem absolwenta uczelni wyższej?],"*"&amp;"Tak"&amp;"*")</f>
        <v>12</v>
      </c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7">
        <f>COUNTIF(AnalizaCzyste[Czy jesteś aktualnie pracownikiem administracyjnym uczelni wyższej?],"*"&amp;"Tak"&amp;"*")</f>
        <v>4</v>
      </c>
      <c r="CY37" s="8"/>
      <c r="CZ37" s="8"/>
      <c r="DA37" s="8"/>
      <c r="DB37" s="8"/>
      <c r="DC37" s="8"/>
      <c r="DD37" s="8"/>
      <c r="DE37" s="8"/>
      <c r="DF37" s="8"/>
      <c r="DG37" s="8"/>
      <c r="DH37" s="7">
        <f>COUNTIF(AnalizaCzyste[Czy jesteś aktualnie pracownikiem naukowym lub dydaktycznym uczelni wyższej?],"*"&amp;"Tak"&amp;"*")</f>
        <v>12</v>
      </c>
      <c r="DI37" s="8"/>
      <c r="DJ37" s="8"/>
      <c r="DK37" s="8"/>
      <c r="DL37" s="8"/>
      <c r="DM37" s="8"/>
      <c r="DN37" s="8"/>
      <c r="DO37" s="8"/>
      <c r="DP37" s="8"/>
      <c r="DQ37" s="8"/>
      <c r="DR37" s="7">
        <f>COUNTIF(AnalizaCzyste[Czy jesteś przedstawicielem władz uczelni z grupy rektorów, prorektorów, dziekanów, prodziekanów, członków senatu lub członków rady uczelni?],"*"&amp;"Tak"&amp;"*")</f>
        <v>6</v>
      </c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7">
        <f>COUNTIF(AnalizaCzyste[Czy jesteś przedstawicielem firmy, w której są zatrudniani absolwenci uczelni wyższych (tytuł licencjata, magistra lub wyższy)?],"*"&amp;"Tak"&amp;"*")</f>
        <v>9</v>
      </c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7">
        <f>COUNTIF(AnalizaCzyste[Czy jesteś przedstawicielem władz samorządowych lub centralnych Rzeczypospolitej Polskiej?],"*"&amp;"Tak"&amp;"*")</f>
        <v>3</v>
      </c>
      <c r="FV37" s="7">
        <f>COUNTIF(AnalizaCzyste[Proszę wskaż jaki poziom władzy samorządowej lub centralnej reprezentujesz.],"*"&amp;"Tak"&amp;"*")</f>
        <v>0</v>
      </c>
      <c r="FW37" s="7">
        <f>COUNTIF(AnalizaCzyste[Proszę o podanie nazwy organu władzy jaki reprezentujesz.],"*"&amp;"Tak"&amp;"*")</f>
        <v>0</v>
      </c>
      <c r="FX37" s="7">
        <f>COUNTIF(AnalizaCzyste[Ile uczelni będziesz oceniać?26],"*"&amp;"Tak"&amp;"*")</f>
        <v>0</v>
      </c>
      <c r="FY37" s="7">
        <f>COUNTIF(AnalizaCzyste[Jak się nazywa uczelnia, którą ocenisz?],"*"&amp;"Tak"&amp;"*")</f>
        <v>0</v>
      </c>
      <c r="FZ37" s="7">
        <f>COUNTIF(AnalizaCzyste[Efekty działań ocenianej uczelni na rzesz jakości edukacji są zgodne ze strategią rozwoju w regionie.],"*"&amp;"Tak"&amp;"*")</f>
        <v>0</v>
      </c>
      <c r="GA37" s="7">
        <f>COUNTIF(AnalizaCzyste[Wartość wykształcenia zdobywanego przez studentów na ocenianej uczelni jest wysoka.27],"*"&amp;"Tak"&amp;"*")</f>
        <v>0</v>
      </c>
      <c r="GB37" s="7">
        <f>COUNTIF(AnalizaCzyste[Zdobyte przez studentów ocenianej uczelni wykształcenie miało/ma pozytywny wpływ na ich zarobki.28],"*"&amp;"Tak"&amp;"*")</f>
        <v>0</v>
      </c>
      <c r="GC37" s="7">
        <f>COUNTIF(AnalizaCzyste[Efekty działań ocenianej uczelni na rzecz jakości edukacji mają dobry wpływ na rozwój regionu.29],"*"&amp;"Tak"&amp;"*")</f>
        <v>0</v>
      </c>
      <c r="GD37" s="7">
        <f>COUNTIF(AnalizaCzyste[Efekty działań ocenianej uczelni na rzecz jakości edukacji mają dobry wpływ na rozwój Polski.30],"*"&amp;"Tak"&amp;"*")</f>
        <v>0</v>
      </c>
      <c r="GE37" s="7">
        <f>COUNTIF(AnalizaCzyste[Współpraca ocenianej uczelni z biznesem ma pozytywne efekty dla rozwoju regionu / kraju.31],"*"&amp;"Tak"&amp;"*")</f>
        <v>0</v>
      </c>
      <c r="GF37" s="7">
        <f>COUNTIF(AnalizaCzyste[Ogólny poziom mojej satysfakcji z jakości usług edukacyjnych ocenianej uczelni jest wysoki.32],"*"&amp;"Tak"&amp;"*")</f>
        <v>0</v>
      </c>
      <c r="GG37" s="7">
        <f>COUNTIF(AnalizaCzyste[Pole dodatkowe33],"*"&amp;"Tak"&amp;"*")</f>
        <v>0</v>
      </c>
      <c r="GH37" s="7">
        <f>COUNTIF(AnalizaCzyste[Jakie inne efekty pracy ocenianej uczelni technicznej dostrzegasz obecnie?],"*"&amp;"Tak"&amp;"*")</f>
        <v>0</v>
      </c>
      <c r="GI37" s="7">
        <f>COUNTIF(AnalizaCzyste[Czy będziesz oceniać drugą uczelnię?],"*"&amp;"Tak"&amp;"*")</f>
        <v>0</v>
      </c>
      <c r="GJ37" s="7">
        <f>COUNTIF(AnalizaCzyste[Jak się nazywa uczelnia, którą ocenisz?34],"*"&amp;"Tak"&amp;"*")</f>
        <v>0</v>
      </c>
      <c r="GK37" s="7">
        <f>COUNTIF(AnalizaCzyste[Efekty działań ocenianej uczelni na rzesz jakości edukacji są zgodne ze strategią rozwoju w regionie.35],"*"&amp;"Tak"&amp;"*")</f>
        <v>0</v>
      </c>
      <c r="GL37" s="7">
        <f>COUNTIF(AnalizaCzyste[Wartość wykształcenia zdobywanego przez studentów na ocenianej uczelni jest wysoka.36],"*"&amp;"Tak"&amp;"*")</f>
        <v>0</v>
      </c>
      <c r="GM37" s="7">
        <f>COUNTIF(AnalizaCzyste[Zdobyte przez studentów ocenianej uczelni wykształcenie miało/ma pozytywny wpływ na ich zarobki.37],"*"&amp;"Tak"&amp;"*")</f>
        <v>0</v>
      </c>
      <c r="GN37" s="7">
        <f>COUNTIF(AnalizaCzyste[Efekty działań ocenianej uczelni na rzecz jakości edukacji mają dobry wpływ na rozwój regionu.38],"*"&amp;"Tak"&amp;"*")</f>
        <v>0</v>
      </c>
      <c r="GO37" s="7">
        <f>COUNTIF(AnalizaCzyste[Efekty działań ocenianej uczelni na rzecz jakości edukacji mają dobry wpływ na rozwój Polski.39],"*"&amp;"Tak"&amp;"*")</f>
        <v>0</v>
      </c>
      <c r="GP37" s="7">
        <f>COUNTIF(AnalizaCzyste[Współpraca ocenianej uczelni z biznesem ma pozytywne efekty dla rozwoju regionu / kraju.40],"*"&amp;"Tak"&amp;"*")</f>
        <v>0</v>
      </c>
      <c r="GQ37" s="7">
        <f>COUNTIF(AnalizaCzyste[Ogólny poziom mojej satysfakcji z jakości usług edukacyjnych ocenianej uczelni jest wysoki.41],"*"&amp;"Tak"&amp;"*")</f>
        <v>0</v>
      </c>
      <c r="GR37" s="7">
        <f>COUNTIF(AnalizaCzyste[Jakie inne efekty pracy ocenianej uczelni dostrzegasz obecnie?],"*"&amp;"Tak"&amp;"*")</f>
        <v>0</v>
      </c>
      <c r="GS37" s="7">
        <f>COUNTIF(AnalizaCzyste[Czy będziesz oceniać trzecią uczelnię?],"*"&amp;"Tak"&amp;"*")</f>
        <v>0</v>
      </c>
      <c r="GT37" s="7">
        <f>COUNTIF(AnalizaCzyste[Jak się nazywa uczelnia, którą ocenisz?42],"*"&amp;"Tak"&amp;"*")</f>
        <v>0</v>
      </c>
      <c r="GU37" s="7">
        <f>COUNTIF(AnalizaCzyste[Efekty działań ocenianej uczelni na rzesz jakości edukacji są zgodne ze strategią rozwoju w regionie.43],"*"&amp;"Tak"&amp;"*")</f>
        <v>0</v>
      </c>
      <c r="GV37" s="7">
        <f>COUNTIF(AnalizaCzyste[Wartość wykształcenia zdobywanego przez studentów na ocenianej uczelni jest wysoka.44],"*"&amp;"Tak"&amp;"*")</f>
        <v>0</v>
      </c>
      <c r="GW37" s="7">
        <f>COUNTIF(AnalizaCzyste[Zdobyte przez studentów ocenianej uczelni wykształcenie miało/ma pozytywny wpływ na ich zarobki.45],"*"&amp;"Tak"&amp;"*")</f>
        <v>0</v>
      </c>
      <c r="GX37" s="7">
        <f>COUNTIF(AnalizaCzyste[Efekty działań ocenianej uczelni na rzecz jakości edukacji mają dobry wpływ na rozwój regionu.46],"*"&amp;"Tak"&amp;"*")</f>
        <v>0</v>
      </c>
      <c r="GY37" s="7">
        <f>COUNTIF(AnalizaCzyste[Efekty działań ocenianej uczelni na rzecz jakości edukacji mają dobry wpływ na rozwój Polski.47],"*"&amp;"Tak"&amp;"*")</f>
        <v>0</v>
      </c>
      <c r="GZ37" s="7">
        <f>COUNTIF(AnalizaCzyste[Współpraca ocenianej uczelni z biznesem ma pozytywne efekty dla rozwoju regionu / kraju.48],"*"&amp;"Tak"&amp;"*")</f>
        <v>0</v>
      </c>
      <c r="HA37" s="7">
        <f>COUNTIF(AnalizaCzyste[Ogólny poziom mojej satysfakcji z jakości usług edukacyjnych ocenianej uczelni jest wysoki.49],"*"&amp;"Tak"&amp;"*")</f>
        <v>0</v>
      </c>
      <c r="HB37" s="7">
        <f>COUNTIF(AnalizaCzyste[Jakie inne efekty pracy ocenianej uczelni dostrzegasz obecnie?50],"*"&amp;"Tak"&amp;"*")</f>
        <v>0</v>
      </c>
      <c r="HC37" s="7">
        <f>COUNTIF(AnalizaCzyste[Jakie, Twoim zdaniem, elementy decydują o tym, że uczelnie są lepsze lub gorsze.],"*"&amp;"Tak"&amp;"*")</f>
        <v>1</v>
      </c>
      <c r="HD37" s="7">
        <f>COUNTIF(AnalizaCzyste[Kolumna51],"*"&amp;"Tak"&amp;"*")</f>
        <v>2</v>
      </c>
      <c r="HE37" s="7">
        <f>COUNTIF(AnalizaCzyste[Kolumna52],"*"&amp;"Tak"&amp;"*")</f>
        <v>1</v>
      </c>
      <c r="HF37" s="7">
        <f>COUNTIF(AnalizaCzyste[Płeć],"*"&amp;"Mężczyzna"&amp;"*")</f>
        <v>27</v>
      </c>
      <c r="HG37" s="7">
        <f>COUNTIF(AnalizaCzyste[Rok urodzenia],"*"&amp;"Tak"&amp;"*")</f>
        <v>0</v>
      </c>
      <c r="HH37" s="7"/>
      <c r="HI37" s="7">
        <f>COUNTIF(AnalizaCzyste[Z jakiej wielkości miejscowości pochodzisz? (dotyczy miejscowości, w której się wychowałaś/eś],"*"&amp;"Tak"&amp;"*")</f>
        <v>0</v>
      </c>
    </row>
    <row r="38" spans="1:221" ht="15" thickTop="1" thickBot="1" x14ac:dyDescent="0.5">
      <c r="B38" s="20" t="s">
        <v>2293</v>
      </c>
      <c r="U38" s="7">
        <f>COUNTIF(AnalizaCzyste[Czy jesteś studentem uczelni wyższej?],"*"&amp;"Nie (przejście"&amp;"*")</f>
        <v>31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>
        <f>COUNTIF(AnalizaCzyste[Czy jesteś absolwentem uczelni wyższej?],"*"&amp;"Nie (przejście"&amp;"*")</f>
        <v>0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7">
        <f>COUNTIF(AnalizaCzyste[Czy jesteś rodzicem / opiekunem absolwenta uczelni wyższej?],"*"&amp;"Nie (przejście"&amp;"*")</f>
        <v>21</v>
      </c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7">
        <f>COUNTIF(AnalizaCzyste[Czy jesteś aktualnie pracownikiem administracyjnym uczelni wyższej?],"*"&amp;"Nie (przejście"&amp;"*")</f>
        <v>29</v>
      </c>
      <c r="CY38" s="8"/>
      <c r="CZ38" s="8"/>
      <c r="DA38" s="8"/>
      <c r="DB38" s="8"/>
      <c r="DC38" s="8"/>
      <c r="DD38" s="8"/>
      <c r="DE38" s="8"/>
      <c r="DF38" s="8"/>
      <c r="DG38" s="8"/>
      <c r="DH38" s="7">
        <f>COUNTIF(AnalizaCzyste[Czy jesteś aktualnie pracownikiem naukowym lub dydaktycznym uczelni wyższej?],"*"&amp;"Nie (przejście"&amp;"*")</f>
        <v>21</v>
      </c>
      <c r="DI38" s="8"/>
      <c r="DJ38" s="8"/>
      <c r="DK38" s="8"/>
      <c r="DL38" s="8"/>
      <c r="DM38" s="8"/>
      <c r="DN38" s="8"/>
      <c r="DO38" s="8"/>
      <c r="DP38" s="8"/>
      <c r="DQ38" s="8"/>
      <c r="DR38" s="7">
        <f>COUNTIF(AnalizaCzyste[Czy jesteś przedstawicielem władz uczelni z grupy rektorów, prorektorów, dziekanów, prodziekanów, członków senatu lub członków rady uczelni?],"*"&amp;"Nie (przejście"&amp;"*")</f>
        <v>27</v>
      </c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7">
        <f>COUNTIF(AnalizaCzyste[Czy jesteś przedstawicielem firmy, w której są zatrudniani absolwenci uczelni wyższych (tytuł licencjata, magistra lub wyższy)?],"*"&amp;"Nie (przejście"&amp;"*")</f>
        <v>24</v>
      </c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7">
        <f>COUNTIF(AnalizaCzyste[Czy jesteś przedstawicielem władz samorządowych lub centralnych Rzeczypospolitej Polskiej?],"*"&amp;"Nie (przejście"&amp;"*")</f>
        <v>30</v>
      </c>
      <c r="FV38" s="7">
        <f>COUNTIF(AnalizaCzyste[Proszę wskaż jaki poziom władzy samorządowej lub centralnej reprezentujesz.],"*"&amp;"Nie (przejście"&amp;"*")</f>
        <v>0</v>
      </c>
      <c r="FW38" s="7">
        <f>COUNTIF(AnalizaCzyste[Proszę o podanie nazwy organu władzy jaki reprezentujesz.],"*"&amp;"Nie (przejście"&amp;"*")</f>
        <v>0</v>
      </c>
      <c r="FX38" s="7">
        <f>COUNTIF(AnalizaCzyste[Ile uczelni będziesz oceniać?26],"*"&amp;"Nie (przejście"&amp;"*")</f>
        <v>0</v>
      </c>
      <c r="FY38" s="7">
        <f>COUNTIF(AnalizaCzyste[Jak się nazywa uczelnia, którą ocenisz?],"*"&amp;"Nie (przejście"&amp;"*")</f>
        <v>0</v>
      </c>
      <c r="FZ38" s="7">
        <f>COUNTIF(AnalizaCzyste[Efekty działań ocenianej uczelni na rzesz jakości edukacji są zgodne ze strategią rozwoju w regionie.],"*"&amp;"Nie (przejście"&amp;"*")</f>
        <v>0</v>
      </c>
      <c r="GA38" s="7">
        <f>COUNTIF(AnalizaCzyste[Wartość wykształcenia zdobywanego przez studentów na ocenianej uczelni jest wysoka.27],"*"&amp;"Nie (przejście"&amp;"*")</f>
        <v>0</v>
      </c>
      <c r="GB38" s="7">
        <f>COUNTIF(AnalizaCzyste[Zdobyte przez studentów ocenianej uczelni wykształcenie miało/ma pozytywny wpływ na ich zarobki.28],"*"&amp;"Nie (przejście"&amp;"*")</f>
        <v>0</v>
      </c>
      <c r="GC38" s="7">
        <f>COUNTIF(AnalizaCzyste[Efekty działań ocenianej uczelni na rzecz jakości edukacji mają dobry wpływ na rozwój regionu.29],"*"&amp;"Nie (przejście"&amp;"*")</f>
        <v>0</v>
      </c>
      <c r="GD38" s="7">
        <f>COUNTIF(AnalizaCzyste[Efekty działań ocenianej uczelni na rzecz jakości edukacji mają dobry wpływ na rozwój Polski.30],"*"&amp;"Nie (przejście"&amp;"*")</f>
        <v>0</v>
      </c>
      <c r="GE38" s="7">
        <f>COUNTIF(AnalizaCzyste[Współpraca ocenianej uczelni z biznesem ma pozytywne efekty dla rozwoju regionu / kraju.31],"*"&amp;"Nie (przejście"&amp;"*")</f>
        <v>0</v>
      </c>
      <c r="GF38" s="7">
        <f>COUNTIF(AnalizaCzyste[Ogólny poziom mojej satysfakcji z jakości usług edukacyjnych ocenianej uczelni jest wysoki.32],"*"&amp;"Nie (przejście"&amp;"*")</f>
        <v>0</v>
      </c>
      <c r="GG38" s="7">
        <f>COUNTIF(AnalizaCzyste[Pole dodatkowe33],"*"&amp;"Nie (przejście"&amp;"*")</f>
        <v>0</v>
      </c>
      <c r="GH38" s="7">
        <f>COUNTIF(AnalizaCzyste[Jakie inne efekty pracy ocenianej uczelni technicznej dostrzegasz obecnie?],"*"&amp;"Nie (przejście"&amp;"*")</f>
        <v>0</v>
      </c>
      <c r="GI38" s="7">
        <f>COUNTIF(AnalizaCzyste[Czy będziesz oceniać drugą uczelnię?],"*"&amp;"Nie (przejście"&amp;"*")</f>
        <v>2</v>
      </c>
      <c r="GJ38" s="7">
        <f>COUNTIF(AnalizaCzyste[Jak się nazywa uczelnia, którą ocenisz?34],"*"&amp;"Nie (przejście"&amp;"*")</f>
        <v>0</v>
      </c>
      <c r="GK38" s="7">
        <f>COUNTIF(AnalizaCzyste[Efekty działań ocenianej uczelni na rzesz jakości edukacji są zgodne ze strategią rozwoju w regionie.35],"*"&amp;"Nie (przejście"&amp;"*")</f>
        <v>0</v>
      </c>
      <c r="GL38" s="7">
        <f>COUNTIF(AnalizaCzyste[Wartość wykształcenia zdobywanego przez studentów na ocenianej uczelni jest wysoka.36],"*"&amp;"Nie (przejście"&amp;"*")</f>
        <v>0</v>
      </c>
      <c r="GM38" s="7">
        <f>COUNTIF(AnalizaCzyste[Zdobyte przez studentów ocenianej uczelni wykształcenie miało/ma pozytywny wpływ na ich zarobki.37],"*"&amp;"Nie (przejście"&amp;"*")</f>
        <v>0</v>
      </c>
      <c r="GN38" s="7">
        <f>COUNTIF(AnalizaCzyste[Efekty działań ocenianej uczelni na rzecz jakości edukacji mają dobry wpływ na rozwój regionu.38],"*"&amp;"Nie (przejście"&amp;"*")</f>
        <v>0</v>
      </c>
      <c r="GO38" s="7">
        <f>COUNTIF(AnalizaCzyste[Efekty działań ocenianej uczelni na rzecz jakości edukacji mają dobry wpływ na rozwój Polski.39],"*"&amp;"Nie (przejście"&amp;"*")</f>
        <v>0</v>
      </c>
      <c r="GP38" s="7">
        <f>COUNTIF(AnalizaCzyste[Współpraca ocenianej uczelni z biznesem ma pozytywne efekty dla rozwoju regionu / kraju.40],"*"&amp;"Nie (przejście"&amp;"*")</f>
        <v>0</v>
      </c>
      <c r="GQ38" s="7">
        <f>COUNTIF(AnalizaCzyste[Ogólny poziom mojej satysfakcji z jakości usług edukacyjnych ocenianej uczelni jest wysoki.41],"*"&amp;"Nie (przejście"&amp;"*")</f>
        <v>0</v>
      </c>
      <c r="GR38" s="7">
        <f>COUNTIF(AnalizaCzyste[Jakie inne efekty pracy ocenianej uczelni dostrzegasz obecnie?],"*"&amp;"Nie (przejście"&amp;"*")</f>
        <v>0</v>
      </c>
      <c r="GS38" s="7">
        <f>COUNTIF(AnalizaCzyste[Czy będziesz oceniać trzecią uczelnię?],"*"&amp;"Nie (przejście"&amp;"*")</f>
        <v>0</v>
      </c>
      <c r="GT38" s="7">
        <f>COUNTIF(AnalizaCzyste[Jak się nazywa uczelnia, którą ocenisz?42],"*"&amp;"Nie (przejście"&amp;"*")</f>
        <v>0</v>
      </c>
      <c r="GU38" s="7">
        <f>COUNTIF(AnalizaCzyste[Efekty działań ocenianej uczelni na rzesz jakości edukacji są zgodne ze strategią rozwoju w regionie.43],"*"&amp;"Nie (przejście"&amp;"*")</f>
        <v>0</v>
      </c>
      <c r="GV38" s="7">
        <f>COUNTIF(AnalizaCzyste[Wartość wykształcenia zdobywanego przez studentów na ocenianej uczelni jest wysoka.44],"*"&amp;"Nie (przejście"&amp;"*")</f>
        <v>0</v>
      </c>
      <c r="GW38" s="7">
        <f>COUNTIF(AnalizaCzyste[Zdobyte przez studentów ocenianej uczelni wykształcenie miało/ma pozytywny wpływ na ich zarobki.45],"*"&amp;"Nie (przejście"&amp;"*")</f>
        <v>0</v>
      </c>
      <c r="GX38" s="7">
        <f>COUNTIF(AnalizaCzyste[Efekty działań ocenianej uczelni na rzecz jakości edukacji mają dobry wpływ na rozwój regionu.46],"*"&amp;"Nie (przejście"&amp;"*")</f>
        <v>0</v>
      </c>
      <c r="GY38" s="7">
        <f>COUNTIF(AnalizaCzyste[Efekty działań ocenianej uczelni na rzecz jakości edukacji mają dobry wpływ na rozwój Polski.47],"*"&amp;"Nie (przejście"&amp;"*")</f>
        <v>0</v>
      </c>
      <c r="GZ38" s="7">
        <f>COUNTIF(AnalizaCzyste[Współpraca ocenianej uczelni z biznesem ma pozytywne efekty dla rozwoju regionu / kraju.48],"*"&amp;"Nie (przejście"&amp;"*")</f>
        <v>0</v>
      </c>
      <c r="HA38" s="7">
        <f>COUNTIF(AnalizaCzyste[Ogólny poziom mojej satysfakcji z jakości usług edukacyjnych ocenianej uczelni jest wysoki.49],"*"&amp;"Nie (przejście"&amp;"*")</f>
        <v>0</v>
      </c>
      <c r="HB38" s="7">
        <f>COUNTIF(AnalizaCzyste[Jakie inne efekty pracy ocenianej uczelni dostrzegasz obecnie?50],"*"&amp;"Nie (przejście"&amp;"*")</f>
        <v>0</v>
      </c>
      <c r="HC38" s="7">
        <f>COUNTIF(AnalizaCzyste[Jakie, Twoim zdaniem, elementy decydują o tym, że uczelnie są lepsze lub gorsze.],"*"&amp;"Nie (przejście"&amp;"*")</f>
        <v>0</v>
      </c>
      <c r="HD38" s="7">
        <f>COUNTIF(AnalizaCzyste[Kolumna51],"*"&amp;"Nie (przejście"&amp;"*")</f>
        <v>0</v>
      </c>
      <c r="HE38" s="7">
        <f>COUNTIF(AnalizaCzyste[Kolumna52],"*"&amp;"Nie (przejście"&amp;"*")</f>
        <v>0</v>
      </c>
      <c r="HF38" s="7">
        <f>COUNTIF(AnalizaCzyste[Płeć],"*"&amp;"Kobieta"&amp;"*")</f>
        <v>6</v>
      </c>
      <c r="HG38" s="7">
        <f>COUNTIF(AnalizaCzyste[Rok urodzenia],"*"&amp;"Nie (przejście"&amp;"*")</f>
        <v>0</v>
      </c>
      <c r="HH38" s="7"/>
      <c r="HI38" s="7">
        <f>COUNTIF(AnalizaCzyste[Z jakiej wielkości miejscowości pochodzisz? (dotyczy miejscowości, w której się wychowałaś/eś],"*"&amp;"Nie (przejście"&amp;"*")</f>
        <v>0</v>
      </c>
    </row>
    <row r="39" spans="1:221" ht="14.65" thickTop="1" x14ac:dyDescent="0.45">
      <c r="B39" s="20" t="s">
        <v>2294</v>
      </c>
      <c r="U39" s="7">
        <f>COUNTBLANK(AnalizaCzyste[Czy jesteś studentem uczelni wyższej?])</f>
        <v>0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>
        <f>COUNTBLANK(AnalizaCzyste[Czy jesteś absolwentem uczelni wyższej?])</f>
        <v>0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7">
        <f>COUNTBLANK(AnalizaCzyste[Czy jesteś rodzicem / opiekunem absolwenta uczelni wyższej?])</f>
        <v>0</v>
      </c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7">
        <f>COUNTBLANK(AnalizaCzyste[Czy jesteś aktualnie pracownikiem administracyjnym uczelni wyższej?])</f>
        <v>0</v>
      </c>
      <c r="CY39" s="8"/>
      <c r="CZ39" s="8"/>
      <c r="DA39" s="8"/>
      <c r="DB39" s="8"/>
      <c r="DC39" s="8"/>
      <c r="DD39" s="8"/>
      <c r="DE39" s="8"/>
      <c r="DF39" s="8"/>
      <c r="DG39" s="8"/>
      <c r="DH39" s="7">
        <f>COUNTBLANK(AnalizaCzyste[Czy jesteś aktualnie pracownikiem naukowym lub dydaktycznym uczelni wyższej?])</f>
        <v>0</v>
      </c>
      <c r="DI39" s="8"/>
      <c r="DJ39" s="8"/>
      <c r="DK39" s="8"/>
      <c r="DL39" s="8"/>
      <c r="DM39" s="8"/>
      <c r="DN39" s="8"/>
      <c r="DO39" s="8"/>
      <c r="DP39" s="8"/>
      <c r="DQ39" s="8"/>
      <c r="DR39" s="7">
        <f>COUNTBLANK(AnalizaCzyste[Czy jesteś przedstawicielem władz uczelni z grupy rektorów, prorektorów, dziekanów, prodziekanów, członków senatu lub członków rady uczelni?])</f>
        <v>0</v>
      </c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7">
        <f>COUNTBLANK(AnalizaCzyste[Czy jesteś przedstawicielem firmy, w której są zatrudniani absolwenci uczelni wyższych (tytuł licencjata, magistra lub wyższy)?])</f>
        <v>0</v>
      </c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7">
        <f>COUNTBLANK(AnalizaCzyste[Czy jesteś przedstawicielem władz samorządowych lub centralnych Rzeczypospolitej Polskiej?])</f>
        <v>0</v>
      </c>
      <c r="FV39" s="7">
        <f>COUNTBLANK(AnalizaCzyste[Proszę wskaż jaki poziom władzy samorządowej lub centralnej reprezentujesz.])</f>
        <v>17</v>
      </c>
      <c r="FW39" s="7">
        <f>COUNTBLANK(AnalizaCzyste[Proszę o podanie nazwy organu władzy jaki reprezentujesz.])</f>
        <v>31</v>
      </c>
      <c r="FX39" s="7">
        <f>COUNTBLANK(AnalizaCzyste[Ile uczelni będziesz oceniać?26])</f>
        <v>21</v>
      </c>
      <c r="FY39" s="7">
        <f>COUNTBLANK(AnalizaCzyste[Jak się nazywa uczelnia, którą ocenisz?])</f>
        <v>31</v>
      </c>
      <c r="FZ39" s="7">
        <f>COUNTBLANK(AnalizaCzyste[Efekty działań ocenianej uczelni na rzesz jakości edukacji są zgodne ze strategią rozwoju w regionie.])</f>
        <v>31</v>
      </c>
      <c r="GA39" s="7">
        <f>COUNTBLANK(AnalizaCzyste[Wartość wykształcenia zdobywanego przez studentów na ocenianej uczelni jest wysoka.27])</f>
        <v>31</v>
      </c>
      <c r="GB39" s="7">
        <f>COUNTBLANK(AnalizaCzyste[Zdobyte przez studentów ocenianej uczelni wykształcenie miało/ma pozytywny wpływ na ich zarobki.28])</f>
        <v>31</v>
      </c>
      <c r="GC39" s="7">
        <f>COUNTBLANK(AnalizaCzyste[Efekty działań ocenianej uczelni na rzecz jakości edukacji mają dobry wpływ na rozwój regionu.29])</f>
        <v>31</v>
      </c>
      <c r="GD39" s="7">
        <f>COUNTBLANK(AnalizaCzyste[Efekty działań ocenianej uczelni na rzecz jakości edukacji mają dobry wpływ na rozwój Polski.30])</f>
        <v>31</v>
      </c>
      <c r="GE39" s="7">
        <f>COUNTBLANK(AnalizaCzyste[Współpraca ocenianej uczelni z biznesem ma pozytywne efekty dla rozwoju regionu / kraju.31])</f>
        <v>31</v>
      </c>
      <c r="GF39" s="7">
        <f>COUNTBLANK(AnalizaCzyste[Ogólny poziom mojej satysfakcji z jakości usług edukacyjnych ocenianej uczelni jest wysoki.32])</f>
        <v>31</v>
      </c>
      <c r="GG39" s="7">
        <f>COUNTBLANK(AnalizaCzyste[Pole dodatkowe33])</f>
        <v>33</v>
      </c>
      <c r="GH39" s="7">
        <f>COUNTBLANK(AnalizaCzyste[Jakie inne efekty pracy ocenianej uczelni technicznej dostrzegasz obecnie?])</f>
        <v>32</v>
      </c>
      <c r="GI39" s="7">
        <f>COUNTBLANK(AnalizaCzyste[Czy będziesz oceniać drugą uczelnię?])</f>
        <v>31</v>
      </c>
      <c r="GJ39" s="7">
        <f>COUNTBLANK(AnalizaCzyste[Jak się nazywa uczelnia, którą ocenisz?34])</f>
        <v>33</v>
      </c>
      <c r="GK39" s="7">
        <f>COUNTBLANK(AnalizaCzyste[Efekty działań ocenianej uczelni na rzesz jakości edukacji są zgodne ze strategią rozwoju w regionie.35])</f>
        <v>33</v>
      </c>
      <c r="GL39" s="7">
        <f>COUNTBLANK(AnalizaCzyste[Wartość wykształcenia zdobywanego przez studentów na ocenianej uczelni jest wysoka.36])</f>
        <v>33</v>
      </c>
      <c r="GM39" s="7">
        <f>COUNTBLANK(AnalizaCzyste[Zdobyte przez studentów ocenianej uczelni wykształcenie miało/ma pozytywny wpływ na ich zarobki.37])</f>
        <v>33</v>
      </c>
      <c r="GN39" s="7">
        <f>COUNTBLANK(AnalizaCzyste[Efekty działań ocenianej uczelni na rzecz jakości edukacji mają dobry wpływ na rozwój regionu.38])</f>
        <v>33</v>
      </c>
      <c r="GO39" s="7">
        <f>COUNTBLANK(AnalizaCzyste[Efekty działań ocenianej uczelni na rzecz jakości edukacji mają dobry wpływ na rozwój Polski.39])</f>
        <v>33</v>
      </c>
      <c r="GP39" s="7">
        <f>COUNTBLANK(AnalizaCzyste[Współpraca ocenianej uczelni z biznesem ma pozytywne efekty dla rozwoju regionu / kraju.40])</f>
        <v>33</v>
      </c>
      <c r="GQ39" s="7">
        <f>COUNTBLANK(AnalizaCzyste[Ogólny poziom mojej satysfakcji z jakości usług edukacyjnych ocenianej uczelni jest wysoki.41])</f>
        <v>33</v>
      </c>
      <c r="GR39" s="7">
        <f>COUNTBLANK(AnalizaCzyste[Jakie inne efekty pracy ocenianej uczelni dostrzegasz obecnie?])</f>
        <v>33</v>
      </c>
      <c r="GS39" s="7">
        <f>COUNTBLANK(AnalizaCzyste[Czy będziesz oceniać trzecią uczelnię?])</f>
        <v>33</v>
      </c>
      <c r="GT39" s="7">
        <f>COUNTBLANK(AnalizaCzyste[Jak się nazywa uczelnia, którą ocenisz?42])</f>
        <v>33</v>
      </c>
      <c r="GU39" s="7">
        <f>COUNTBLANK(AnalizaCzyste[Efekty działań ocenianej uczelni na rzesz jakości edukacji są zgodne ze strategią rozwoju w regionie.43])</f>
        <v>33</v>
      </c>
      <c r="GV39" s="7">
        <f>COUNTBLANK(AnalizaCzyste[Wartość wykształcenia zdobywanego przez studentów na ocenianej uczelni jest wysoka.44])</f>
        <v>33</v>
      </c>
      <c r="GW39" s="7">
        <f>COUNTBLANK(AnalizaCzyste[Zdobyte przez studentów ocenianej uczelni wykształcenie miało/ma pozytywny wpływ na ich zarobki.45])</f>
        <v>33</v>
      </c>
      <c r="GX39" s="7">
        <f>COUNTBLANK(AnalizaCzyste[Efekty działań ocenianej uczelni na rzecz jakości edukacji mają dobry wpływ na rozwój regionu.46])</f>
        <v>33</v>
      </c>
      <c r="GY39" s="7">
        <f>COUNTBLANK(AnalizaCzyste[Efekty działań ocenianej uczelni na rzecz jakości edukacji mają dobry wpływ na rozwój Polski.47])</f>
        <v>33</v>
      </c>
      <c r="GZ39" s="7">
        <f>COUNTBLANK(AnalizaCzyste[Współpraca ocenianej uczelni z biznesem ma pozytywne efekty dla rozwoju regionu / kraju.48])</f>
        <v>33</v>
      </c>
      <c r="HA39" s="7">
        <f>COUNTBLANK(AnalizaCzyste[Ogólny poziom mojej satysfakcji z jakości usług edukacyjnych ocenianej uczelni jest wysoki.49])</f>
        <v>33</v>
      </c>
      <c r="HB39" s="7">
        <f>COUNTBLANK(AnalizaCzyste[Jakie inne efekty pracy ocenianej uczelni dostrzegasz obecnie?50])</f>
        <v>33</v>
      </c>
      <c r="HC39" s="7">
        <f>COUNTBLANK(AnalizaCzyste[Jakie, Twoim zdaniem, elementy decydują o tym, że uczelnie są lepsze lub gorsze.])</f>
        <v>2</v>
      </c>
      <c r="HD39" s="7">
        <f>COUNTBLANK(AnalizaCzyste[Kolumna51])</f>
        <v>2</v>
      </c>
      <c r="HE39" s="7">
        <f>COUNTBLANK(AnalizaCzyste[Kolumna52])</f>
        <v>2</v>
      </c>
      <c r="HF39" s="7">
        <f>COUNTBLANK(AnalizaCzyste[Płeć])</f>
        <v>0</v>
      </c>
      <c r="HG39" s="7">
        <f>COUNTBLANK(AnalizaCzyste[Rok urodzenia])</f>
        <v>0</v>
      </c>
      <c r="HH39" s="7"/>
      <c r="HI39" s="7">
        <f>COUNTBLANK(AnalizaCzyste[Z jakiej wielkości miejscowości pochodzisz? (dotyczy miejscowości, w której się wychowałaś/eś])</f>
        <v>2</v>
      </c>
    </row>
    <row r="40" spans="1:221" ht="14.65" thickBot="1" x14ac:dyDescent="0.5">
      <c r="U40">
        <f t="shared" ref="U40:CG40" si="0">SUM(U37:U39)</f>
        <v>33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0</v>
      </c>
      <c r="AB40">
        <f t="shared" si="0"/>
        <v>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0</v>
      </c>
      <c r="AI40">
        <f t="shared" si="0"/>
        <v>0</v>
      </c>
      <c r="AJ40">
        <f t="shared" si="0"/>
        <v>0</v>
      </c>
      <c r="AK40">
        <f t="shared" si="0"/>
        <v>33</v>
      </c>
      <c r="AL40">
        <f t="shared" si="0"/>
        <v>0</v>
      </c>
      <c r="AN40">
        <f t="shared" si="0"/>
        <v>0</v>
      </c>
      <c r="AO40">
        <f t="shared" si="0"/>
        <v>0</v>
      </c>
      <c r="AP40">
        <f t="shared" si="0"/>
        <v>0</v>
      </c>
      <c r="AQ40">
        <f t="shared" si="0"/>
        <v>0</v>
      </c>
      <c r="AR40">
        <f t="shared" si="0"/>
        <v>0</v>
      </c>
      <c r="AS40">
        <f t="shared" si="0"/>
        <v>0</v>
      </c>
      <c r="AT40">
        <f t="shared" si="0"/>
        <v>0</v>
      </c>
      <c r="AU40">
        <f t="shared" si="0"/>
        <v>0</v>
      </c>
      <c r="AV40">
        <f t="shared" si="0"/>
        <v>0</v>
      </c>
      <c r="AW40">
        <f t="shared" si="0"/>
        <v>0</v>
      </c>
      <c r="AX40">
        <f t="shared" si="0"/>
        <v>0</v>
      </c>
      <c r="AY40">
        <f t="shared" si="0"/>
        <v>0</v>
      </c>
      <c r="AZ40">
        <f t="shared" si="0"/>
        <v>0</v>
      </c>
      <c r="BA40">
        <f t="shared" si="0"/>
        <v>0</v>
      </c>
      <c r="BB40">
        <f t="shared" si="0"/>
        <v>0</v>
      </c>
      <c r="BC40">
        <f t="shared" si="0"/>
        <v>0</v>
      </c>
      <c r="BD40">
        <f t="shared" si="0"/>
        <v>33</v>
      </c>
      <c r="BE40">
        <f t="shared" si="0"/>
        <v>0</v>
      </c>
      <c r="BF40">
        <f t="shared" si="0"/>
        <v>0</v>
      </c>
      <c r="BG40">
        <f t="shared" si="0"/>
        <v>0</v>
      </c>
      <c r="BH40">
        <f t="shared" si="0"/>
        <v>0</v>
      </c>
      <c r="BI40">
        <f t="shared" si="0"/>
        <v>0</v>
      </c>
      <c r="BJ40">
        <f t="shared" si="0"/>
        <v>0</v>
      </c>
      <c r="BK40">
        <f t="shared" si="0"/>
        <v>0</v>
      </c>
      <c r="BL40">
        <f t="shared" si="0"/>
        <v>0</v>
      </c>
      <c r="BM40">
        <f t="shared" si="0"/>
        <v>0</v>
      </c>
      <c r="BN40">
        <f t="shared" si="0"/>
        <v>0</v>
      </c>
      <c r="BO40">
        <f t="shared" si="0"/>
        <v>0</v>
      </c>
      <c r="BP40">
        <f t="shared" si="0"/>
        <v>0</v>
      </c>
      <c r="BQ40">
        <f t="shared" si="0"/>
        <v>0</v>
      </c>
      <c r="BR40">
        <f t="shared" si="0"/>
        <v>0</v>
      </c>
      <c r="BS40">
        <f t="shared" si="0"/>
        <v>0</v>
      </c>
      <c r="BT40">
        <f t="shared" si="0"/>
        <v>0</v>
      </c>
      <c r="BU40">
        <f t="shared" si="0"/>
        <v>0</v>
      </c>
      <c r="BV40">
        <f t="shared" si="0"/>
        <v>0</v>
      </c>
      <c r="BW40">
        <f t="shared" si="0"/>
        <v>0</v>
      </c>
      <c r="BX40">
        <f t="shared" si="0"/>
        <v>0</v>
      </c>
      <c r="BY40">
        <f t="shared" si="0"/>
        <v>0</v>
      </c>
      <c r="BZ40">
        <f t="shared" si="0"/>
        <v>0</v>
      </c>
      <c r="CA40">
        <f t="shared" si="0"/>
        <v>0</v>
      </c>
      <c r="CB40">
        <f t="shared" si="0"/>
        <v>0</v>
      </c>
      <c r="CC40">
        <f t="shared" si="0"/>
        <v>0</v>
      </c>
      <c r="CD40">
        <f t="shared" si="0"/>
        <v>0</v>
      </c>
      <c r="CE40">
        <f t="shared" si="0"/>
        <v>0</v>
      </c>
      <c r="CF40">
        <f t="shared" si="0"/>
        <v>0</v>
      </c>
      <c r="CG40">
        <f t="shared" si="0"/>
        <v>0</v>
      </c>
      <c r="CH40">
        <f t="shared" ref="CH40:DR40" si="1">SUM(CH37:CH39)</f>
        <v>0</v>
      </c>
      <c r="CI40">
        <f t="shared" si="1"/>
        <v>0</v>
      </c>
      <c r="CJ40">
        <f t="shared" si="1"/>
        <v>0</v>
      </c>
      <c r="CK40">
        <f t="shared" si="1"/>
        <v>0</v>
      </c>
      <c r="CL40">
        <f t="shared" si="1"/>
        <v>0</v>
      </c>
      <c r="CM40">
        <f t="shared" si="1"/>
        <v>0</v>
      </c>
      <c r="CN40">
        <f t="shared" si="1"/>
        <v>0</v>
      </c>
      <c r="CO40">
        <f t="shared" si="1"/>
        <v>0</v>
      </c>
      <c r="CP40">
        <f t="shared" si="1"/>
        <v>0</v>
      </c>
      <c r="CQ40">
        <f t="shared" si="1"/>
        <v>0</v>
      </c>
      <c r="CR40">
        <f t="shared" si="1"/>
        <v>0</v>
      </c>
      <c r="CS40">
        <f t="shared" si="1"/>
        <v>0</v>
      </c>
      <c r="CT40">
        <f t="shared" si="1"/>
        <v>0</v>
      </c>
      <c r="CU40">
        <f t="shared" si="1"/>
        <v>0</v>
      </c>
      <c r="CV40">
        <f t="shared" si="1"/>
        <v>0</v>
      </c>
      <c r="CW40">
        <f t="shared" si="1"/>
        <v>0</v>
      </c>
      <c r="CX40">
        <f t="shared" si="1"/>
        <v>33</v>
      </c>
      <c r="CY40">
        <f t="shared" si="1"/>
        <v>0</v>
      </c>
      <c r="CZ40">
        <f t="shared" si="1"/>
        <v>0</v>
      </c>
      <c r="DA40">
        <f t="shared" si="1"/>
        <v>0</v>
      </c>
      <c r="DB40">
        <f t="shared" si="1"/>
        <v>0</v>
      </c>
      <c r="DC40">
        <f t="shared" si="1"/>
        <v>0</v>
      </c>
      <c r="DD40">
        <f t="shared" si="1"/>
        <v>0</v>
      </c>
      <c r="DE40">
        <f t="shared" si="1"/>
        <v>0</v>
      </c>
      <c r="DF40">
        <f t="shared" si="1"/>
        <v>0</v>
      </c>
      <c r="DG40">
        <f t="shared" si="1"/>
        <v>0</v>
      </c>
      <c r="DH40">
        <f t="shared" si="1"/>
        <v>33</v>
      </c>
      <c r="DI40">
        <f t="shared" si="1"/>
        <v>0</v>
      </c>
      <c r="DJ40">
        <f t="shared" si="1"/>
        <v>0</v>
      </c>
      <c r="DK40">
        <f t="shared" si="1"/>
        <v>0</v>
      </c>
      <c r="DL40">
        <f t="shared" si="1"/>
        <v>0</v>
      </c>
      <c r="DM40">
        <f t="shared" si="1"/>
        <v>0</v>
      </c>
      <c r="DN40">
        <f t="shared" si="1"/>
        <v>0</v>
      </c>
      <c r="DO40">
        <f t="shared" si="1"/>
        <v>0</v>
      </c>
      <c r="DP40">
        <f t="shared" si="1"/>
        <v>0</v>
      </c>
      <c r="DQ40">
        <f t="shared" si="1"/>
        <v>0</v>
      </c>
      <c r="DR40">
        <f t="shared" si="1"/>
        <v>33</v>
      </c>
      <c r="DS40">
        <f>SUM(DS37:DS39)</f>
        <v>0</v>
      </c>
      <c r="DT40">
        <f t="shared" ref="DT40:GE40" si="2">SUM(DT37:DT39)</f>
        <v>0</v>
      </c>
      <c r="DU40">
        <f t="shared" si="2"/>
        <v>0</v>
      </c>
      <c r="DV40">
        <f t="shared" si="2"/>
        <v>0</v>
      </c>
      <c r="DW40">
        <f t="shared" si="2"/>
        <v>0</v>
      </c>
      <c r="DX40">
        <f t="shared" si="2"/>
        <v>0</v>
      </c>
      <c r="DY40">
        <f t="shared" si="2"/>
        <v>0</v>
      </c>
      <c r="DZ40">
        <f t="shared" si="2"/>
        <v>0</v>
      </c>
      <c r="EA40">
        <f t="shared" si="2"/>
        <v>0</v>
      </c>
      <c r="EB40">
        <f t="shared" si="2"/>
        <v>0</v>
      </c>
      <c r="EC40">
        <f t="shared" si="2"/>
        <v>0</v>
      </c>
      <c r="ED40">
        <f t="shared" si="2"/>
        <v>0</v>
      </c>
      <c r="EE40">
        <f t="shared" si="2"/>
        <v>0</v>
      </c>
      <c r="EF40">
        <f t="shared" si="2"/>
        <v>0</v>
      </c>
      <c r="EG40">
        <f t="shared" si="2"/>
        <v>0</v>
      </c>
      <c r="EH40">
        <f t="shared" si="2"/>
        <v>0</v>
      </c>
      <c r="EI40">
        <f t="shared" si="2"/>
        <v>0</v>
      </c>
      <c r="EJ40">
        <f t="shared" si="2"/>
        <v>0</v>
      </c>
      <c r="EK40">
        <f t="shared" si="2"/>
        <v>0</v>
      </c>
      <c r="EL40">
        <f t="shared" si="2"/>
        <v>0</v>
      </c>
      <c r="EM40">
        <f t="shared" si="2"/>
        <v>0</v>
      </c>
      <c r="EN40">
        <f t="shared" si="2"/>
        <v>0</v>
      </c>
      <c r="EO40">
        <f t="shared" si="2"/>
        <v>0</v>
      </c>
      <c r="EP40">
        <f t="shared" si="2"/>
        <v>0</v>
      </c>
      <c r="EQ40">
        <f t="shared" si="2"/>
        <v>0</v>
      </c>
      <c r="ER40">
        <f t="shared" si="2"/>
        <v>0</v>
      </c>
      <c r="ES40">
        <f t="shared" si="2"/>
        <v>0</v>
      </c>
      <c r="ET40">
        <f t="shared" si="2"/>
        <v>0</v>
      </c>
      <c r="EU40">
        <f t="shared" si="2"/>
        <v>33</v>
      </c>
      <c r="EV40">
        <f t="shared" si="2"/>
        <v>0</v>
      </c>
      <c r="EW40">
        <f t="shared" si="2"/>
        <v>0</v>
      </c>
      <c r="EX40">
        <f t="shared" si="2"/>
        <v>0</v>
      </c>
      <c r="EY40">
        <f t="shared" si="2"/>
        <v>0</v>
      </c>
      <c r="EZ40">
        <f t="shared" si="2"/>
        <v>0</v>
      </c>
      <c r="FA40">
        <f t="shared" si="2"/>
        <v>0</v>
      </c>
      <c r="FB40">
        <f t="shared" si="2"/>
        <v>0</v>
      </c>
      <c r="FC40">
        <f t="shared" si="2"/>
        <v>0</v>
      </c>
      <c r="FD40">
        <f t="shared" si="2"/>
        <v>0</v>
      </c>
      <c r="FE40">
        <f t="shared" si="2"/>
        <v>0</v>
      </c>
      <c r="FF40">
        <f t="shared" si="2"/>
        <v>0</v>
      </c>
      <c r="FG40">
        <f t="shared" si="2"/>
        <v>0</v>
      </c>
      <c r="FH40">
        <f t="shared" si="2"/>
        <v>0</v>
      </c>
      <c r="FI40">
        <f t="shared" si="2"/>
        <v>0</v>
      </c>
      <c r="FJ40">
        <f t="shared" si="2"/>
        <v>0</v>
      </c>
      <c r="FK40">
        <f t="shared" si="2"/>
        <v>0</v>
      </c>
      <c r="FL40">
        <f t="shared" si="2"/>
        <v>0</v>
      </c>
      <c r="FM40">
        <f t="shared" si="2"/>
        <v>0</v>
      </c>
      <c r="FN40">
        <f t="shared" si="2"/>
        <v>0</v>
      </c>
      <c r="FO40">
        <f t="shared" si="2"/>
        <v>0</v>
      </c>
      <c r="FP40">
        <f t="shared" si="2"/>
        <v>0</v>
      </c>
      <c r="FQ40">
        <f t="shared" si="2"/>
        <v>0</v>
      </c>
      <c r="FR40">
        <f t="shared" si="2"/>
        <v>0</v>
      </c>
      <c r="FS40">
        <f t="shared" si="2"/>
        <v>0</v>
      </c>
      <c r="FT40">
        <f t="shared" si="2"/>
        <v>0</v>
      </c>
      <c r="FU40">
        <f t="shared" si="2"/>
        <v>33</v>
      </c>
      <c r="FV40">
        <f t="shared" si="2"/>
        <v>17</v>
      </c>
      <c r="FW40">
        <f t="shared" si="2"/>
        <v>31</v>
      </c>
      <c r="FX40">
        <f t="shared" si="2"/>
        <v>21</v>
      </c>
      <c r="FY40">
        <f t="shared" si="2"/>
        <v>31</v>
      </c>
      <c r="FZ40">
        <f t="shared" si="2"/>
        <v>31</v>
      </c>
      <c r="GA40">
        <f t="shared" si="2"/>
        <v>31</v>
      </c>
      <c r="GB40">
        <f t="shared" si="2"/>
        <v>31</v>
      </c>
      <c r="GC40">
        <f t="shared" si="2"/>
        <v>31</v>
      </c>
      <c r="GD40">
        <f t="shared" si="2"/>
        <v>31</v>
      </c>
      <c r="GE40">
        <f t="shared" si="2"/>
        <v>31</v>
      </c>
      <c r="GF40">
        <f t="shared" ref="GF40:HF40" si="3">SUM(GF37:GF39)</f>
        <v>31</v>
      </c>
      <c r="GG40">
        <f t="shared" si="3"/>
        <v>33</v>
      </c>
      <c r="GH40">
        <f t="shared" si="3"/>
        <v>32</v>
      </c>
      <c r="GI40">
        <f t="shared" si="3"/>
        <v>33</v>
      </c>
      <c r="GJ40">
        <f t="shared" si="3"/>
        <v>33</v>
      </c>
      <c r="GK40">
        <f t="shared" si="3"/>
        <v>33</v>
      </c>
      <c r="GL40">
        <f t="shared" si="3"/>
        <v>33</v>
      </c>
      <c r="GM40">
        <f t="shared" si="3"/>
        <v>33</v>
      </c>
      <c r="GN40">
        <f t="shared" si="3"/>
        <v>33</v>
      </c>
      <c r="GO40">
        <f t="shared" si="3"/>
        <v>33</v>
      </c>
      <c r="GP40">
        <f t="shared" si="3"/>
        <v>33</v>
      </c>
      <c r="GQ40">
        <f t="shared" si="3"/>
        <v>33</v>
      </c>
      <c r="GR40">
        <f t="shared" si="3"/>
        <v>33</v>
      </c>
      <c r="GS40">
        <f t="shared" si="3"/>
        <v>33</v>
      </c>
      <c r="GT40">
        <f t="shared" si="3"/>
        <v>33</v>
      </c>
      <c r="GU40">
        <f t="shared" si="3"/>
        <v>33</v>
      </c>
      <c r="GV40">
        <f t="shared" si="3"/>
        <v>33</v>
      </c>
      <c r="GW40">
        <f t="shared" si="3"/>
        <v>33</v>
      </c>
      <c r="GX40">
        <f t="shared" si="3"/>
        <v>33</v>
      </c>
      <c r="GY40">
        <f t="shared" si="3"/>
        <v>33</v>
      </c>
      <c r="GZ40">
        <f t="shared" si="3"/>
        <v>33</v>
      </c>
      <c r="HA40">
        <f t="shared" si="3"/>
        <v>33</v>
      </c>
      <c r="HB40">
        <f t="shared" si="3"/>
        <v>33</v>
      </c>
      <c r="HC40">
        <f t="shared" si="3"/>
        <v>3</v>
      </c>
      <c r="HD40">
        <f t="shared" si="3"/>
        <v>4</v>
      </c>
      <c r="HE40">
        <f t="shared" si="3"/>
        <v>3</v>
      </c>
      <c r="HF40">
        <f t="shared" si="3"/>
        <v>33</v>
      </c>
      <c r="HG40">
        <f>SUM(HG36,HG39)</f>
        <v>33</v>
      </c>
      <c r="HI40">
        <f>SUM(HI36,HI39)</f>
        <v>33</v>
      </c>
    </row>
    <row r="41" spans="1:221" ht="14.65" thickTop="1" x14ac:dyDescent="0.45">
      <c r="U41" s="7"/>
      <c r="EE41" t="e">
        <f>SUM(#REF!,#REF!,#REF!,#REF!,#REF!)</f>
        <v>#REF!</v>
      </c>
      <c r="EF41" t="e">
        <f>SUM(#REF!,#REF!,#REF!,#REF!,#REF!)</f>
        <v>#REF!</v>
      </c>
      <c r="EG41" t="e">
        <f>SUM(#REF!,#REF!,#REF!,#REF!,#REF!)</f>
        <v>#REF!</v>
      </c>
      <c r="EH41" t="e">
        <f>SUM(#REF!,#REF!,#REF!,#REF!,#REF!)</f>
        <v>#REF!</v>
      </c>
      <c r="EI41" t="e">
        <f>SUM(#REF!,#REF!,#REF!,#REF!,#REF!)</f>
        <v>#REF!</v>
      </c>
      <c r="EJ41" t="e">
        <f>SUM(#REF!,#REF!,#REF!,#REF!,#REF!)</f>
        <v>#REF!</v>
      </c>
      <c r="EK41" t="e">
        <f>SUM(#REF!,#REF!,#REF!,#REF!,#REF!)</f>
        <v>#REF!</v>
      </c>
      <c r="EL41" t="e">
        <f>SUM(EE41:EK41)</f>
        <v>#REF!</v>
      </c>
      <c r="EM41" t="e">
        <f>SUM(#REF!,#REF!,#REF!,#REF!,#REF!)</f>
        <v>#REF!</v>
      </c>
      <c r="EN41" t="e">
        <f>SUM(#REF!,#REF!,#REF!,#REF!,#REF!)</f>
        <v>#REF!</v>
      </c>
      <c r="EO41" t="e">
        <f>SUM(#REF!,#REF!,#REF!,#REF!,#REF!)</f>
        <v>#REF!</v>
      </c>
      <c r="EP41" t="e">
        <f>SUM(#REF!,#REF!,#REF!,#REF!,#REF!)</f>
        <v>#REF!</v>
      </c>
      <c r="EQ41" t="e">
        <f>SUM(#REF!,#REF!,#REF!,#REF!,#REF!)</f>
        <v>#REF!</v>
      </c>
      <c r="ER41" t="e">
        <f>SUM(#REF!,#REF!,#REF!,#REF!,#REF!)</f>
        <v>#REF!</v>
      </c>
      <c r="ES41" t="e">
        <f>SUM(#REF!,#REF!,#REF!,#REF!,#REF!)</f>
        <v>#REF!</v>
      </c>
      <c r="ET41" t="e">
        <f>SUM(EM41:ES41)</f>
        <v>#REF!</v>
      </c>
    </row>
    <row r="42" spans="1:221" x14ac:dyDescent="0.45">
      <c r="EE42" s="33" t="e">
        <f t="shared" ref="EE42:EK42" si="4">EE41/$EL$41</f>
        <v>#REF!</v>
      </c>
      <c r="EF42" s="33" t="e">
        <f t="shared" si="4"/>
        <v>#REF!</v>
      </c>
      <c r="EG42" s="33" t="e">
        <f t="shared" si="4"/>
        <v>#REF!</v>
      </c>
      <c r="EH42" s="33" t="e">
        <f t="shared" si="4"/>
        <v>#REF!</v>
      </c>
      <c r="EI42" s="33" t="e">
        <f t="shared" si="4"/>
        <v>#REF!</v>
      </c>
      <c r="EJ42" s="33" t="e">
        <f t="shared" si="4"/>
        <v>#REF!</v>
      </c>
      <c r="EK42" s="33" t="e">
        <f t="shared" si="4"/>
        <v>#REF!</v>
      </c>
      <c r="EL42" s="33" t="e">
        <f>SUM(EE42:EK42)</f>
        <v>#REF!</v>
      </c>
      <c r="EM42" s="33" t="e">
        <f t="shared" ref="EM42:ES42" si="5">EM41/$EL$41</f>
        <v>#REF!</v>
      </c>
      <c r="EN42" s="33" t="e">
        <f t="shared" si="5"/>
        <v>#REF!</v>
      </c>
      <c r="EO42" s="33" t="e">
        <f t="shared" si="5"/>
        <v>#REF!</v>
      </c>
      <c r="EP42" s="33" t="e">
        <f t="shared" si="5"/>
        <v>#REF!</v>
      </c>
      <c r="EQ42" s="33" t="e">
        <f t="shared" si="5"/>
        <v>#REF!</v>
      </c>
      <c r="ER42" s="33" t="e">
        <f t="shared" si="5"/>
        <v>#REF!</v>
      </c>
      <c r="ES42" s="33" t="e">
        <f t="shared" si="5"/>
        <v>#REF!</v>
      </c>
      <c r="ET42" s="33" t="e">
        <f>SUM(EM42:ES42)</f>
        <v>#REF!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E2:E35">
    <cfRule type="duplicateValues" dxfId="102" priority="10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1:J176"/>
  <sheetViews>
    <sheetView workbookViewId="0">
      <selection activeCell="H13" sqref="H13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  <col min="6" max="6" width="17.73046875" customWidth="1"/>
    <col min="7" max="7" width="20.6640625" customWidth="1"/>
  </cols>
  <sheetData>
    <row r="1" spans="2:3" x14ac:dyDescent="0.45">
      <c r="C1" s="20" t="s">
        <v>2487</v>
      </c>
    </row>
    <row r="2" spans="2:3" x14ac:dyDescent="0.45">
      <c r="B2" s="20" t="s">
        <v>2315</v>
      </c>
      <c r="C2" s="20" t="s">
        <v>2312</v>
      </c>
    </row>
    <row r="3" spans="2:3" x14ac:dyDescent="0.45">
      <c r="B3">
        <v>1930</v>
      </c>
      <c r="C3" s="20" t="s">
        <v>2314</v>
      </c>
    </row>
    <row r="4" spans="2:3" x14ac:dyDescent="0.45">
      <c r="B4">
        <v>1955</v>
      </c>
      <c r="C4" s="20" t="s">
        <v>2449</v>
      </c>
    </row>
    <row r="5" spans="2:3" x14ac:dyDescent="0.45">
      <c r="B5">
        <v>1965</v>
      </c>
      <c r="C5" s="20" t="s">
        <v>2450</v>
      </c>
    </row>
    <row r="6" spans="2:3" x14ac:dyDescent="0.45">
      <c r="B6">
        <v>1975</v>
      </c>
      <c r="C6" s="20" t="s">
        <v>2451</v>
      </c>
    </row>
    <row r="7" spans="2:3" x14ac:dyDescent="0.45">
      <c r="B7">
        <v>1985</v>
      </c>
      <c r="C7" s="20" t="s">
        <v>2452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2319</v>
      </c>
      <c r="C11" s="20" t="s">
        <v>2324</v>
      </c>
    </row>
    <row r="12" spans="2:3" x14ac:dyDescent="0.45">
      <c r="B12" s="28" t="s">
        <v>987</v>
      </c>
      <c r="C12" s="20" t="s">
        <v>2323</v>
      </c>
    </row>
    <row r="13" spans="2:3" x14ac:dyDescent="0.45">
      <c r="B13" s="28" t="s">
        <v>1503</v>
      </c>
      <c r="C13" s="20" t="s">
        <v>2321</v>
      </c>
    </row>
    <row r="14" spans="2:3" x14ac:dyDescent="0.45">
      <c r="B14" s="28" t="s">
        <v>234</v>
      </c>
      <c r="C14" s="20" t="s">
        <v>2321</v>
      </c>
    </row>
    <row r="15" spans="2:3" ht="28.5" x14ac:dyDescent="0.45">
      <c r="B15" s="28" t="s">
        <v>2270</v>
      </c>
      <c r="C15" s="20" t="s">
        <v>2321</v>
      </c>
    </row>
    <row r="16" spans="2:3" x14ac:dyDescent="0.45">
      <c r="B16" s="28" t="s">
        <v>2269</v>
      </c>
      <c r="C16" s="20" t="s">
        <v>2321</v>
      </c>
    </row>
    <row r="17" spans="2:3" ht="28.5" x14ac:dyDescent="0.45">
      <c r="B17" s="28" t="s">
        <v>2268</v>
      </c>
      <c r="C17" s="20" t="s">
        <v>2321</v>
      </c>
    </row>
    <row r="18" spans="2:3" x14ac:dyDescent="0.45">
      <c r="B18" s="28" t="s">
        <v>995</v>
      </c>
      <c r="C18" s="20" t="s">
        <v>2321</v>
      </c>
    </row>
    <row r="19" spans="2:3" x14ac:dyDescent="0.45">
      <c r="B19" s="28" t="s">
        <v>1461</v>
      </c>
      <c r="C19" s="20" t="s">
        <v>2321</v>
      </c>
    </row>
    <row r="20" spans="2:3" x14ac:dyDescent="0.45">
      <c r="B20" s="28" t="s">
        <v>428</v>
      </c>
      <c r="C20" s="20" t="s">
        <v>2321</v>
      </c>
    </row>
    <row r="21" spans="2:3" x14ac:dyDescent="0.45">
      <c r="B21" s="28" t="s">
        <v>191</v>
      </c>
      <c r="C21" s="20" t="s">
        <v>2321</v>
      </c>
    </row>
    <row r="22" spans="2:3" x14ac:dyDescent="0.45">
      <c r="B22" s="28" t="s">
        <v>2318</v>
      </c>
      <c r="C22" s="20" t="s">
        <v>2321</v>
      </c>
    </row>
    <row r="23" spans="2:3" x14ac:dyDescent="0.45">
      <c r="B23" s="28" t="s">
        <v>1415</v>
      </c>
      <c r="C23" s="20" t="s">
        <v>2321</v>
      </c>
    </row>
    <row r="24" spans="2:3" x14ac:dyDescent="0.45">
      <c r="B24" s="28" t="s">
        <v>1090</v>
      </c>
      <c r="C24" s="20" t="s">
        <v>2321</v>
      </c>
    </row>
    <row r="25" spans="2:3" x14ac:dyDescent="0.45">
      <c r="B25" s="28" t="s">
        <v>862</v>
      </c>
      <c r="C25" s="20" t="s">
        <v>2321</v>
      </c>
    </row>
    <row r="26" spans="2:3" x14ac:dyDescent="0.45">
      <c r="B26" s="28" t="s">
        <v>1290</v>
      </c>
      <c r="C26" s="20" t="s">
        <v>2323</v>
      </c>
    </row>
    <row r="27" spans="2:3" x14ac:dyDescent="0.45">
      <c r="B27" s="28" t="s">
        <v>1514</v>
      </c>
      <c r="C27" s="20" t="s">
        <v>2322</v>
      </c>
    </row>
    <row r="28" spans="2:3" ht="28.5" x14ac:dyDescent="0.45">
      <c r="B28" s="28" t="s">
        <v>2271</v>
      </c>
      <c r="C28" s="20" t="s">
        <v>2321</v>
      </c>
    </row>
    <row r="29" spans="2:3" ht="28.5" x14ac:dyDescent="0.45">
      <c r="B29" s="28" t="s">
        <v>553</v>
      </c>
      <c r="C29" s="20" t="s">
        <v>2321</v>
      </c>
    </row>
    <row r="30" spans="2:3" ht="28.5" x14ac:dyDescent="0.45">
      <c r="B30" s="28" t="s">
        <v>1472</v>
      </c>
      <c r="C30" s="20" t="s">
        <v>2321</v>
      </c>
    </row>
    <row r="31" spans="2:3" x14ac:dyDescent="0.45">
      <c r="B31" s="28" t="s">
        <v>223</v>
      </c>
      <c r="C31" s="20" t="s">
        <v>2321</v>
      </c>
    </row>
    <row r="32" spans="2:3" x14ac:dyDescent="0.45">
      <c r="B32" s="28" t="s">
        <v>445</v>
      </c>
      <c r="C32" s="20" t="s">
        <v>2321</v>
      </c>
    </row>
    <row r="33" spans="2:7" ht="28.5" x14ac:dyDescent="0.45">
      <c r="B33" s="28" t="s">
        <v>2272</v>
      </c>
      <c r="C33" s="20" t="s">
        <v>2321</v>
      </c>
    </row>
    <row r="34" spans="2:7" x14ac:dyDescent="0.45">
      <c r="B34" s="28" t="s">
        <v>813</v>
      </c>
      <c r="C34" s="20" t="s">
        <v>2321</v>
      </c>
    </row>
    <row r="35" spans="2:7" x14ac:dyDescent="0.45">
      <c r="B35" s="28" t="s">
        <v>1712</v>
      </c>
      <c r="C35" s="20" t="s">
        <v>2321</v>
      </c>
    </row>
    <row r="36" spans="2:7" ht="28.5" x14ac:dyDescent="0.45">
      <c r="B36" s="28" t="s">
        <v>1636</v>
      </c>
      <c r="C36" s="20" t="s">
        <v>2321</v>
      </c>
    </row>
    <row r="37" spans="2:7" x14ac:dyDescent="0.45">
      <c r="B37" s="28" t="s">
        <v>975</v>
      </c>
      <c r="C37" s="20" t="s">
        <v>2321</v>
      </c>
    </row>
    <row r="38" spans="2:7" x14ac:dyDescent="0.45">
      <c r="B38" s="28" t="s">
        <v>701</v>
      </c>
      <c r="C38" s="20" t="s">
        <v>2321</v>
      </c>
    </row>
    <row r="39" spans="2:7" x14ac:dyDescent="0.45">
      <c r="B39" s="28" t="s">
        <v>800</v>
      </c>
      <c r="C39" s="20" t="s">
        <v>2321</v>
      </c>
    </row>
    <row r="40" spans="2:7" x14ac:dyDescent="0.45">
      <c r="B40" s="28" t="s">
        <v>160</v>
      </c>
      <c r="C40" s="20" t="s">
        <v>2321</v>
      </c>
    </row>
    <row r="41" spans="2:7" x14ac:dyDescent="0.45">
      <c r="B41" s="28" t="s">
        <v>1439</v>
      </c>
      <c r="C41" s="20" t="s">
        <v>2323</v>
      </c>
    </row>
    <row r="43" spans="2:7" x14ac:dyDescent="0.45">
      <c r="B43" s="29" t="s">
        <v>2328</v>
      </c>
    </row>
    <row r="44" spans="2:7" x14ac:dyDescent="0.45">
      <c r="B44" s="20" t="s">
        <v>2330</v>
      </c>
      <c r="C44" s="20" t="s">
        <v>2331</v>
      </c>
      <c r="D44" s="20" t="s">
        <v>2429</v>
      </c>
      <c r="F44" s="20" t="s">
        <v>2432</v>
      </c>
      <c r="G44" s="20" t="s">
        <v>2431</v>
      </c>
    </row>
    <row r="45" spans="2:7" x14ac:dyDescent="0.45">
      <c r="B45" t="s">
        <v>169</v>
      </c>
      <c r="C45">
        <v>7</v>
      </c>
      <c r="D45" s="44">
        <f t="shared" ref="D45:D49" si="0">D46+6/7</f>
        <v>6.9999999999999991</v>
      </c>
      <c r="F45">
        <f>C51</f>
        <v>1</v>
      </c>
      <c r="G45" s="49" t="s">
        <v>129</v>
      </c>
    </row>
    <row r="46" spans="2:7" x14ac:dyDescent="0.45">
      <c r="B46" t="s">
        <v>150</v>
      </c>
      <c r="C46">
        <v>6</v>
      </c>
      <c r="D46" s="44">
        <f t="shared" si="0"/>
        <v>6.1428571428571423</v>
      </c>
      <c r="F46" s="44">
        <f>D51</f>
        <v>1.8571428571428572</v>
      </c>
      <c r="G46" s="50" t="s">
        <v>236</v>
      </c>
    </row>
    <row r="47" spans="2:7" x14ac:dyDescent="0.45">
      <c r="B47" t="s">
        <v>162</v>
      </c>
      <c r="C47">
        <v>5</v>
      </c>
      <c r="D47" s="44">
        <f t="shared" si="0"/>
        <v>5.2857142857142856</v>
      </c>
      <c r="F47" s="44">
        <f>D50</f>
        <v>2.7142857142857144</v>
      </c>
      <c r="G47" s="49" t="s">
        <v>128</v>
      </c>
    </row>
    <row r="48" spans="2:7" x14ac:dyDescent="0.45">
      <c r="B48" t="s">
        <v>151</v>
      </c>
      <c r="C48">
        <v>4</v>
      </c>
      <c r="D48" s="44">
        <f t="shared" si="0"/>
        <v>4.4285714285714288</v>
      </c>
      <c r="F48" s="44">
        <f>D49</f>
        <v>3.5714285714285716</v>
      </c>
      <c r="G48" s="50" t="s">
        <v>151</v>
      </c>
    </row>
    <row r="49" spans="2:10" x14ac:dyDescent="0.45">
      <c r="B49" t="s">
        <v>128</v>
      </c>
      <c r="C49">
        <v>3</v>
      </c>
      <c r="D49" s="44">
        <f t="shared" si="0"/>
        <v>3.5714285714285716</v>
      </c>
      <c r="F49" s="44">
        <f>D48</f>
        <v>4.4285714285714288</v>
      </c>
      <c r="G49" s="49" t="s">
        <v>162</v>
      </c>
    </row>
    <row r="50" spans="2:10" x14ac:dyDescent="0.45">
      <c r="B50" t="s">
        <v>236</v>
      </c>
      <c r="C50">
        <v>2</v>
      </c>
      <c r="D50" s="44">
        <f>D51+6/7</f>
        <v>2.7142857142857144</v>
      </c>
      <c r="F50" s="44">
        <f>D47</f>
        <v>5.2857142857142856</v>
      </c>
      <c r="G50" s="50" t="s">
        <v>150</v>
      </c>
    </row>
    <row r="51" spans="2:10" x14ac:dyDescent="0.45">
      <c r="B51" t="s">
        <v>129</v>
      </c>
      <c r="C51">
        <v>1</v>
      </c>
      <c r="D51" s="44">
        <f t="shared" ref="D51" si="1">1+6/7</f>
        <v>1.8571428571428572</v>
      </c>
      <c r="F51" s="44">
        <f>D46</f>
        <v>6.1428571428571423</v>
      </c>
      <c r="G51" s="49" t="s">
        <v>169</v>
      </c>
    </row>
    <row r="52" spans="2:10" x14ac:dyDescent="0.45">
      <c r="B52" t="s">
        <v>132</v>
      </c>
      <c r="C52" s="20" t="s">
        <v>2329</v>
      </c>
    </row>
    <row r="55" spans="2:10" x14ac:dyDescent="0.45">
      <c r="C55" t="s">
        <v>2408</v>
      </c>
    </row>
    <row r="56" spans="2:10" ht="28.5" x14ac:dyDescent="0.45">
      <c r="C56" s="46" t="s">
        <v>2409</v>
      </c>
      <c r="D56" s="29" t="s">
        <v>2410</v>
      </c>
      <c r="E56" s="29" t="s">
        <v>2411</v>
      </c>
      <c r="F56" s="29" t="s">
        <v>2412</v>
      </c>
      <c r="G56" s="29" t="s">
        <v>2413</v>
      </c>
      <c r="H56" s="29" t="s">
        <v>2414</v>
      </c>
      <c r="I56" s="29" t="s">
        <v>2415</v>
      </c>
      <c r="J56" s="29" t="s">
        <v>2416</v>
      </c>
    </row>
    <row r="57" spans="2:10" x14ac:dyDescent="0.45">
      <c r="C57" s="29">
        <v>1</v>
      </c>
      <c r="D57">
        <f>TINV(D$56,$C57)</f>
        <v>1</v>
      </c>
      <c r="E57">
        <f t="shared" ref="E57:J72" si="2">TINV(E$56,$C57)</f>
        <v>3.077683537175254</v>
      </c>
      <c r="F57">
        <f t="shared" si="2"/>
        <v>6.3137515146750438</v>
      </c>
      <c r="G57">
        <f t="shared" si="2"/>
        <v>12.706204736174707</v>
      </c>
      <c r="H57">
        <f t="shared" si="2"/>
        <v>63.656741162871583</v>
      </c>
      <c r="I57">
        <f t="shared" si="2"/>
        <v>127.32133646887215</v>
      </c>
      <c r="J57">
        <f t="shared" si="2"/>
        <v>636.61924876871956</v>
      </c>
    </row>
    <row r="58" spans="2:10" x14ac:dyDescent="0.45">
      <c r="C58" s="29">
        <v>2</v>
      </c>
      <c r="D58">
        <f t="shared" ref="D58:J89" si="3">TINV(D$56,$C58)</f>
        <v>0.81649658092772592</v>
      </c>
      <c r="E58">
        <f t="shared" si="2"/>
        <v>1.8856180831641267</v>
      </c>
      <c r="F58">
        <f t="shared" si="2"/>
        <v>2.9199855803537269</v>
      </c>
      <c r="G58">
        <f t="shared" si="2"/>
        <v>4.3026527297494637</v>
      </c>
      <c r="H58">
        <f t="shared" si="2"/>
        <v>9.9248432009182928</v>
      </c>
      <c r="I58">
        <f t="shared" si="2"/>
        <v>14.089047275555295</v>
      </c>
      <c r="J58">
        <f t="shared" si="2"/>
        <v>31.599054576443621</v>
      </c>
    </row>
    <row r="59" spans="2:10" x14ac:dyDescent="0.45">
      <c r="C59" s="29">
        <v>3</v>
      </c>
      <c r="D59">
        <f t="shared" si="3"/>
        <v>0.76489232840434507</v>
      </c>
      <c r="E59">
        <f t="shared" si="2"/>
        <v>1.63774435369621</v>
      </c>
      <c r="F59">
        <f t="shared" si="2"/>
        <v>2.3533634348018233</v>
      </c>
      <c r="G59">
        <f t="shared" si="2"/>
        <v>3.1824463052837091</v>
      </c>
      <c r="H59">
        <f t="shared" si="2"/>
        <v>5.8409093097333571</v>
      </c>
      <c r="I59">
        <f t="shared" si="2"/>
        <v>7.4533185051506248</v>
      </c>
      <c r="J59">
        <f t="shared" si="2"/>
        <v>12.923978636687485</v>
      </c>
    </row>
    <row r="60" spans="2:10" x14ac:dyDescent="0.45">
      <c r="C60" s="29">
        <v>4</v>
      </c>
      <c r="D60">
        <f t="shared" si="3"/>
        <v>0.74069708411268287</v>
      </c>
      <c r="E60">
        <f t="shared" si="2"/>
        <v>1.5332062740589443</v>
      </c>
      <c r="F60">
        <f t="shared" si="2"/>
        <v>2.1318467863266499</v>
      </c>
      <c r="G60">
        <f t="shared" si="2"/>
        <v>2.7764451051977934</v>
      </c>
      <c r="H60">
        <f t="shared" si="2"/>
        <v>4.604094871349993</v>
      </c>
      <c r="I60">
        <f t="shared" si="2"/>
        <v>5.5975683670754597</v>
      </c>
      <c r="J60">
        <f t="shared" si="2"/>
        <v>8.6103015813792751</v>
      </c>
    </row>
    <row r="61" spans="2:10" x14ac:dyDescent="0.45">
      <c r="C61" s="29">
        <v>5</v>
      </c>
      <c r="D61">
        <f t="shared" si="3"/>
        <v>0.72668684380042159</v>
      </c>
      <c r="E61">
        <f t="shared" si="2"/>
        <v>1.4758840488244813</v>
      </c>
      <c r="F61">
        <f t="shared" si="2"/>
        <v>2.0150483733330233</v>
      </c>
      <c r="G61">
        <f t="shared" si="2"/>
        <v>2.570581835636315</v>
      </c>
      <c r="H61">
        <f t="shared" si="2"/>
        <v>4.0321429835552278</v>
      </c>
      <c r="I61">
        <f t="shared" si="2"/>
        <v>4.7733406048555223</v>
      </c>
      <c r="J61">
        <f t="shared" si="2"/>
        <v>6.8688266258811099</v>
      </c>
    </row>
    <row r="62" spans="2:10" x14ac:dyDescent="0.45">
      <c r="C62" s="29">
        <v>6</v>
      </c>
      <c r="D62">
        <f t="shared" si="3"/>
        <v>0.71755819649141217</v>
      </c>
      <c r="E62">
        <f t="shared" si="2"/>
        <v>1.4397557472651481</v>
      </c>
      <c r="F62">
        <f t="shared" si="2"/>
        <v>1.9431802805153031</v>
      </c>
      <c r="G62">
        <f t="shared" si="2"/>
        <v>2.4469118511449697</v>
      </c>
      <c r="H62">
        <f t="shared" si="2"/>
        <v>3.7074280213247794</v>
      </c>
      <c r="I62">
        <f t="shared" si="2"/>
        <v>4.3168271036333739</v>
      </c>
      <c r="J62">
        <f t="shared" si="2"/>
        <v>5.9588161788187586</v>
      </c>
    </row>
    <row r="63" spans="2:10" x14ac:dyDescent="0.45">
      <c r="C63" s="29">
        <v>7</v>
      </c>
      <c r="D63">
        <f t="shared" si="3"/>
        <v>0.71114177808178591</v>
      </c>
      <c r="E63">
        <f t="shared" si="2"/>
        <v>1.4149239276505079</v>
      </c>
      <c r="F63">
        <f t="shared" si="2"/>
        <v>1.8945786050900073</v>
      </c>
      <c r="G63">
        <f t="shared" si="2"/>
        <v>2.3646242515927849</v>
      </c>
      <c r="H63">
        <f t="shared" si="2"/>
        <v>3.4994832973504946</v>
      </c>
      <c r="I63">
        <f t="shared" si="2"/>
        <v>4.0293371776424847</v>
      </c>
      <c r="J63">
        <f t="shared" si="2"/>
        <v>5.4078825208617252</v>
      </c>
    </row>
    <row r="64" spans="2:10" x14ac:dyDescent="0.45">
      <c r="C64" s="29">
        <v>8</v>
      </c>
      <c r="D64">
        <f t="shared" si="3"/>
        <v>0.70638661264483749</v>
      </c>
      <c r="E64">
        <f t="shared" si="2"/>
        <v>1.3968153097438645</v>
      </c>
      <c r="F64">
        <f t="shared" si="2"/>
        <v>1.8595480375308981</v>
      </c>
      <c r="G64">
        <f t="shared" si="2"/>
        <v>2.3060041352041671</v>
      </c>
      <c r="H64">
        <f t="shared" si="2"/>
        <v>3.3553873313333953</v>
      </c>
      <c r="I64">
        <f t="shared" si="2"/>
        <v>3.8325186853443429</v>
      </c>
      <c r="J64">
        <f t="shared" si="2"/>
        <v>5.0413054333733669</v>
      </c>
    </row>
    <row r="65" spans="3:10" x14ac:dyDescent="0.45">
      <c r="C65" s="29">
        <v>9</v>
      </c>
      <c r="D65">
        <f t="shared" si="3"/>
        <v>0.70272214675132494</v>
      </c>
      <c r="E65">
        <f t="shared" si="2"/>
        <v>1.383028738396632</v>
      </c>
      <c r="F65">
        <f t="shared" si="2"/>
        <v>1.8331129326562374</v>
      </c>
      <c r="G65">
        <f t="shared" si="2"/>
        <v>2.2621571627982053</v>
      </c>
      <c r="H65">
        <f t="shared" si="2"/>
        <v>3.2498355415921263</v>
      </c>
      <c r="I65">
        <f t="shared" si="2"/>
        <v>3.6896623923042302</v>
      </c>
      <c r="J65">
        <f t="shared" si="2"/>
        <v>4.7809125859311381</v>
      </c>
    </row>
    <row r="66" spans="3:10" x14ac:dyDescent="0.45">
      <c r="C66" s="29">
        <v>10</v>
      </c>
      <c r="D66">
        <f t="shared" si="3"/>
        <v>0.69981206131243168</v>
      </c>
      <c r="E66">
        <f t="shared" si="2"/>
        <v>1.3721836411103363</v>
      </c>
      <c r="F66">
        <f t="shared" si="2"/>
        <v>1.812461122811676</v>
      </c>
      <c r="G66">
        <f t="shared" si="2"/>
        <v>2.2281388519862744</v>
      </c>
      <c r="H66">
        <f t="shared" si="2"/>
        <v>3.1692726726169518</v>
      </c>
      <c r="I66">
        <f t="shared" si="2"/>
        <v>3.5814062020906565</v>
      </c>
      <c r="J66">
        <f t="shared" si="2"/>
        <v>4.586893858702636</v>
      </c>
    </row>
    <row r="67" spans="3:10" x14ac:dyDescent="0.45">
      <c r="C67" s="29">
        <v>11</v>
      </c>
      <c r="D67">
        <f t="shared" si="3"/>
        <v>0.69744532755988053</v>
      </c>
      <c r="E67">
        <f t="shared" si="2"/>
        <v>1.3634303180205409</v>
      </c>
      <c r="F67">
        <f t="shared" si="2"/>
        <v>1.7958848187040437</v>
      </c>
      <c r="G67">
        <f t="shared" si="2"/>
        <v>2.2009851600916384</v>
      </c>
      <c r="H67">
        <f t="shared" si="2"/>
        <v>3.1058065155392809</v>
      </c>
      <c r="I67">
        <f t="shared" si="2"/>
        <v>3.4966141732536715</v>
      </c>
      <c r="J67">
        <f t="shared" si="2"/>
        <v>4.4369793382344493</v>
      </c>
    </row>
    <row r="68" spans="3:10" x14ac:dyDescent="0.45">
      <c r="C68" s="29">
        <v>12</v>
      </c>
      <c r="D68">
        <f t="shared" si="3"/>
        <v>0.69548286551179161</v>
      </c>
      <c r="E68">
        <f t="shared" si="2"/>
        <v>1.3562173340232047</v>
      </c>
      <c r="F68">
        <f t="shared" si="2"/>
        <v>1.7822875556493194</v>
      </c>
      <c r="G68">
        <f t="shared" si="2"/>
        <v>2.1788128296672284</v>
      </c>
      <c r="H68">
        <f t="shared" si="2"/>
        <v>3.0545395893929017</v>
      </c>
      <c r="I68">
        <f t="shared" si="2"/>
        <v>3.4284442422922528</v>
      </c>
      <c r="J68">
        <f t="shared" si="2"/>
        <v>4.3177912836061845</v>
      </c>
    </row>
    <row r="69" spans="3:10" x14ac:dyDescent="0.45">
      <c r="C69" s="29">
        <v>13</v>
      </c>
      <c r="D69">
        <f t="shared" si="3"/>
        <v>0.69382930423544042</v>
      </c>
      <c r="E69">
        <f t="shared" si="2"/>
        <v>1.3501712887800554</v>
      </c>
      <c r="F69">
        <f t="shared" si="2"/>
        <v>1.7709333959868729</v>
      </c>
      <c r="G69">
        <f t="shared" si="2"/>
        <v>2.1603686564627926</v>
      </c>
      <c r="H69">
        <f t="shared" si="2"/>
        <v>3.0122758387165782</v>
      </c>
      <c r="I69">
        <f t="shared" si="2"/>
        <v>3.3724679410109792</v>
      </c>
      <c r="J69">
        <f t="shared" si="2"/>
        <v>4.2208317277071208</v>
      </c>
    </row>
    <row r="70" spans="3:10" x14ac:dyDescent="0.45">
      <c r="C70" s="29">
        <v>14</v>
      </c>
      <c r="D70">
        <f t="shared" si="3"/>
        <v>0.69241706957000537</v>
      </c>
      <c r="E70">
        <f t="shared" si="2"/>
        <v>1.3450303744546506</v>
      </c>
      <c r="F70">
        <f t="shared" si="2"/>
        <v>1.7613101357748921</v>
      </c>
      <c r="G70">
        <f t="shared" si="2"/>
        <v>2.1447866879178044</v>
      </c>
      <c r="H70">
        <f t="shared" si="2"/>
        <v>2.9768427343708348</v>
      </c>
      <c r="I70">
        <f t="shared" si="2"/>
        <v>3.3256958178380245</v>
      </c>
      <c r="J70">
        <f t="shared" si="2"/>
        <v>4.1404541127382029</v>
      </c>
    </row>
    <row r="71" spans="3:10" x14ac:dyDescent="0.45">
      <c r="C71" s="29">
        <v>15</v>
      </c>
      <c r="D71">
        <f t="shared" si="3"/>
        <v>0.6911969489584906</v>
      </c>
      <c r="E71">
        <f t="shared" si="2"/>
        <v>1.3406056078504547</v>
      </c>
      <c r="F71">
        <f t="shared" si="2"/>
        <v>1.7530503556925723</v>
      </c>
      <c r="G71">
        <f t="shared" si="2"/>
        <v>2.1314495455597742</v>
      </c>
      <c r="H71">
        <f t="shared" si="2"/>
        <v>2.9467128834752381</v>
      </c>
      <c r="I71">
        <f t="shared" si="2"/>
        <v>3.2860385709462228</v>
      </c>
      <c r="J71">
        <f t="shared" si="2"/>
        <v>4.0727651959037905</v>
      </c>
    </row>
    <row r="72" spans="3:10" x14ac:dyDescent="0.45">
      <c r="C72" s="29">
        <v>16</v>
      </c>
      <c r="D72">
        <f t="shared" si="3"/>
        <v>0.69013225381055954</v>
      </c>
      <c r="E72">
        <f t="shared" si="2"/>
        <v>1.3367571673273144</v>
      </c>
      <c r="F72">
        <f t="shared" si="2"/>
        <v>1.7458836762762506</v>
      </c>
      <c r="G72">
        <f t="shared" si="2"/>
        <v>2.119905299221255</v>
      </c>
      <c r="H72">
        <f t="shared" si="2"/>
        <v>2.9207816224251002</v>
      </c>
      <c r="I72">
        <f t="shared" si="2"/>
        <v>3.2519928743828799</v>
      </c>
      <c r="J72">
        <f t="shared" si="2"/>
        <v>4.0149963271840559</v>
      </c>
    </row>
    <row r="73" spans="3:10" x14ac:dyDescent="0.45">
      <c r="C73" s="29">
        <v>17</v>
      </c>
      <c r="D73">
        <f t="shared" si="3"/>
        <v>0.68919507515393985</v>
      </c>
      <c r="E73">
        <f t="shared" si="3"/>
        <v>1.3333793897216262</v>
      </c>
      <c r="F73">
        <f t="shared" si="3"/>
        <v>1.7396067260750732</v>
      </c>
      <c r="G73">
        <f t="shared" si="3"/>
        <v>2.109815577833317</v>
      </c>
      <c r="H73">
        <f t="shared" si="3"/>
        <v>2.8982305196774178</v>
      </c>
      <c r="I73">
        <f t="shared" si="3"/>
        <v>3.2224499113574638</v>
      </c>
      <c r="J73">
        <f t="shared" si="3"/>
        <v>3.9651262721190315</v>
      </c>
    </row>
    <row r="74" spans="3:10" x14ac:dyDescent="0.45">
      <c r="C74" s="29">
        <v>18</v>
      </c>
      <c r="D74">
        <f t="shared" si="3"/>
        <v>0.68836380646620021</v>
      </c>
      <c r="E74">
        <f t="shared" si="3"/>
        <v>1.3303909435699084</v>
      </c>
      <c r="F74">
        <f t="shared" si="3"/>
        <v>1.7340636066175394</v>
      </c>
      <c r="G74">
        <f t="shared" si="3"/>
        <v>2.1009220402410378</v>
      </c>
      <c r="H74">
        <f t="shared" si="3"/>
        <v>2.8784404727386073</v>
      </c>
      <c r="I74">
        <f t="shared" si="3"/>
        <v>3.19657422225522</v>
      </c>
      <c r="J74">
        <f t="shared" si="3"/>
        <v>3.9216458250851596</v>
      </c>
    </row>
    <row r="75" spans="3:10" x14ac:dyDescent="0.45">
      <c r="C75" s="29">
        <v>19</v>
      </c>
      <c r="D75">
        <f t="shared" si="3"/>
        <v>0.68762146020395809</v>
      </c>
      <c r="E75">
        <f t="shared" si="3"/>
        <v>1.3277282090267981</v>
      </c>
      <c r="F75">
        <f t="shared" si="3"/>
        <v>1.7291328115213698</v>
      </c>
      <c r="G75">
        <f t="shared" si="3"/>
        <v>2.0930240544083096</v>
      </c>
      <c r="H75">
        <f t="shared" si="3"/>
        <v>2.8609346064649799</v>
      </c>
      <c r="I75">
        <f t="shared" si="3"/>
        <v>3.1737245307923159</v>
      </c>
      <c r="J75">
        <f t="shared" si="3"/>
        <v>3.883405852592082</v>
      </c>
    </row>
    <row r="76" spans="3:10" x14ac:dyDescent="0.45">
      <c r="C76" s="29">
        <v>20</v>
      </c>
      <c r="D76">
        <f t="shared" si="3"/>
        <v>0.68695449644880313</v>
      </c>
      <c r="E76">
        <f t="shared" si="3"/>
        <v>1.3253407069850465</v>
      </c>
      <c r="F76">
        <f t="shared" si="3"/>
        <v>1.7247182429207868</v>
      </c>
      <c r="G76">
        <f t="shared" si="3"/>
        <v>2.0859634472658648</v>
      </c>
      <c r="H76">
        <f t="shared" si="3"/>
        <v>2.8453397097861091</v>
      </c>
      <c r="I76">
        <f t="shared" si="3"/>
        <v>3.1534005329064536</v>
      </c>
      <c r="J76">
        <f t="shared" si="3"/>
        <v>3.8495162749308265</v>
      </c>
    </row>
    <row r="77" spans="3:10" x14ac:dyDescent="0.45">
      <c r="C77" s="29">
        <v>21</v>
      </c>
      <c r="D77">
        <f t="shared" si="3"/>
        <v>0.68635199072695385</v>
      </c>
      <c r="E77">
        <f t="shared" si="3"/>
        <v>1.3231878738651732</v>
      </c>
      <c r="F77">
        <f t="shared" si="3"/>
        <v>1.7207429028118781</v>
      </c>
      <c r="G77">
        <f t="shared" si="3"/>
        <v>2.07961384472768</v>
      </c>
      <c r="H77">
        <f t="shared" si="3"/>
        <v>2.8313595580230499</v>
      </c>
      <c r="I77">
        <f t="shared" si="3"/>
        <v>3.1352062454062688</v>
      </c>
      <c r="J77">
        <f t="shared" si="3"/>
        <v>3.8192771642744621</v>
      </c>
    </row>
    <row r="78" spans="3:10" x14ac:dyDescent="0.45">
      <c r="C78" s="29">
        <v>22</v>
      </c>
      <c r="D78">
        <f t="shared" si="3"/>
        <v>0.68580503172188534</v>
      </c>
      <c r="E78">
        <f t="shared" si="3"/>
        <v>1.3212367416133624</v>
      </c>
      <c r="F78">
        <f t="shared" si="3"/>
        <v>1.7171443743802424</v>
      </c>
      <c r="G78">
        <f t="shared" si="3"/>
        <v>2.0738730679040258</v>
      </c>
      <c r="H78">
        <f t="shared" si="3"/>
        <v>2.8187560606001436</v>
      </c>
      <c r="I78">
        <f t="shared" si="3"/>
        <v>3.1188242068607348</v>
      </c>
      <c r="J78">
        <f t="shared" si="3"/>
        <v>3.79213067169839</v>
      </c>
    </row>
    <row r="79" spans="3:10" x14ac:dyDescent="0.45">
      <c r="C79" s="29">
        <v>23</v>
      </c>
      <c r="D79">
        <f t="shared" si="3"/>
        <v>0.68530627806129341</v>
      </c>
      <c r="E79">
        <f t="shared" si="3"/>
        <v>1.3194602398161621</v>
      </c>
      <c r="F79">
        <f t="shared" si="3"/>
        <v>1.7138715277470482</v>
      </c>
      <c r="G79">
        <f t="shared" si="3"/>
        <v>2.0686576104190491</v>
      </c>
      <c r="H79">
        <f t="shared" si="3"/>
        <v>2.807335683769999</v>
      </c>
      <c r="I79">
        <f t="shared" si="3"/>
        <v>3.1039969631408812</v>
      </c>
      <c r="J79">
        <f t="shared" si="3"/>
        <v>3.7676268043117811</v>
      </c>
    </row>
    <row r="80" spans="3:10" x14ac:dyDescent="0.45">
      <c r="C80" s="29">
        <v>24</v>
      </c>
      <c r="D80">
        <f t="shared" si="3"/>
        <v>0.68484962723698206</v>
      </c>
      <c r="E80">
        <f t="shared" si="3"/>
        <v>1.3178359336731498</v>
      </c>
      <c r="F80">
        <f t="shared" si="3"/>
        <v>1.7108820799094284</v>
      </c>
      <c r="G80">
        <f t="shared" si="3"/>
        <v>2.0638985616280254</v>
      </c>
      <c r="H80">
        <f t="shared" si="3"/>
        <v>2.7969395047744556</v>
      </c>
      <c r="I80">
        <f t="shared" si="3"/>
        <v>3.0905135487169919</v>
      </c>
      <c r="J80">
        <f t="shared" si="3"/>
        <v>3.7453986192900528</v>
      </c>
    </row>
    <row r="81" spans="3:10" x14ac:dyDescent="0.45">
      <c r="C81" s="29">
        <v>25</v>
      </c>
      <c r="D81">
        <f t="shared" si="3"/>
        <v>0.68442996490426722</v>
      </c>
      <c r="E81">
        <f t="shared" si="3"/>
        <v>1.3163450726738706</v>
      </c>
      <c r="F81">
        <f t="shared" si="3"/>
        <v>1.7081407612518986</v>
      </c>
      <c r="G81">
        <f t="shared" si="3"/>
        <v>2.0595385527532977</v>
      </c>
      <c r="H81">
        <f t="shared" si="3"/>
        <v>2.7874358136769706</v>
      </c>
      <c r="I81">
        <f t="shared" si="3"/>
        <v>3.0781994605435226</v>
      </c>
      <c r="J81">
        <f t="shared" si="3"/>
        <v>3.7251439497286496</v>
      </c>
    </row>
    <row r="82" spans="3:10" x14ac:dyDescent="0.45">
      <c r="C82" s="29">
        <v>26</v>
      </c>
      <c r="D82">
        <f t="shared" si="3"/>
        <v>0.68404297268287217</v>
      </c>
      <c r="E82">
        <f t="shared" si="3"/>
        <v>1.3149718642705173</v>
      </c>
      <c r="F82">
        <f t="shared" si="3"/>
        <v>1.7056179197592738</v>
      </c>
      <c r="G82">
        <f t="shared" si="3"/>
        <v>2.0555294386428731</v>
      </c>
      <c r="H82">
        <f t="shared" si="3"/>
        <v>2.7787145333296839</v>
      </c>
      <c r="I82">
        <f t="shared" si="3"/>
        <v>3.0669091164305566</v>
      </c>
      <c r="J82">
        <f t="shared" si="3"/>
        <v>3.7066117434809116</v>
      </c>
    </row>
    <row r="83" spans="3:10" x14ac:dyDescent="0.45">
      <c r="C83" s="29">
        <v>27</v>
      </c>
      <c r="D83">
        <f t="shared" si="3"/>
        <v>0.68368497913103199</v>
      </c>
      <c r="E83">
        <f t="shared" si="3"/>
        <v>1.3137029128292739</v>
      </c>
      <c r="F83">
        <f t="shared" si="3"/>
        <v>1.7032884457221271</v>
      </c>
      <c r="G83">
        <f t="shared" si="3"/>
        <v>2.0518305164802859</v>
      </c>
      <c r="H83">
        <f t="shared" si="3"/>
        <v>2.770682957122212</v>
      </c>
      <c r="I83">
        <f t="shared" si="3"/>
        <v>3.0565201088565046</v>
      </c>
      <c r="J83">
        <f t="shared" si="3"/>
        <v>3.6895917134592362</v>
      </c>
    </row>
    <row r="84" spans="3:10" x14ac:dyDescent="0.45">
      <c r="C84" s="29">
        <v>28</v>
      </c>
      <c r="D84">
        <f t="shared" si="3"/>
        <v>0.68335284298850385</v>
      </c>
      <c r="E84">
        <f t="shared" si="3"/>
        <v>1.3125267815926682</v>
      </c>
      <c r="F84">
        <f t="shared" si="3"/>
        <v>1.7011309342659326</v>
      </c>
      <c r="G84">
        <f t="shared" si="3"/>
        <v>2.0484071417952445</v>
      </c>
      <c r="H84">
        <f t="shared" si="3"/>
        <v>2.7632624554614447</v>
      </c>
      <c r="I84">
        <f t="shared" si="3"/>
        <v>3.0469287750530354</v>
      </c>
      <c r="J84">
        <f t="shared" si="3"/>
        <v>3.6739064007012763</v>
      </c>
    </row>
    <row r="85" spans="3:10" x14ac:dyDescent="0.45">
      <c r="C85" s="29">
        <v>29</v>
      </c>
      <c r="D85">
        <f t="shared" si="3"/>
        <v>0.68304386082161361</v>
      </c>
      <c r="E85">
        <f t="shared" si="3"/>
        <v>1.3114336473015527</v>
      </c>
      <c r="F85">
        <f t="shared" si="3"/>
        <v>1.6991270265334986</v>
      </c>
      <c r="G85">
        <f t="shared" si="3"/>
        <v>2.0452296421327048</v>
      </c>
      <c r="H85">
        <f t="shared" si="3"/>
        <v>2.7563859036706049</v>
      </c>
      <c r="I85">
        <f t="shared" si="3"/>
        <v>3.0380467448491753</v>
      </c>
      <c r="J85">
        <f t="shared" si="3"/>
        <v>3.659405019466333</v>
      </c>
    </row>
    <row r="86" spans="3:10" x14ac:dyDescent="0.45">
      <c r="C86" s="29">
        <v>30</v>
      </c>
      <c r="D86">
        <f t="shared" si="3"/>
        <v>0.68275569332128949</v>
      </c>
      <c r="E86">
        <f t="shared" si="3"/>
        <v>1.3104150253913947</v>
      </c>
      <c r="F86">
        <f t="shared" si="3"/>
        <v>1.6972608865939587</v>
      </c>
      <c r="G86">
        <f t="shared" si="3"/>
        <v>2.0422724563012378</v>
      </c>
      <c r="H86">
        <f t="shared" si="3"/>
        <v>2.7499956535672259</v>
      </c>
      <c r="I86">
        <f t="shared" si="3"/>
        <v>3.029798223648243</v>
      </c>
      <c r="J86">
        <f t="shared" si="3"/>
        <v>3.6459586350420214</v>
      </c>
    </row>
    <row r="87" spans="3:10" x14ac:dyDescent="0.45">
      <c r="C87" s="29">
        <v>31</v>
      </c>
      <c r="D87">
        <f t="shared" si="3"/>
        <v>0.68248630600257054</v>
      </c>
      <c r="E87">
        <f t="shared" si="3"/>
        <v>1.3094635494946458</v>
      </c>
      <c r="F87">
        <f t="shared" si="3"/>
        <v>1.6955187825458664</v>
      </c>
      <c r="G87">
        <f t="shared" si="3"/>
        <v>2.0395134463964082</v>
      </c>
      <c r="H87">
        <f t="shared" si="3"/>
        <v>2.7440419192942698</v>
      </c>
      <c r="I87">
        <f t="shared" si="3"/>
        <v>3.0221178343096851</v>
      </c>
      <c r="J87">
        <f t="shared" si="3"/>
        <v>3.633456349758331</v>
      </c>
    </row>
    <row r="88" spans="3:10" x14ac:dyDescent="0.45">
      <c r="C88" s="29">
        <v>32</v>
      </c>
      <c r="D88">
        <f t="shared" si="3"/>
        <v>0.68223392112627324</v>
      </c>
      <c r="E88">
        <f t="shared" si="3"/>
        <v>1.3085727931295197</v>
      </c>
      <c r="F88">
        <f t="shared" si="3"/>
        <v>1.6938887483837093</v>
      </c>
      <c r="G88">
        <f t="shared" si="3"/>
        <v>2.0369333434601011</v>
      </c>
      <c r="H88">
        <f t="shared" si="3"/>
        <v>2.7384814820121886</v>
      </c>
      <c r="I88">
        <f t="shared" si="3"/>
        <v>3.0149488883545028</v>
      </c>
      <c r="J88">
        <f t="shared" si="3"/>
        <v>3.6218022598674953</v>
      </c>
    </row>
    <row r="89" spans="3:10" x14ac:dyDescent="0.45">
      <c r="C89" s="29">
        <v>33</v>
      </c>
      <c r="D89">
        <f t="shared" si="3"/>
        <v>0.68199697844127993</v>
      </c>
      <c r="E89">
        <f t="shared" si="3"/>
        <v>1.3077371244508877</v>
      </c>
      <c r="F89">
        <f t="shared" si="3"/>
        <v>1.6923603090303456</v>
      </c>
      <c r="G89">
        <f t="shared" si="3"/>
        <v>2.0345152974493397</v>
      </c>
      <c r="H89">
        <f t="shared" si="3"/>
        <v>2.733276642350837</v>
      </c>
      <c r="I89">
        <f t="shared" si="3"/>
        <v>3.0082419901232798</v>
      </c>
      <c r="J89">
        <f t="shared" si="3"/>
        <v>3.6109130076544274</v>
      </c>
    </row>
    <row r="90" spans="3:10" x14ac:dyDescent="0.45">
      <c r="C90" s="29">
        <v>34</v>
      </c>
      <c r="D90">
        <f t="shared" ref="D90:J121" si="4">TINV(D$56,$C90)</f>
        <v>0.68177410291557616</v>
      </c>
      <c r="E90">
        <f t="shared" si="4"/>
        <v>1.3069515871264279</v>
      </c>
      <c r="F90">
        <f t="shared" si="4"/>
        <v>1.6909242551868542</v>
      </c>
      <c r="G90">
        <f t="shared" si="4"/>
        <v>2.0322445093177191</v>
      </c>
      <c r="H90">
        <f t="shared" si="4"/>
        <v>2.7283943670707203</v>
      </c>
      <c r="I90">
        <f t="shared" si="4"/>
        <v>3.0019539014540748</v>
      </c>
      <c r="J90">
        <f t="shared" si="4"/>
        <v>3.6007157973864077</v>
      </c>
    </row>
    <row r="91" spans="3:10" x14ac:dyDescent="0.45">
      <c r="C91" s="29">
        <v>35</v>
      </c>
      <c r="D91">
        <f t="shared" si="4"/>
        <v>0.68156407804658736</v>
      </c>
      <c r="E91">
        <f t="shared" si="4"/>
        <v>1.3062118020160358</v>
      </c>
      <c r="F91">
        <f t="shared" si="4"/>
        <v>1.6895724577802647</v>
      </c>
      <c r="G91">
        <f t="shared" si="4"/>
        <v>2.0301079282503438</v>
      </c>
      <c r="H91">
        <f t="shared" si="4"/>
        <v>2.7238055892080912</v>
      </c>
      <c r="I91">
        <f t="shared" si="4"/>
        <v>2.9960466119017921</v>
      </c>
      <c r="J91">
        <f t="shared" si="4"/>
        <v>3.5911467758107785</v>
      </c>
    </row>
    <row r="92" spans="3:10" x14ac:dyDescent="0.45">
      <c r="C92" s="29">
        <v>36</v>
      </c>
      <c r="D92">
        <f t="shared" si="4"/>
        <v>0.6813658236568686</v>
      </c>
      <c r="E92">
        <f t="shared" si="4"/>
        <v>1.3055138855362491</v>
      </c>
      <c r="F92">
        <f t="shared" si="4"/>
        <v>1.6882977141168172</v>
      </c>
      <c r="G92">
        <f t="shared" si="4"/>
        <v>2.028094000980452</v>
      </c>
      <c r="H92">
        <f t="shared" si="4"/>
        <v>2.7194846304500082</v>
      </c>
      <c r="I92">
        <f t="shared" si="4"/>
        <v>2.9904865723842788</v>
      </c>
      <c r="J92">
        <f t="shared" si="4"/>
        <v>3.5821497014563373</v>
      </c>
    </row>
    <row r="93" spans="3:10" x14ac:dyDescent="0.45">
      <c r="C93" s="29">
        <v>37</v>
      </c>
      <c r="D93">
        <f t="shared" si="4"/>
        <v>0.68117837731985531</v>
      </c>
      <c r="E93">
        <f t="shared" si="4"/>
        <v>1.3048543814976252</v>
      </c>
      <c r="F93">
        <f t="shared" si="4"/>
        <v>1.6870936195962629</v>
      </c>
      <c r="G93">
        <f t="shared" si="4"/>
        <v>2.026192463029111</v>
      </c>
      <c r="H93">
        <f t="shared" si="4"/>
        <v>2.7154087215499887</v>
      </c>
      <c r="I93">
        <f t="shared" si="4"/>
        <v>2.9852440597161727</v>
      </c>
      <c r="J93">
        <f t="shared" si="4"/>
        <v>3.5736748444452058</v>
      </c>
    </row>
    <row r="94" spans="3:10" x14ac:dyDescent="0.45">
      <c r="C94" s="29">
        <v>38</v>
      </c>
      <c r="D94">
        <f t="shared" si="4"/>
        <v>0.68100087874171833</v>
      </c>
      <c r="E94">
        <f t="shared" si="4"/>
        <v>1.3042302038905009</v>
      </c>
      <c r="F94">
        <f t="shared" si="4"/>
        <v>1.6859544601667387</v>
      </c>
      <c r="G94">
        <f t="shared" si="4"/>
        <v>2.0243941639119702</v>
      </c>
      <c r="H94">
        <f t="shared" si="4"/>
        <v>2.711557601913082</v>
      </c>
      <c r="I94">
        <f t="shared" si="4"/>
        <v>2.9802926466868227</v>
      </c>
      <c r="J94">
        <f t="shared" si="4"/>
        <v>3.5656780715802339</v>
      </c>
    </row>
    <row r="95" spans="3:10" x14ac:dyDescent="0.45">
      <c r="C95" s="29">
        <v>39</v>
      </c>
      <c r="D95">
        <f t="shared" si="4"/>
        <v>0.68083255656460673</v>
      </c>
      <c r="E95">
        <f t="shared" si="4"/>
        <v>1.3036385886212738</v>
      </c>
      <c r="F95">
        <f t="shared" si="4"/>
        <v>1.6848751217112248</v>
      </c>
      <c r="G95">
        <f t="shared" si="4"/>
        <v>2.0226909200367595</v>
      </c>
      <c r="H95">
        <f t="shared" si="4"/>
        <v>2.7079131835176615</v>
      </c>
      <c r="I95">
        <f t="shared" si="4"/>
        <v>2.9756087577929864</v>
      </c>
      <c r="J95">
        <f t="shared" si="4"/>
        <v>3.5581200813327323</v>
      </c>
    </row>
    <row r="96" spans="3:10" x14ac:dyDescent="0.45">
      <c r="C96" s="29">
        <v>40</v>
      </c>
      <c r="D96">
        <f t="shared" si="4"/>
        <v>0.68067271716444966</v>
      </c>
      <c r="E96">
        <f t="shared" si="4"/>
        <v>1.3030770526071962</v>
      </c>
      <c r="F96">
        <f t="shared" si="4"/>
        <v>1.6838510133356521</v>
      </c>
      <c r="G96">
        <f t="shared" si="4"/>
        <v>2.0210753903062737</v>
      </c>
      <c r="H96">
        <f t="shared" si="4"/>
        <v>2.7044592674331631</v>
      </c>
      <c r="I96">
        <f t="shared" si="4"/>
        <v>2.9711712949060733</v>
      </c>
      <c r="J96">
        <f t="shared" si="4"/>
        <v>3.5509657608633112</v>
      </c>
    </row>
    <row r="97" spans="3:10" x14ac:dyDescent="0.45">
      <c r="C97" s="29">
        <v>41</v>
      </c>
      <c r="D97">
        <f t="shared" si="4"/>
        <v>0.68052073510019795</v>
      </c>
      <c r="E97">
        <f t="shared" si="4"/>
        <v>1.3025433589533821</v>
      </c>
      <c r="F97">
        <f t="shared" si="4"/>
        <v>1.6828780021327077</v>
      </c>
      <c r="G97">
        <f t="shared" si="4"/>
        <v>2.0195409704413767</v>
      </c>
      <c r="H97">
        <f t="shared" si="4"/>
        <v>2.7011813035785219</v>
      </c>
      <c r="I97">
        <f t="shared" si="4"/>
        <v>2.9669613203650944</v>
      </c>
      <c r="J97">
        <f t="shared" si="4"/>
        <v>3.5441836429715834</v>
      </c>
    </row>
    <row r="98" spans="3:10" x14ac:dyDescent="0.45">
      <c r="C98" s="29">
        <v>42</v>
      </c>
      <c r="D98">
        <f t="shared" si="4"/>
        <v>0.68037604493738657</v>
      </c>
      <c r="E98">
        <f t="shared" si="4"/>
        <v>1.3020354871825144</v>
      </c>
      <c r="F98">
        <f t="shared" si="4"/>
        <v>1.6819523574675355</v>
      </c>
      <c r="G98">
        <f t="shared" si="4"/>
        <v>2.0180817028184461</v>
      </c>
      <c r="H98">
        <f t="shared" si="4"/>
        <v>2.6980661862199842</v>
      </c>
      <c r="I98">
        <f t="shared" si="4"/>
        <v>2.9629617874787026</v>
      </c>
      <c r="J98">
        <f t="shared" si="4"/>
        <v>3.5377454453274293</v>
      </c>
    </row>
    <row r="99" spans="3:10" x14ac:dyDescent="0.45">
      <c r="C99" s="29">
        <v>43</v>
      </c>
      <c r="D99">
        <f t="shared" si="4"/>
        <v>0.68023813422066126</v>
      </c>
      <c r="E99">
        <f t="shared" si="4"/>
        <v>1.301551607682168</v>
      </c>
      <c r="F99">
        <f t="shared" si="4"/>
        <v>1.6810707032025196</v>
      </c>
      <c r="G99">
        <f t="shared" si="4"/>
        <v>2.0166921992278248</v>
      </c>
      <c r="H99">
        <f t="shared" si="4"/>
        <v>2.695102079157675</v>
      </c>
      <c r="I99">
        <f t="shared" si="4"/>
        <v>2.9591573103669315</v>
      </c>
      <c r="J99">
        <f t="shared" si="4"/>
        <v>3.5316256778080515</v>
      </c>
    </row>
    <row r="100" spans="3:10" x14ac:dyDescent="0.45">
      <c r="C100" s="29">
        <v>44</v>
      </c>
      <c r="D100">
        <f t="shared" si="4"/>
        <v>0.68010653741124139</v>
      </c>
      <c r="E100">
        <f t="shared" si="4"/>
        <v>1.3010900596888011</v>
      </c>
      <c r="F100">
        <f t="shared" si="4"/>
        <v>1.680229976572116</v>
      </c>
      <c r="G100">
        <f t="shared" si="4"/>
        <v>2.0153675744437649</v>
      </c>
      <c r="H100">
        <f t="shared" si="4"/>
        <v>2.6922782656930231</v>
      </c>
      <c r="I100">
        <f t="shared" si="4"/>
        <v>2.9555339666050702</v>
      </c>
      <c r="J100">
        <f t="shared" si="4"/>
        <v>3.5258013064871769</v>
      </c>
    </row>
    <row r="101" spans="3:10" x14ac:dyDescent="0.45">
      <c r="C101" s="29">
        <v>45</v>
      </c>
      <c r="D101">
        <f t="shared" si="4"/>
        <v>0.67998083063819126</v>
      </c>
      <c r="E101">
        <f t="shared" si="4"/>
        <v>1.3006493322502373</v>
      </c>
      <c r="F101">
        <f t="shared" si="4"/>
        <v>1.6794273926523535</v>
      </c>
      <c r="G101">
        <f t="shared" si="4"/>
        <v>2.0141033888808457</v>
      </c>
      <c r="H101">
        <f t="shared" si="4"/>
        <v>2.6895850193746429</v>
      </c>
      <c r="I101">
        <f t="shared" si="4"/>
        <v>2.9520791273444176</v>
      </c>
      <c r="J101">
        <f t="shared" si="4"/>
        <v>3.5202514649710976</v>
      </c>
    </row>
    <row r="102" spans="3:10" x14ac:dyDescent="0.45">
      <c r="C102" s="29">
        <v>46</v>
      </c>
      <c r="D102">
        <f t="shared" si="4"/>
        <v>0.67986062713891449</v>
      </c>
      <c r="E102">
        <f t="shared" si="4"/>
        <v>1.3002280477069388</v>
      </c>
      <c r="F102">
        <f t="shared" si="4"/>
        <v>1.678660413556865</v>
      </c>
      <c r="G102">
        <f t="shared" si="4"/>
        <v>2.0128955989194299</v>
      </c>
      <c r="H102">
        <f t="shared" si="4"/>
        <v>2.6870134922422171</v>
      </c>
      <c r="I102">
        <f t="shared" si="4"/>
        <v>2.9487813105498906</v>
      </c>
      <c r="J102">
        <f t="shared" si="4"/>
        <v>3.5149572054818057</v>
      </c>
    </row>
    <row r="103" spans="3:10" x14ac:dyDescent="0.45">
      <c r="C103" s="29">
        <v>47</v>
      </c>
      <c r="D103">
        <f t="shared" si="4"/>
        <v>0.67974557328545526</v>
      </c>
      <c r="E103">
        <f t="shared" si="4"/>
        <v>1.2998249473116616</v>
      </c>
      <c r="F103">
        <f t="shared" si="4"/>
        <v>1.6779267216418625</v>
      </c>
      <c r="G103">
        <f t="shared" si="4"/>
        <v>2.0117405137297668</v>
      </c>
      <c r="H103">
        <f t="shared" si="4"/>
        <v>2.6845556178665255</v>
      </c>
      <c r="I103">
        <f t="shared" si="4"/>
        <v>2.9456300537673283</v>
      </c>
      <c r="J103">
        <f t="shared" si="4"/>
        <v>3.5099012834494778</v>
      </c>
    </row>
    <row r="104" spans="3:10" x14ac:dyDescent="0.45">
      <c r="C104" s="29">
        <v>48</v>
      </c>
      <c r="D104">
        <f t="shared" si="4"/>
        <v>0.67963534511070278</v>
      </c>
      <c r="E104">
        <f t="shared" si="4"/>
        <v>1.2994388786713924</v>
      </c>
      <c r="F104">
        <f t="shared" si="4"/>
        <v>1.6772241961243386</v>
      </c>
      <c r="G104">
        <f t="shared" si="4"/>
        <v>2.0106347576242314</v>
      </c>
      <c r="H104">
        <f t="shared" si="4"/>
        <v>2.6822040269502154</v>
      </c>
      <c r="I104">
        <f t="shared" si="4"/>
        <v>2.9426158034554675</v>
      </c>
      <c r="J104">
        <f t="shared" si="4"/>
        <v>3.5050679704702019</v>
      </c>
    </row>
    <row r="105" spans="3:10" x14ac:dyDescent="0.45">
      <c r="C105" s="29">
        <v>49</v>
      </c>
      <c r="D105">
        <f t="shared" si="4"/>
        <v>0.6795296452626528</v>
      </c>
      <c r="E105">
        <f t="shared" si="4"/>
        <v>1.2990687847477498</v>
      </c>
      <c r="F105">
        <f t="shared" si="4"/>
        <v>1.6765508926168529</v>
      </c>
      <c r="G105">
        <f t="shared" si="4"/>
        <v>2.0095752371292388</v>
      </c>
      <c r="H105">
        <f t="shared" si="4"/>
        <v>2.6799519736315514</v>
      </c>
      <c r="I105">
        <f t="shared" si="4"/>
        <v>2.9397298184209277</v>
      </c>
      <c r="J105">
        <f t="shared" si="4"/>
        <v>3.5004428913673662</v>
      </c>
    </row>
    <row r="106" spans="3:10" x14ac:dyDescent="0.45">
      <c r="C106" s="29">
        <v>50</v>
      </c>
      <c r="D106">
        <f t="shared" si="4"/>
        <v>0.6794282003263471</v>
      </c>
      <c r="E106">
        <f t="shared" si="4"/>
        <v>1.2987136941948108</v>
      </c>
      <c r="F106">
        <f t="shared" si="4"/>
        <v>1.6759050251630967</v>
      </c>
      <c r="G106">
        <f t="shared" si="4"/>
        <v>2.0085591121007611</v>
      </c>
      <c r="H106">
        <f t="shared" si="4"/>
        <v>2.6777932709408443</v>
      </c>
      <c r="I106">
        <f t="shared" si="4"/>
        <v>2.9369640853037615</v>
      </c>
      <c r="J106">
        <f t="shared" si="4"/>
        <v>3.4960128818111396</v>
      </c>
    </row>
    <row r="107" spans="3:10" x14ac:dyDescent="0.45">
      <c r="C107" s="29">
        <v>51</v>
      </c>
      <c r="D107">
        <f t="shared" si="4"/>
        <v>0.67933075846284718</v>
      </c>
      <c r="E107">
        <f t="shared" si="4"/>
        <v>1.2983727128483706</v>
      </c>
      <c r="F107">
        <f t="shared" si="4"/>
        <v>1.6752849504249088</v>
      </c>
      <c r="G107">
        <f t="shared" si="4"/>
        <v>2.007583770315835</v>
      </c>
      <c r="H107">
        <f t="shared" si="4"/>
        <v>2.6757222341106486</v>
      </c>
      <c r="I107">
        <f t="shared" si="4"/>
        <v>2.9343112443954844</v>
      </c>
      <c r="J107">
        <f t="shared" si="4"/>
        <v>3.4917658635339026</v>
      </c>
    </row>
    <row r="108" spans="3:10" x14ac:dyDescent="0.45">
      <c r="C108" s="29">
        <v>52</v>
      </c>
      <c r="D108">
        <f t="shared" si="4"/>
        <v>0.67923708732219779</v>
      </c>
      <c r="E108">
        <f t="shared" si="4"/>
        <v>1.2980450162097479</v>
      </c>
      <c r="F108">
        <f t="shared" si="4"/>
        <v>1.6746891537260258</v>
      </c>
      <c r="G108">
        <f t="shared" si="4"/>
        <v>2.0066468050616861</v>
      </c>
      <c r="H108">
        <f t="shared" si="4"/>
        <v>2.6737336306472206</v>
      </c>
      <c r="I108">
        <f t="shared" si="4"/>
        <v>2.9317645243457093</v>
      </c>
      <c r="J108">
        <f t="shared" si="4"/>
        <v>3.4876907346571904</v>
      </c>
    </row>
    <row r="109" spans="3:10" x14ac:dyDescent="0.45">
      <c r="C109" s="29">
        <v>53</v>
      </c>
      <c r="D109">
        <f t="shared" si="4"/>
        <v>0.6791469721940594</v>
      </c>
      <c r="E109">
        <f t="shared" si="4"/>
        <v>1.2977298427910675</v>
      </c>
      <c r="F109">
        <f t="shared" si="4"/>
        <v>1.6741162367030993</v>
      </c>
      <c r="G109">
        <f t="shared" si="4"/>
        <v>2.0057459953178696</v>
      </c>
      <c r="H109">
        <f t="shared" si="4"/>
        <v>2.6718226362410036</v>
      </c>
      <c r="I109">
        <f t="shared" si="4"/>
        <v>2.9293176845395941</v>
      </c>
      <c r="J109">
        <f t="shared" si="4"/>
        <v>3.4837772730384478</v>
      </c>
    </row>
    <row r="110" spans="3:10" x14ac:dyDescent="0.45">
      <c r="C110" s="29">
        <v>54</v>
      </c>
      <c r="D110">
        <f t="shared" si="4"/>
        <v>0.67906021436497543</v>
      </c>
      <c r="E110">
        <f t="shared" si="4"/>
        <v>1.2974264882090694</v>
      </c>
      <c r="F110">
        <f t="shared" si="4"/>
        <v>1.6735649063521589</v>
      </c>
      <c r="G110">
        <f t="shared" si="4"/>
        <v>2.0048792881880577</v>
      </c>
      <c r="H110">
        <f t="shared" si="4"/>
        <v>2.6699847957348912</v>
      </c>
      <c r="I110">
        <f t="shared" si="4"/>
        <v>2.926964964115164</v>
      </c>
      <c r="J110">
        <f t="shared" si="4"/>
        <v>3.4800160508702764</v>
      </c>
    </row>
    <row r="111" spans="3:10" x14ac:dyDescent="0.45">
      <c r="C111" s="29">
        <v>55</v>
      </c>
      <c r="D111">
        <f t="shared" si="4"/>
        <v>0.67897662965592642</v>
      </c>
      <c r="E111">
        <f t="shared" si="4"/>
        <v>1.2971342999309419</v>
      </c>
      <c r="F111">
        <f t="shared" si="4"/>
        <v>1.673033965289912</v>
      </c>
      <c r="G111">
        <f t="shared" si="4"/>
        <v>2.0040447832891455</v>
      </c>
      <c r="H111">
        <f t="shared" si="4"/>
        <v>2.6682159884861933</v>
      </c>
      <c r="I111">
        <f t="shared" si="4"/>
        <v>2.9247010367450219</v>
      </c>
      <c r="J111">
        <f t="shared" si="4"/>
        <v>3.4763983590335892</v>
      </c>
    </row>
    <row r="112" spans="3:10" x14ac:dyDescent="0.45">
      <c r="C112" s="29">
        <v>56</v>
      </c>
      <c r="D112">
        <f t="shared" si="4"/>
        <v>0.67889604711731799</v>
      </c>
      <c r="E112">
        <f t="shared" si="4"/>
        <v>1.2968526725898011</v>
      </c>
      <c r="F112">
        <f t="shared" si="4"/>
        <v>1.6725223030755785</v>
      </c>
      <c r="G112">
        <f t="shared" si="4"/>
        <v>2.0032407188478727</v>
      </c>
      <c r="H112">
        <f t="shared" si="4"/>
        <v>2.6665123975560618</v>
      </c>
      <c r="I112">
        <f t="shared" si="4"/>
        <v>2.9225209704363095</v>
      </c>
      <c r="J112">
        <f t="shared" si="4"/>
        <v>3.4729161399299082</v>
      </c>
    </row>
    <row r="113" spans="3:10" x14ac:dyDescent="0.45">
      <c r="C113" s="29">
        <v>57</v>
      </c>
      <c r="D113">
        <f t="shared" si="4"/>
        <v>0.67881830786219843</v>
      </c>
      <c r="E113">
        <f t="shared" si="4"/>
        <v>1.2965810437990108</v>
      </c>
      <c r="F113">
        <f t="shared" si="4"/>
        <v>1.6720288884609551</v>
      </c>
      <c r="G113">
        <f t="shared" si="4"/>
        <v>2.0024654592910065</v>
      </c>
      <c r="H113">
        <f t="shared" si="4"/>
        <v>2.6648704822419695</v>
      </c>
      <c r="I113">
        <f t="shared" si="4"/>
        <v>2.9204201917111519</v>
      </c>
      <c r="J113">
        <f t="shared" si="4"/>
        <v>3.4695619277047838</v>
      </c>
    </row>
    <row r="114" spans="3:10" x14ac:dyDescent="0.45">
      <c r="C114" s="29">
        <v>58</v>
      </c>
      <c r="D114">
        <f t="shared" si="4"/>
        <v>0.67874326402074703</v>
      </c>
      <c r="E114">
        <f t="shared" si="4"/>
        <v>1.2963188904044187</v>
      </c>
      <c r="F114">
        <f t="shared" si="4"/>
        <v>1.671552762454859</v>
      </c>
      <c r="G114">
        <f t="shared" si="4"/>
        <v>2.0017174841452352</v>
      </c>
      <c r="H114">
        <f t="shared" si="4"/>
        <v>2.663286953537658</v>
      </c>
      <c r="I114">
        <f t="shared" si="4"/>
        <v>2.9183944536208246</v>
      </c>
      <c r="J114">
        <f t="shared" si="4"/>
        <v>3.4663287949310115</v>
      </c>
    </row>
    <row r="115" spans="3:10" x14ac:dyDescent="0.45">
      <c r="C115" s="29">
        <v>59</v>
      </c>
      <c r="D115">
        <f t="shared" si="4"/>
        <v>0.67867077780171603</v>
      </c>
      <c r="E115">
        <f t="shared" si="4"/>
        <v>1.2960657251220524</v>
      </c>
      <c r="F115">
        <f t="shared" si="4"/>
        <v>1.6710930321038957</v>
      </c>
      <c r="G115">
        <f t="shared" si="4"/>
        <v>2.0009953780882688</v>
      </c>
      <c r="H115">
        <f t="shared" si="4"/>
        <v>2.6617587521629682</v>
      </c>
      <c r="I115">
        <f t="shared" si="4"/>
        <v>2.9164398071234019</v>
      </c>
      <c r="J115">
        <f t="shared" si="4"/>
        <v>3.463210304951942</v>
      </c>
    </row>
    <row r="116" spans="3:10" x14ac:dyDescent="0.45">
      <c r="C116" s="29">
        <v>60</v>
      </c>
      <c r="D116">
        <f t="shared" si="4"/>
        <v>0.67860072064813881</v>
      </c>
      <c r="E116">
        <f t="shared" si="4"/>
        <v>1.2958210935157342</v>
      </c>
      <c r="F116">
        <f t="shared" si="4"/>
        <v>1.6706488649046354</v>
      </c>
      <c r="G116">
        <f t="shared" si="4"/>
        <v>2.0002978220142609</v>
      </c>
      <c r="H116">
        <f t="shared" si="4"/>
        <v>2.6602830288550381</v>
      </c>
      <c r="I116">
        <f t="shared" si="4"/>
        <v>2.9145525754194992</v>
      </c>
      <c r="J116">
        <f t="shared" si="4"/>
        <v>3.4602004691963555</v>
      </c>
    </row>
    <row r="117" spans="3:10" x14ac:dyDescent="0.45">
      <c r="C117" s="29">
        <v>61</v>
      </c>
      <c r="D117">
        <f t="shared" si="4"/>
        <v>0.67853297247653332</v>
      </c>
      <c r="E117">
        <f t="shared" si="4"/>
        <v>1.2955845712752145</v>
      </c>
      <c r="F117">
        <f t="shared" si="4"/>
        <v>1.6702194837737363</v>
      </c>
      <c r="G117">
        <f t="shared" si="4"/>
        <v>1.9996235849949404</v>
      </c>
      <c r="H117">
        <f t="shared" si="4"/>
        <v>2.6588571266539258</v>
      </c>
      <c r="I117">
        <f t="shared" si="4"/>
        <v>2.9127293308955386</v>
      </c>
      <c r="J117">
        <f t="shared" si="4"/>
        <v>3.4572937088704121</v>
      </c>
    </row>
    <row r="118" spans="3:10" x14ac:dyDescent="0.45">
      <c r="C118" s="29">
        <v>62</v>
      </c>
      <c r="D118">
        <f t="shared" si="4"/>
        <v>0.67846742099015378</v>
      </c>
      <c r="E118">
        <f t="shared" si="4"/>
        <v>1.2953557617605702</v>
      </c>
      <c r="F118">
        <f t="shared" si="4"/>
        <v>1.6698041625120112</v>
      </c>
      <c r="G118">
        <f t="shared" si="4"/>
        <v>1.9989715170333793</v>
      </c>
      <c r="H118">
        <f t="shared" si="4"/>
        <v>2.6574785649511572</v>
      </c>
      <c r="I118">
        <f t="shared" si="4"/>
        <v>2.9109668743706907</v>
      </c>
      <c r="J118">
        <f t="shared" si="4"/>
        <v>3.45448482051202</v>
      </c>
    </row>
    <row r="119" spans="3:10" x14ac:dyDescent="0.45">
      <c r="C119" s="29">
        <v>63</v>
      </c>
      <c r="D119">
        <f t="shared" si="4"/>
        <v>0.67840396105786294</v>
      </c>
      <c r="E119">
        <f t="shared" si="4"/>
        <v>1.2951342937828914</v>
      </c>
      <c r="F119">
        <f t="shared" si="4"/>
        <v>1.6694022217068125</v>
      </c>
      <c r="G119">
        <f t="shared" si="4"/>
        <v>1.9983405425207412</v>
      </c>
      <c r="H119">
        <f t="shared" si="4"/>
        <v>2.6561450250998613</v>
      </c>
      <c r="I119">
        <f t="shared" si="4"/>
        <v>2.9092622163834236</v>
      </c>
      <c r="J119">
        <f t="shared" si="4"/>
        <v>3.4517689449609983</v>
      </c>
    </row>
    <row r="120" spans="3:10" x14ac:dyDescent="0.45">
      <c r="C120" s="29">
        <v>64</v>
      </c>
      <c r="D120">
        <f t="shared" si="4"/>
        <v>0.67834249415162207</v>
      </c>
      <c r="E120">
        <f t="shared" si="4"/>
        <v>1.2949198195951703</v>
      </c>
      <c r="F120">
        <f t="shared" si="4"/>
        <v>1.6690130250240895</v>
      </c>
      <c r="G120">
        <f t="shared" si="4"/>
        <v>1.9977296543176954</v>
      </c>
      <c r="H120">
        <f t="shared" si="4"/>
        <v>2.6548543374110856</v>
      </c>
      <c r="I120">
        <f t="shared" si="4"/>
        <v>2.9076125602876033</v>
      </c>
      <c r="J120">
        <f t="shared" si="4"/>
        <v>3.4491415393563734</v>
      </c>
    </row>
    <row r="121" spans="3:10" x14ac:dyDescent="0.45">
      <c r="C121" s="29">
        <v>65</v>
      </c>
      <c r="D121">
        <f t="shared" si="4"/>
        <v>0.67828292783610455</v>
      </c>
      <c r="E121">
        <f t="shared" si="4"/>
        <v>1.294712013070648</v>
      </c>
      <c r="F121">
        <f t="shared" si="4"/>
        <v>1.6686359758475535</v>
      </c>
      <c r="G121">
        <f t="shared" si="4"/>
        <v>1.9971379083920051</v>
      </c>
      <c r="H121">
        <f t="shared" si="4"/>
        <v>2.6536044693829237</v>
      </c>
      <c r="I121">
        <f t="shared" si="4"/>
        <v>2.9060152869573033</v>
      </c>
      <c r="J121">
        <f t="shared" si="4"/>
        <v>3.4465983518219709</v>
      </c>
    </row>
    <row r="122" spans="3:10" x14ac:dyDescent="0.45">
      <c r="C122" s="29">
        <v>66</v>
      </c>
      <c r="D122">
        <f t="shared" ref="D122:J153" si="5">TINV(D$56,$C122)</f>
        <v>0.67822517530491255</v>
      </c>
      <c r="E122">
        <f t="shared" si="5"/>
        <v>1.2945105680482982</v>
      </c>
      <c r="F122">
        <f t="shared" si="5"/>
        <v>1.6682705142276302</v>
      </c>
      <c r="G122">
        <f t="shared" si="5"/>
        <v>1.996564418952312</v>
      </c>
      <c r="H122">
        <f t="shared" si="5"/>
        <v>2.6523935150283151</v>
      </c>
      <c r="I122">
        <f t="shared" si="5"/>
        <v>2.9044679409245098</v>
      </c>
      <c r="J122">
        <f t="shared" si="5"/>
        <v>3.4441353985440073</v>
      </c>
    </row>
    <row r="123" spans="3:10" x14ac:dyDescent="0.45">
      <c r="C123" s="29">
        <v>67</v>
      </c>
      <c r="D123">
        <f t="shared" si="5"/>
        <v>0.67816915495855412</v>
      </c>
      <c r="E123">
        <f t="shared" si="5"/>
        <v>1.2943151968280293</v>
      </c>
      <c r="F123">
        <f t="shared" si="5"/>
        <v>1.6679161141074239</v>
      </c>
      <c r="G123">
        <f t="shared" si="5"/>
        <v>1.9960083540252964</v>
      </c>
      <c r="H123">
        <f t="shared" si="5"/>
        <v>2.6512196851836585</v>
      </c>
      <c r="I123">
        <f t="shared" si="5"/>
        <v>2.9029682177955918</v>
      </c>
      <c r="J123">
        <f t="shared" si="5"/>
        <v>3.4417489429811972</v>
      </c>
    </row>
    <row r="124" spans="3:10" x14ac:dyDescent="0.45">
      <c r="C124" s="29">
        <v>68</v>
      </c>
      <c r="D124">
        <f t="shared" si="5"/>
        <v>0.67811479001980624</v>
      </c>
      <c r="E124">
        <f t="shared" si="5"/>
        <v>1.2941256287999623</v>
      </c>
      <c r="F124">
        <f t="shared" si="5"/>
        <v>1.6675722807967104</v>
      </c>
      <c r="G124">
        <f t="shared" si="5"/>
        <v>1.9954689314298424</v>
      </c>
      <c r="H124">
        <f t="shared" si="5"/>
        <v>2.6500812986947286</v>
      </c>
      <c r="I124">
        <f t="shared" si="5"/>
        <v>2.9015139528109786</v>
      </c>
      <c r="J124">
        <f t="shared" si="5"/>
        <v>3.439435476979499</v>
      </c>
    </row>
    <row r="125" spans="3:10" x14ac:dyDescent="0.45">
      <c r="C125" s="29">
        <v>69</v>
      </c>
      <c r="D125">
        <f t="shared" si="5"/>
        <v>0.67806200818270401</v>
      </c>
      <c r="E125">
        <f t="shared" si="5"/>
        <v>1.2939416091940081</v>
      </c>
      <c r="F125">
        <f t="shared" si="5"/>
        <v>1.6672385486685533</v>
      </c>
      <c r="G125">
        <f t="shared" si="5"/>
        <v>1.9949454151072357</v>
      </c>
      <c r="H125">
        <f t="shared" si="5"/>
        <v>2.6489767743886254</v>
      </c>
      <c r="I125">
        <f t="shared" si="5"/>
        <v>2.9001031104287311</v>
      </c>
      <c r="J125">
        <f t="shared" si="5"/>
        <v>3.4371917035910893</v>
      </c>
    </row>
    <row r="126" spans="3:10" x14ac:dyDescent="0.45">
      <c r="C126" s="29">
        <v>70</v>
      </c>
      <c r="D126">
        <f t="shared" si="5"/>
        <v>0.67801074129170669</v>
      </c>
      <c r="E126">
        <f t="shared" si="5"/>
        <v>1.2937628979376541</v>
      </c>
      <c r="F126">
        <f t="shared" si="5"/>
        <v>1.6669144790559576</v>
      </c>
      <c r="G126">
        <f t="shared" si="5"/>
        <v>1.9944371117711854</v>
      </c>
      <c r="H126">
        <f t="shared" si="5"/>
        <v>2.6479046237511512</v>
      </c>
      <c r="I126">
        <f t="shared" si="5"/>
        <v>2.8987337748266873</v>
      </c>
      <c r="J126">
        <f t="shared" si="5"/>
        <v>3.4350145214208152</v>
      </c>
    </row>
    <row r="127" spans="3:10" x14ac:dyDescent="0.45">
      <c r="C127" s="29">
        <v>71</v>
      </c>
      <c r="D127">
        <f t="shared" si="5"/>
        <v>0.67796092504812122</v>
      </c>
      <c r="E127">
        <f t="shared" si="5"/>
        <v>1.293589268611236</v>
      </c>
      <c r="F127">
        <f t="shared" si="5"/>
        <v>1.6665996583285314</v>
      </c>
      <c r="G127">
        <f t="shared" si="5"/>
        <v>1.9939433678456266</v>
      </c>
      <c r="H127">
        <f t="shared" si="5"/>
        <v>2.6468634442383925</v>
      </c>
      <c r="I127">
        <f t="shared" si="5"/>
        <v>2.8974041412300653</v>
      </c>
      <c r="J127">
        <f t="shared" si="5"/>
        <v>3.4329010103440991</v>
      </c>
    </row>
    <row r="128" spans="3:10" x14ac:dyDescent="0.45">
      <c r="C128" s="29">
        <v>72</v>
      </c>
      <c r="D128">
        <f t="shared" si="5"/>
        <v>0.67791249874111115</v>
      </c>
      <c r="E128">
        <f t="shared" si="5"/>
        <v>1.2934205074909773</v>
      </c>
      <c r="F128">
        <f t="shared" si="5"/>
        <v>1.6662936961315378</v>
      </c>
      <c r="G128">
        <f t="shared" si="5"/>
        <v>1.9934635666618719</v>
      </c>
      <c r="H128">
        <f t="shared" si="5"/>
        <v>2.6458519131593259</v>
      </c>
      <c r="I128">
        <f t="shared" si="5"/>
        <v>2.8961125079820049</v>
      </c>
      <c r="J128">
        <f t="shared" si="5"/>
        <v>3.430848418458126</v>
      </c>
    </row>
    <row r="129" spans="3:10" x14ac:dyDescent="0.45">
      <c r="C129" s="29">
        <v>73</v>
      </c>
      <c r="D129">
        <f t="shared" si="5"/>
        <v>0.67786540500090808</v>
      </c>
      <c r="E129">
        <f t="shared" si="5"/>
        <v>1.2932564126714845</v>
      </c>
      <c r="F129">
        <f t="shared" si="5"/>
        <v>1.6659962237714305</v>
      </c>
      <c r="G129">
        <f t="shared" si="5"/>
        <v>1.9929971258898567</v>
      </c>
      <c r="H129">
        <f t="shared" si="5"/>
        <v>2.6448687820733814</v>
      </c>
      <c r="I129">
        <f t="shared" si="5"/>
        <v>2.8948572692839085</v>
      </c>
      <c r="J129">
        <f t="shared" si="5"/>
        <v>3.4288541501438901</v>
      </c>
    </row>
    <row r="130" spans="3:10" x14ac:dyDescent="0.45">
      <c r="C130" s="29">
        <v>74</v>
      </c>
      <c r="D130">
        <f t="shared" si="5"/>
        <v>0.67781958957205235</v>
      </c>
      <c r="E130">
        <f t="shared" si="5"/>
        <v>1.2930967932600044</v>
      </c>
      <c r="F130">
        <f t="shared" si="5"/>
        <v>1.6657068927340244</v>
      </c>
      <c r="G130">
        <f t="shared" si="5"/>
        <v>1.992543495180934</v>
      </c>
      <c r="H130">
        <f t="shared" si="5"/>
        <v>2.64391287165309</v>
      </c>
      <c r="I130">
        <f t="shared" si="5"/>
        <v>2.8936369085404432</v>
      </c>
      <c r="J130">
        <f t="shared" si="5"/>
        <v>3.4269157551303602</v>
      </c>
    </row>
    <row r="131" spans="3:10" x14ac:dyDescent="0.45">
      <c r="C131" s="29">
        <v>75</v>
      </c>
      <c r="D131">
        <f t="shared" si="5"/>
        <v>0.67777500110493227</v>
      </c>
      <c r="E131">
        <f t="shared" si="5"/>
        <v>1.2929414686356859</v>
      </c>
      <c r="F131">
        <f t="shared" si="5"/>
        <v>1.6654253733225626</v>
      </c>
      <c r="G131">
        <f t="shared" si="5"/>
        <v>1.9921021540022406</v>
      </c>
      <c r="H131">
        <f t="shared" si="5"/>
        <v>2.6429830669673917</v>
      </c>
      <c r="I131">
        <f t="shared" si="5"/>
        <v>2.8924499922513127</v>
      </c>
      <c r="J131">
        <f t="shared" si="5"/>
        <v>3.4250309184639538</v>
      </c>
    </row>
    <row r="132" spans="3:10" x14ac:dyDescent="0.45">
      <c r="C132" s="29">
        <v>76</v>
      </c>
      <c r="D132">
        <f t="shared" si="5"/>
        <v>0.67773159096383728</v>
      </c>
      <c r="E132">
        <f t="shared" si="5"/>
        <v>1.2927902677678638</v>
      </c>
      <c r="F132">
        <f t="shared" si="5"/>
        <v>1.6651513534046942</v>
      </c>
      <c r="G132">
        <f t="shared" si="5"/>
        <v>1.991672609644662</v>
      </c>
      <c r="H132">
        <f t="shared" si="5"/>
        <v>2.6420783131459933</v>
      </c>
      <c r="I132">
        <f t="shared" si="5"/>
        <v>2.8912951643980631</v>
      </c>
      <c r="J132">
        <f t="shared" si="5"/>
        <v>3.4231974512971659</v>
      </c>
    </row>
    <row r="133" spans="3:10" x14ac:dyDescent="0.45">
      <c r="C133" s="29">
        <v>77</v>
      </c>
      <c r="D133">
        <f t="shared" si="5"/>
        <v>0.67768931304996416</v>
      </c>
      <c r="E133">
        <f t="shared" si="5"/>
        <v>1.2926430285879402</v>
      </c>
      <c r="F133">
        <f t="shared" si="5"/>
        <v>1.6648845372582084</v>
      </c>
      <c r="G133">
        <f t="shared" si="5"/>
        <v>1.9912543953883848</v>
      </c>
      <c r="H133">
        <f t="shared" si="5"/>
        <v>2.6411976113892712</v>
      </c>
      <c r="I133">
        <f t="shared" si="5"/>
        <v>2.8901711412797715</v>
      </c>
      <c r="J133">
        <f t="shared" si="5"/>
        <v>3.4214132824193051</v>
      </c>
    </row>
    <row r="134" spans="3:10" x14ac:dyDescent="0.45">
      <c r="C134" s="29">
        <v>78</v>
      </c>
      <c r="D134">
        <f t="shared" si="5"/>
        <v>0.67764812363817284</v>
      </c>
      <c r="E134">
        <f t="shared" si="5"/>
        <v>1.2924995974099172</v>
      </c>
      <c r="F134">
        <f t="shared" si="5"/>
        <v>1.6646246445066122</v>
      </c>
      <c r="G134">
        <f t="shared" si="5"/>
        <v>1.9908470688116919</v>
      </c>
      <c r="H134">
        <f t="shared" si="5"/>
        <v>2.6403400152921264</v>
      </c>
      <c r="I134">
        <f t="shared" si="5"/>
        <v>2.8890767067563141</v>
      </c>
      <c r="J134">
        <f t="shared" si="5"/>
        <v>3.4196764504605754</v>
      </c>
    </row>
    <row r="135" spans="3:10" x14ac:dyDescent="0.45">
      <c r="C135" s="29">
        <v>79</v>
      </c>
      <c r="D135">
        <f t="shared" si="5"/>
        <v>0.67760798122611865</v>
      </c>
      <c r="E135">
        <f t="shared" si="5"/>
        <v>1.2923598283954396</v>
      </c>
      <c r="F135">
        <f t="shared" si="5"/>
        <v>1.6643714091365507</v>
      </c>
      <c r="G135">
        <f t="shared" si="5"/>
        <v>1.9904502102301287</v>
      </c>
      <c r="H135">
        <f t="shared" si="5"/>
        <v>2.6395046274532201</v>
      </c>
      <c r="I135">
        <f t="shared" si="5"/>
        <v>2.8880107078621089</v>
      </c>
      <c r="J135">
        <f t="shared" si="5"/>
        <v>3.4179850967078589</v>
      </c>
    </row>
    <row r="136" spans="3:10" x14ac:dyDescent="0.45">
      <c r="C136" s="29">
        <v>80</v>
      </c>
      <c r="D136">
        <f t="shared" si="5"/>
        <v>0.67756884639483062</v>
      </c>
      <c r="E136">
        <f t="shared" si="5"/>
        <v>1.2922235830591293</v>
      </c>
      <c r="F136">
        <f t="shared" si="5"/>
        <v>1.6641245785896708</v>
      </c>
      <c r="G136">
        <f t="shared" si="5"/>
        <v>1.9900634212544475</v>
      </c>
      <c r="H136">
        <f t="shared" si="5"/>
        <v>2.6386905963441825</v>
      </c>
      <c r="I136">
        <f t="shared" si="5"/>
        <v>2.8869720507572003</v>
      </c>
      <c r="J136">
        <f t="shared" si="5"/>
        <v>3.4163374584769461</v>
      </c>
    </row>
    <row r="137" spans="3:10" x14ac:dyDescent="0.45">
      <c r="C137" s="29">
        <v>81</v>
      </c>
      <c r="D137">
        <f t="shared" si="5"/>
        <v>0.67753068167958108</v>
      </c>
      <c r="E137">
        <f t="shared" si="5"/>
        <v>1.2920907298110498</v>
      </c>
      <c r="F137">
        <f t="shared" si="5"/>
        <v>1.6638839129226006</v>
      </c>
      <c r="G137">
        <f t="shared" si="5"/>
        <v>1.9896863234569038</v>
      </c>
      <c r="H137">
        <f t="shared" si="5"/>
        <v>2.637897113415776</v>
      </c>
      <c r="I137">
        <f t="shared" si="5"/>
        <v>2.8859596969857129</v>
      </c>
      <c r="J137">
        <f t="shared" si="5"/>
        <v>3.4147318629915833</v>
      </c>
    </row>
    <row r="138" spans="3:10" x14ac:dyDescent="0.45">
      <c r="C138" s="29">
        <v>82</v>
      </c>
      <c r="D138">
        <f t="shared" si="5"/>
        <v>0.67749345145022366</v>
      </c>
      <c r="E138">
        <f t="shared" si="5"/>
        <v>1.2919611435327278</v>
      </c>
      <c r="F138">
        <f t="shared" si="5"/>
        <v>1.6636491840290772</v>
      </c>
      <c r="G138">
        <f t="shared" si="5"/>
        <v>1.9893185571365706</v>
      </c>
      <c r="H138">
        <f t="shared" si="5"/>
        <v>2.6371234104203745</v>
      </c>
      <c r="I138">
        <f t="shared" si="5"/>
        <v>2.8849726600148831</v>
      </c>
      <c r="J138">
        <f t="shared" si="5"/>
        <v>3.4131667217246888</v>
      </c>
    </row>
    <row r="139" spans="3:10" x14ac:dyDescent="0.45">
      <c r="C139" s="29">
        <v>83</v>
      </c>
      <c r="D139">
        <f t="shared" si="5"/>
        <v>0.67745712180035156</v>
      </c>
      <c r="E139">
        <f t="shared" si="5"/>
        <v>1.291834705184236</v>
      </c>
      <c r="F139">
        <f t="shared" si="5"/>
        <v>1.6634201749188866</v>
      </c>
      <c r="G139">
        <f t="shared" si="5"/>
        <v>1.9889597801751635</v>
      </c>
      <c r="H139">
        <f t="shared" si="5"/>
        <v>2.6363687569321219</v>
      </c>
      <c r="I139">
        <f t="shared" si="5"/>
        <v>2.8840100020303447</v>
      </c>
      <c r="J139">
        <f t="shared" si="5"/>
        <v>3.4116405251615696</v>
      </c>
    </row>
    <row r="140" spans="3:10" x14ac:dyDescent="0.45">
      <c r="C140" s="29">
        <v>84</v>
      </c>
      <c r="D140">
        <f t="shared" si="5"/>
        <v>0.6774216604442167</v>
      </c>
      <c r="E140">
        <f t="shared" si="5"/>
        <v>1.2917113014394768</v>
      </c>
      <c r="F140">
        <f t="shared" si="5"/>
        <v>1.6631966790489103</v>
      </c>
      <c r="G140">
        <f t="shared" si="5"/>
        <v>1.9886096669757098</v>
      </c>
      <c r="H140">
        <f t="shared" si="5"/>
        <v>2.6356324580479598</v>
      </c>
      <c r="I140">
        <f t="shared" si="5"/>
        <v>2.8830708309658521</v>
      </c>
      <c r="J140">
        <f t="shared" si="5"/>
        <v>3.4101518379488622</v>
      </c>
    </row>
    <row r="141" spans="3:10" x14ac:dyDescent="0.45">
      <c r="C141" s="29">
        <v>85</v>
      </c>
      <c r="D141">
        <f t="shared" si="5"/>
        <v>0.67738703662106614</v>
      </c>
      <c r="E141">
        <f t="shared" si="5"/>
        <v>1.2915908243473977</v>
      </c>
      <c r="F141">
        <f t="shared" si="5"/>
        <v>1.6629784997019019</v>
      </c>
      <c r="G141">
        <f t="shared" si="5"/>
        <v>1.9882679074772251</v>
      </c>
      <c r="H141">
        <f t="shared" si="5"/>
        <v>2.6349138522543041</v>
      </c>
      <c r="I141">
        <f t="shared" si="5"/>
        <v>2.882154297747697</v>
      </c>
      <c r="J141">
        <f t="shared" si="5"/>
        <v>3.4086992943964334</v>
      </c>
    </row>
    <row r="142" spans="3:10" x14ac:dyDescent="0.45">
      <c r="C142" s="29">
        <v>86</v>
      </c>
      <c r="D142">
        <f t="shared" si="5"/>
        <v>0.67735322100620998</v>
      </c>
      <c r="E142">
        <f t="shared" si="5"/>
        <v>1.2914731710171075</v>
      </c>
      <c r="F142">
        <f t="shared" si="5"/>
        <v>1.662765449409072</v>
      </c>
      <c r="G142">
        <f t="shared" si="5"/>
        <v>1.987934206239018</v>
      </c>
      <c r="H142">
        <f t="shared" si="5"/>
        <v>2.6342123094456342</v>
      </c>
      <c r="I142">
        <f t="shared" si="5"/>
        <v>2.8812595937358711</v>
      </c>
      <c r="J142">
        <f t="shared" si="5"/>
        <v>3.407281594302725</v>
      </c>
    </row>
    <row r="143" spans="3:10" x14ac:dyDescent="0.45">
      <c r="C143" s="29">
        <v>87</v>
      </c>
      <c r="D143">
        <f t="shared" si="5"/>
        <v>0.67732018562808383</v>
      </c>
      <c r="E143">
        <f t="shared" si="5"/>
        <v>1.2913582433247877</v>
      </c>
      <c r="F143">
        <f t="shared" si="5"/>
        <v>1.662557349412876</v>
      </c>
      <c r="G143">
        <f t="shared" si="5"/>
        <v>1.9876082815890745</v>
      </c>
      <c r="H143">
        <f t="shared" si="5"/>
        <v>2.6335272290824983</v>
      </c>
      <c r="I143">
        <f t="shared" si="5"/>
        <v>2.8803859483458192</v>
      </c>
      <c r="J143">
        <f t="shared" si="5"/>
        <v>3.4058974990766364</v>
      </c>
    </row>
    <row r="144" spans="3:10" x14ac:dyDescent="0.45">
      <c r="C144" s="29">
        <v>88</v>
      </c>
      <c r="D144">
        <f t="shared" si="5"/>
        <v>0.67728790379122439</v>
      </c>
      <c r="E144">
        <f t="shared" si="5"/>
        <v>1.2912459476407916</v>
      </c>
      <c r="F144">
        <f t="shared" si="5"/>
        <v>1.662354029166899</v>
      </c>
      <c r="G144">
        <f t="shared" si="5"/>
        <v>1.9872898648311721</v>
      </c>
      <c r="H144">
        <f t="shared" si="5"/>
        <v>2.6328580384776465</v>
      </c>
      <c r="I144">
        <f t="shared" si="5"/>
        <v>2.8795326268360961</v>
      </c>
      <c r="J144">
        <f t="shared" si="5"/>
        <v>3.4045458281317469</v>
      </c>
    </row>
    <row r="145" spans="3:10" x14ac:dyDescent="0.45">
      <c r="C145" s="29">
        <v>89</v>
      </c>
      <c r="D145">
        <f t="shared" si="5"/>
        <v>0.67725635000417672</v>
      </c>
      <c r="E145">
        <f t="shared" si="5"/>
        <v>1.2911361945752782</v>
      </c>
      <c r="F145">
        <f t="shared" si="5"/>
        <v>1.6621553258697011</v>
      </c>
      <c r="G145">
        <f t="shared" si="5"/>
        <v>1.986978699506285</v>
      </c>
      <c r="H145">
        <f t="shared" si="5"/>
        <v>2.6322041912000063</v>
      </c>
      <c r="I145">
        <f t="shared" si="5"/>
        <v>2.878698928248558</v>
      </c>
      <c r="J145">
        <f t="shared" si="5"/>
        <v>3.4032254555307562</v>
      </c>
    </row>
    <row r="146" spans="3:10" x14ac:dyDescent="0.45">
      <c r="C146" s="29">
        <v>90</v>
      </c>
      <c r="D146">
        <f t="shared" si="5"/>
        <v>0.67722549991249448</v>
      </c>
      <c r="E146">
        <f t="shared" si="5"/>
        <v>1.2910288987408942</v>
      </c>
      <c r="F146">
        <f t="shared" si="5"/>
        <v>1.661961084030164</v>
      </c>
      <c r="G146">
        <f t="shared" si="5"/>
        <v>1.986674540703772</v>
      </c>
      <c r="H146">
        <f t="shared" si="5"/>
        <v>2.6315651655871597</v>
      </c>
      <c r="I146">
        <f t="shared" si="5"/>
        <v>2.8778841834889604</v>
      </c>
      <c r="J146">
        <f t="shared" si="5"/>
        <v>3.4019353068602105</v>
      </c>
    </row>
    <row r="147" spans="3:10" x14ac:dyDescent="0.45">
      <c r="C147" s="29">
        <v>91</v>
      </c>
      <c r="D147">
        <f t="shared" si="5"/>
        <v>0.67719533023598455</v>
      </c>
      <c r="E147">
        <f t="shared" si="5"/>
        <v>1.2909239785312321</v>
      </c>
      <c r="F147">
        <f t="shared" si="5"/>
        <v>1.6617711550616978</v>
      </c>
      <c r="G147">
        <f t="shared" si="5"/>
        <v>1.9863771544186202</v>
      </c>
      <c r="H147">
        <f t="shared" si="5"/>
        <v>2.6309404633577622</v>
      </c>
      <c r="I147">
        <f t="shared" si="5"/>
        <v>2.8770877535369568</v>
      </c>
      <c r="J147">
        <f t="shared" si="5"/>
        <v>3.4006743563171655</v>
      </c>
    </row>
    <row r="148" spans="3:10" x14ac:dyDescent="0.45">
      <c r="C148" s="29">
        <v>92</v>
      </c>
      <c r="D148">
        <f t="shared" si="5"/>
        <v>0.67716581871011294</v>
      </c>
      <c r="E148">
        <f t="shared" si="5"/>
        <v>1.2908213559139037</v>
      </c>
      <c r="F148">
        <f t="shared" si="5"/>
        <v>1.6615853969032315</v>
      </c>
      <c r="G148">
        <f t="shared" si="5"/>
        <v>1.9860863169511298</v>
      </c>
      <c r="H148">
        <f t="shared" si="5"/>
        <v>2.6303296083162864</v>
      </c>
      <c r="I148">
        <f t="shared" si="5"/>
        <v>2.8763090277753824</v>
      </c>
      <c r="J148">
        <f t="shared" si="5"/>
        <v>3.3994416239913354</v>
      </c>
    </row>
    <row r="149" spans="3:10" x14ac:dyDescent="0.45">
      <c r="C149" s="29">
        <v>93</v>
      </c>
      <c r="D149">
        <f t="shared" si="5"/>
        <v>0.67713694403127722</v>
      </c>
      <c r="E149">
        <f t="shared" si="5"/>
        <v>1.2907209562369371</v>
      </c>
      <c r="F149">
        <f t="shared" si="5"/>
        <v>1.6614036736648974</v>
      </c>
      <c r="G149">
        <f t="shared" si="5"/>
        <v>1.9858018143458216</v>
      </c>
      <c r="H149">
        <f t="shared" si="5"/>
        <v>2.6297321451428344</v>
      </c>
      <c r="I149">
        <f t="shared" si="5"/>
        <v>2.8755474224296944</v>
      </c>
      <c r="J149">
        <f t="shared" si="5"/>
        <v>3.3982361733275277</v>
      </c>
    </row>
    <row r="150" spans="3:10" x14ac:dyDescent="0.45">
      <c r="C150" s="29">
        <v>94</v>
      </c>
      <c r="D150">
        <f t="shared" si="5"/>
        <v>0.67710868580542882</v>
      </c>
      <c r="E150">
        <f t="shared" si="5"/>
        <v>1.2906227080477188</v>
      </c>
      <c r="F150">
        <f t="shared" si="5"/>
        <v>1.6612258552965111</v>
      </c>
      <c r="G150">
        <f t="shared" si="5"/>
        <v>1.9855234418666059</v>
      </c>
      <c r="H150">
        <f t="shared" si="5"/>
        <v>2.6291476382617032</v>
      </c>
      <c r="I150">
        <f t="shared" si="5"/>
        <v>2.8748023791091826</v>
      </c>
      <c r="J150">
        <f t="shared" si="5"/>
        <v>3.3970571087545349</v>
      </c>
    </row>
    <row r="151" spans="3:10" x14ac:dyDescent="0.45">
      <c r="C151" s="29">
        <v>95</v>
      </c>
      <c r="D151">
        <f t="shared" si="5"/>
        <v>0.67708102450015506</v>
      </c>
      <c r="E151">
        <f t="shared" si="5"/>
        <v>1.2905265429234298</v>
      </c>
      <c r="F151">
        <f t="shared" si="5"/>
        <v>1.6610518172772404</v>
      </c>
      <c r="G151">
        <f t="shared" si="5"/>
        <v>1.9852510035054973</v>
      </c>
      <c r="H151">
        <f t="shared" si="5"/>
        <v>2.6285756707827428</v>
      </c>
      <c r="I151">
        <f t="shared" si="5"/>
        <v>2.8740733634422471</v>
      </c>
      <c r="J151">
        <f t="shared" si="5"/>
        <v>3.3959035734680061</v>
      </c>
    </row>
    <row r="152" spans="3:10" x14ac:dyDescent="0.45">
      <c r="C152" s="29">
        <v>96</v>
      </c>
      <c r="D152">
        <f t="shared" si="5"/>
        <v>0.67705394139952546</v>
      </c>
      <c r="E152">
        <f t="shared" si="5"/>
        <v>1.290432395312135</v>
      </c>
      <c r="F152">
        <f t="shared" si="5"/>
        <v>1.6608814403248366</v>
      </c>
      <c r="G152">
        <f t="shared" si="5"/>
        <v>1.9849843115224561</v>
      </c>
      <c r="H152">
        <f t="shared" si="5"/>
        <v>2.628015843510068</v>
      </c>
      <c r="I152">
        <f t="shared" si="5"/>
        <v>2.8733598637988305</v>
      </c>
      <c r="J152">
        <f t="shared" si="5"/>
        <v>3.3947747473556018</v>
      </c>
    </row>
    <row r="153" spans="3:10" x14ac:dyDescent="0.45">
      <c r="C153" s="29">
        <v>97</v>
      </c>
      <c r="D153">
        <f t="shared" si="5"/>
        <v>0.67702741856199578</v>
      </c>
      <c r="E153">
        <f t="shared" si="5"/>
        <v>1.2903402023837507</v>
      </c>
      <c r="F153">
        <f t="shared" si="5"/>
        <v>1.6607146101230255</v>
      </c>
      <c r="G153">
        <f t="shared" si="5"/>
        <v>1.9847231860139838</v>
      </c>
      <c r="H153">
        <f t="shared" si="5"/>
        <v>2.6274677740132515</v>
      </c>
      <c r="I153">
        <f t="shared" si="5"/>
        <v>2.8726613900934614</v>
      </c>
      <c r="J153">
        <f t="shared" si="5"/>
        <v>3.3936698450540255</v>
      </c>
    </row>
    <row r="154" spans="3:10" x14ac:dyDescent="0.45">
      <c r="C154" s="29">
        <v>98</v>
      </c>
      <c r="D154">
        <f t="shared" ref="D154:J176" si="6">TINV(D$56,$C154)</f>
        <v>0.6770014387806923</v>
      </c>
      <c r="E154">
        <f t="shared" si="6"/>
        <v>1.2902499038902864</v>
      </c>
      <c r="F154">
        <f t="shared" si="6"/>
        <v>1.6605512170657302</v>
      </c>
      <c r="G154">
        <f t="shared" si="6"/>
        <v>1.9844674545084788</v>
      </c>
      <c r="H154">
        <f t="shared" si="6"/>
        <v>2.6269310957563716</v>
      </c>
      <c r="I154">
        <f t="shared" si="6"/>
        <v>2.8719774726631746</v>
      </c>
      <c r="J154">
        <f t="shared" si="6"/>
        <v>3.3925881141281873</v>
      </c>
    </row>
    <row r="155" spans="3:10" x14ac:dyDescent="0.45">
      <c r="C155" s="29">
        <v>99</v>
      </c>
      <c r="D155">
        <f t="shared" si="6"/>
        <v>0.67697598554615868</v>
      </c>
      <c r="E155">
        <f t="shared" si="6"/>
        <v>1.290161442034484</v>
      </c>
      <c r="F155">
        <f t="shared" si="6"/>
        <v>1.6603911560169928</v>
      </c>
      <c r="G155">
        <f t="shared" si="6"/>
        <v>1.9842169515864165</v>
      </c>
      <c r="H155">
        <f t="shared" si="6"/>
        <v>2.626405457280828</v>
      </c>
      <c r="I155">
        <f t="shared" si="6"/>
        <v>2.871307661214765</v>
      </c>
      <c r="J155">
        <f t="shared" si="6"/>
        <v>3.3915288333636497</v>
      </c>
    </row>
    <row r="156" spans="3:10" x14ac:dyDescent="0.45">
      <c r="C156" s="29">
        <v>100</v>
      </c>
      <c r="D156">
        <f t="shared" si="6"/>
        <v>0.67695104301146958</v>
      </c>
      <c r="E156">
        <f t="shared" si="6"/>
        <v>1.2900747613465169</v>
      </c>
      <c r="F156">
        <f t="shared" si="6"/>
        <v>1.6602343260853425</v>
      </c>
      <c r="G156">
        <f t="shared" si="6"/>
        <v>1.9839715185235556</v>
      </c>
      <c r="H156">
        <f t="shared" si="6"/>
        <v>2.6258905214380182</v>
      </c>
      <c r="I156">
        <f t="shared" si="6"/>
        <v>2.8706515238365373</v>
      </c>
      <c r="J156">
        <f t="shared" si="6"/>
        <v>3.3904913111642285</v>
      </c>
    </row>
    <row r="157" spans="3:10" x14ac:dyDescent="0.45">
      <c r="C157" s="29">
        <v>101</v>
      </c>
      <c r="D157">
        <f t="shared" si="6"/>
        <v>0.67692659595928051</v>
      </c>
      <c r="E157">
        <f t="shared" si="6"/>
        <v>1.2899898085679691</v>
      </c>
      <c r="F157">
        <f t="shared" si="6"/>
        <v>1.660080630411789</v>
      </c>
      <c r="G157">
        <f t="shared" si="6"/>
        <v>1.9837310029556046</v>
      </c>
      <c r="H157">
        <f t="shared" si="6"/>
        <v>2.6253859646684394</v>
      </c>
      <c r="I157">
        <f t="shared" si="6"/>
        <v>2.8700086460699143</v>
      </c>
      <c r="J157">
        <f t="shared" si="6"/>
        <v>3.3894748840472722</v>
      </c>
    </row>
    <row r="158" spans="3:10" x14ac:dyDescent="0.45">
      <c r="C158" s="29">
        <v>102</v>
      </c>
      <c r="D158">
        <f t="shared" si="6"/>
        <v>0.67690262977086535</v>
      </c>
      <c r="E158">
        <f t="shared" si="6"/>
        <v>1.2899065325427479</v>
      </c>
      <c r="F158">
        <f t="shared" si="6"/>
        <v>1.6599299759703381</v>
      </c>
      <c r="G158">
        <f t="shared" si="6"/>
        <v>1.9834952585628811</v>
      </c>
      <c r="H158">
        <f t="shared" si="6"/>
        <v>2.6248914763239122</v>
      </c>
      <c r="I158">
        <f t="shared" si="6"/>
        <v>2.8693786300367581</v>
      </c>
      <c r="J158">
        <f t="shared" si="6"/>
        <v>3.3884789152297241</v>
      </c>
    </row>
    <row r="159" spans="3:10" x14ac:dyDescent="0.45">
      <c r="C159" s="29">
        <v>103</v>
      </c>
      <c r="D159">
        <f t="shared" si="6"/>
        <v>0.6768791303969427</v>
      </c>
      <c r="E159">
        <f t="shared" si="6"/>
        <v>1.2898248841143414</v>
      </c>
      <c r="F159">
        <f t="shared" si="6"/>
        <v>1.6597822733802527</v>
      </c>
      <c r="G159">
        <f t="shared" si="6"/>
        <v>1.9832641447734605</v>
      </c>
      <c r="H159">
        <f t="shared" si="6"/>
        <v>2.6244067580299557</v>
      </c>
      <c r="I159">
        <f t="shared" si="6"/>
        <v>2.8687610936185406</v>
      </c>
      <c r="J159">
        <f t="shared" si="6"/>
        <v>3.387502793298681</v>
      </c>
    </row>
    <row r="160" spans="3:10" x14ac:dyDescent="0.45">
      <c r="C160" s="29">
        <v>104</v>
      </c>
      <c r="D160">
        <f t="shared" si="6"/>
        <v>0.67685608433028699</v>
      </c>
      <c r="E160">
        <f t="shared" si="6"/>
        <v>1.2897448160290867</v>
      </c>
      <c r="F160">
        <f t="shared" si="6"/>
        <v>1.6596374367292375</v>
      </c>
      <c r="G160">
        <f t="shared" si="6"/>
        <v>1.9830375264837292</v>
      </c>
      <c r="H160">
        <f t="shared" si="6"/>
        <v>2.6239315230856071</v>
      </c>
      <c r="I160">
        <f t="shared" si="6"/>
        <v>2.868155669683774</v>
      </c>
      <c r="J160">
        <f t="shared" si="6"/>
        <v>3.3865459309605601</v>
      </c>
    </row>
    <row r="161" spans="3:10" x14ac:dyDescent="0.45">
      <c r="C161" s="29">
        <v>105</v>
      </c>
      <c r="D161">
        <f t="shared" si="6"/>
        <v>0.67683347857977127</v>
      </c>
      <c r="E161">
        <f t="shared" si="6"/>
        <v>1.2896662828449672</v>
      </c>
      <c r="F161">
        <f t="shared" si="6"/>
        <v>1.6594953834068058</v>
      </c>
      <c r="G161">
        <f t="shared" si="6"/>
        <v>1.9828152737950464</v>
      </c>
      <c r="H161">
        <f t="shared" si="6"/>
        <v>2.6234654958980856</v>
      </c>
      <c r="I161">
        <f t="shared" si="6"/>
        <v>2.8675620053604489</v>
      </c>
      <c r="J161">
        <f t="shared" si="6"/>
        <v>3.3856077638635655</v>
      </c>
    </row>
    <row r="162" spans="3:10" x14ac:dyDescent="0.45">
      <c r="C162" s="29">
        <v>106</v>
      </c>
      <c r="D162">
        <f t="shared" si="6"/>
        <v>0.67681130064595885</v>
      </c>
      <c r="E162">
        <f t="shared" si="6"/>
        <v>1.2895892408456322</v>
      </c>
      <c r="F162">
        <f t="shared" si="6"/>
        <v>1.6593560339471876</v>
      </c>
      <c r="G162">
        <f t="shared" si="6"/>
        <v>1.9825972617654992</v>
      </c>
      <c r="H162">
        <f t="shared" si="6"/>
        <v>2.6230084114500185</v>
      </c>
      <c r="I162">
        <f t="shared" si="6"/>
        <v>2.8669797613504597</v>
      </c>
      <c r="J162">
        <f t="shared" si="6"/>
        <v>3.3846877494884473</v>
      </c>
    </row>
    <row r="163" spans="3:10" x14ac:dyDescent="0.45">
      <c r="C163" s="29">
        <v>107</v>
      </c>
      <c r="D163">
        <f t="shared" si="6"/>
        <v>0.67678953849811974</v>
      </c>
      <c r="E163">
        <f t="shared" si="6"/>
        <v>1.2895136479592184</v>
      </c>
      <c r="F163">
        <f t="shared" si="6"/>
        <v>1.6592193118810985</v>
      </c>
      <c r="G163">
        <f t="shared" si="6"/>
        <v>1.9823833701756892</v>
      </c>
      <c r="H163">
        <f t="shared" si="6"/>
        <v>2.6225600147970343</v>
      </c>
      <c r="I163">
        <f t="shared" si="6"/>
        <v>2.8664086112831875</v>
      </c>
      <c r="J163">
        <f t="shared" si="6"/>
        <v>3.3837853661030053</v>
      </c>
    </row>
    <row r="164" spans="3:10" x14ac:dyDescent="0.45">
      <c r="C164" s="29">
        <v>108</v>
      </c>
      <c r="D164">
        <f t="shared" si="6"/>
        <v>0.67676818055240484</v>
      </c>
      <c r="E164">
        <f t="shared" si="6"/>
        <v>1.2894394636817965</v>
      </c>
      <c r="F164">
        <f t="shared" si="6"/>
        <v>1.6590851435958269</v>
      </c>
      <c r="G164">
        <f t="shared" si="6"/>
        <v>1.982173483307728</v>
      </c>
      <c r="H164">
        <f t="shared" si="6"/>
        <v>2.6221200605936885</v>
      </c>
      <c r="I164">
        <f t="shared" si="6"/>
        <v>2.8658482411056827</v>
      </c>
      <c r="J164">
        <f t="shared" si="6"/>
        <v>3.382900111776074</v>
      </c>
    </row>
    <row r="165" spans="3:10" x14ac:dyDescent="0.45">
      <c r="C165" s="29">
        <v>109</v>
      </c>
      <c r="D165">
        <f t="shared" si="6"/>
        <v>0.67674721565130658</v>
      </c>
      <c r="E165">
        <f t="shared" si="6"/>
        <v>1.2893666490049474</v>
      </c>
      <c r="F165">
        <f t="shared" si="6"/>
        <v>1.6589534582030776</v>
      </c>
      <c r="G165">
        <f t="shared" si="6"/>
        <v>1.9819674897364858</v>
      </c>
      <c r="H165">
        <f t="shared" si="6"/>
        <v>2.621688312645976</v>
      </c>
      <c r="I165">
        <f t="shared" si="6"/>
        <v>2.8652983485070282</v>
      </c>
      <c r="J165">
        <f t="shared" si="6"/>
        <v>3.3820315034471213</v>
      </c>
    </row>
    <row r="166" spans="3:10" x14ac:dyDescent="0.45">
      <c r="C166" s="29">
        <v>110</v>
      </c>
      <c r="D166">
        <f t="shared" si="6"/>
        <v>0.67672663304417002</v>
      </c>
      <c r="E166">
        <f t="shared" si="6"/>
        <v>1.2892951663474244</v>
      </c>
      <c r="F166">
        <f t="shared" si="6"/>
        <v>1.6588241874140928</v>
      </c>
      <c r="G166">
        <f t="shared" si="6"/>
        <v>1.9817652821323735</v>
      </c>
      <c r="H166">
        <f t="shared" si="6"/>
        <v>2.6212645434885942</v>
      </c>
      <c r="I166">
        <f t="shared" si="6"/>
        <v>2.864758642374698</v>
      </c>
      <c r="J166">
        <f t="shared" si="6"/>
        <v>3.3811790760477991</v>
      </c>
    </row>
    <row r="167" spans="3:10" x14ac:dyDescent="0.45">
      <c r="C167" s="29">
        <v>111</v>
      </c>
      <c r="D167">
        <f t="shared" si="6"/>
        <v>0.6767064223689564</v>
      </c>
      <c r="E167">
        <f t="shared" si="6"/>
        <v>1.2892249794904438</v>
      </c>
      <c r="F167">
        <f t="shared" si="6"/>
        <v>1.6586972654215832</v>
      </c>
      <c r="G167">
        <f t="shared" si="6"/>
        <v>1.9815667570749009</v>
      </c>
      <c r="H167">
        <f t="shared" si="6"/>
        <v>2.6208485339854359</v>
      </c>
      <c r="I167">
        <f t="shared" si="6"/>
        <v>2.8642288422808377</v>
      </c>
      <c r="J167">
        <f t="shared" si="6"/>
        <v>3.3803423816720963</v>
      </c>
    </row>
    <row r="168" spans="3:10" x14ac:dyDescent="0.45">
      <c r="C168" s="29">
        <v>112</v>
      </c>
      <c r="D168">
        <f t="shared" si="6"/>
        <v>0.67668657363467399</v>
      </c>
      <c r="E168">
        <f t="shared" si="6"/>
        <v>1.2891560535165116</v>
      </c>
      <c r="F168">
        <f t="shared" si="6"/>
        <v>1.6585726287880238</v>
      </c>
      <c r="G168">
        <f t="shared" si="6"/>
        <v>1.9813718148763031</v>
      </c>
      <c r="H168">
        <f t="shared" si="6"/>
        <v>2.6204400729518436</v>
      </c>
      <c r="I168">
        <f t="shared" si="6"/>
        <v>2.8637086779965553</v>
      </c>
      <c r="J168">
        <f t="shared" si="6"/>
        <v>3.3795209887920259</v>
      </c>
    </row>
    <row r="169" spans="3:10" x14ac:dyDescent="0.45">
      <c r="C169" s="29">
        <v>113</v>
      </c>
      <c r="D169">
        <f t="shared" si="6"/>
        <v>0.67666707720505548</v>
      </c>
      <c r="E169">
        <f t="shared" si="6"/>
        <v>1.2890883547514773</v>
      </c>
      <c r="F169">
        <f t="shared" si="6"/>
        <v>1.6584502163399364</v>
      </c>
      <c r="G169">
        <f t="shared" si="6"/>
        <v>1.9811803594146622</v>
      </c>
      <c r="H169">
        <f t="shared" si="6"/>
        <v>2.6200389567971949</v>
      </c>
      <c r="I169">
        <f t="shared" si="6"/>
        <v>2.8631978890324721</v>
      </c>
      <c r="J169">
        <f t="shared" si="6"/>
        <v>3.3787144815158996</v>
      </c>
    </row>
    <row r="170" spans="3:10" x14ac:dyDescent="0.45">
      <c r="C170" s="29">
        <v>114</v>
      </c>
      <c r="D170">
        <f t="shared" si="6"/>
        <v>0.67664792378283645</v>
      </c>
      <c r="E170">
        <f t="shared" si="6"/>
        <v>1.2890218507097286</v>
      </c>
      <c r="F170">
        <f t="shared" si="6"/>
        <v>1.6583299690677951</v>
      </c>
      <c r="G170">
        <f t="shared" si="6"/>
        <v>1.9809922979758596</v>
      </c>
      <c r="H170">
        <f t="shared" si="6"/>
        <v>2.619644989186654</v>
      </c>
      <c r="I170">
        <f t="shared" si="6"/>
        <v>2.862696224203888</v>
      </c>
      <c r="J170">
        <f t="shared" si="6"/>
        <v>3.3779224588865455</v>
      </c>
    </row>
    <row r="171" spans="3:10" x14ac:dyDescent="0.45">
      <c r="C171" s="29">
        <v>115</v>
      </c>
      <c r="D171">
        <f t="shared" si="6"/>
        <v>0.67662910439509216</v>
      </c>
      <c r="E171">
        <f t="shared" si="6"/>
        <v>1.2889565100421754</v>
      </c>
      <c r="F171">
        <f t="shared" si="6"/>
        <v>1.658211830031149</v>
      </c>
      <c r="G171">
        <f t="shared" si="6"/>
        <v>1.9808075411039101</v>
      </c>
      <c r="H171">
        <f t="shared" si="6"/>
        <v>2.6192579807207728</v>
      </c>
      <c r="I171">
        <f t="shared" si="6"/>
        <v>2.8622034412190427</v>
      </c>
      <c r="J171">
        <f t="shared" si="6"/>
        <v>3.3771445342170181</v>
      </c>
    </row>
    <row r="172" spans="3:10" x14ac:dyDescent="0.45">
      <c r="C172" s="29">
        <v>116</v>
      </c>
      <c r="D172">
        <f t="shared" si="6"/>
        <v>0.67661061037911385</v>
      </c>
      <c r="E172">
        <f t="shared" si="6"/>
        <v>1.2888923024869843</v>
      </c>
      <c r="F172">
        <f t="shared" si="6"/>
        <v>1.6580957442687665</v>
      </c>
      <c r="G172">
        <f t="shared" si="6"/>
        <v>1.98062600245909</v>
      </c>
      <c r="H172">
        <f t="shared" si="6"/>
        <v>2.6188777486319674</v>
      </c>
      <c r="I172">
        <f t="shared" si="6"/>
        <v>2.8617193062890269</v>
      </c>
      <c r="J172">
        <f t="shared" si="6"/>
        <v>3.3763803344613872</v>
      </c>
    </row>
    <row r="173" spans="3:10" x14ac:dyDescent="0.45">
      <c r="C173" s="29">
        <v>117</v>
      </c>
      <c r="D173">
        <f t="shared" si="6"/>
        <v>0.67659243336918984</v>
      </c>
      <c r="E173">
        <f t="shared" si="6"/>
        <v>1.2888291988228651</v>
      </c>
      <c r="F173">
        <f t="shared" si="6"/>
        <v>1.6579816587133522</v>
      </c>
      <c r="G173">
        <f t="shared" si="6"/>
        <v>1.9804475986834036</v>
      </c>
      <c r="H173">
        <f t="shared" si="6"/>
        <v>2.6185041164968004</v>
      </c>
      <c r="I173">
        <f t="shared" si="6"/>
        <v>2.8612435937580836</v>
      </c>
      <c r="J173">
        <f t="shared" si="6"/>
        <v>3.37562949961859</v>
      </c>
    </row>
    <row r="174" spans="3:10" x14ac:dyDescent="0.45">
      <c r="C174" s="29">
        <v>118</v>
      </c>
      <c r="D174">
        <f t="shared" si="6"/>
        <v>0.6765745652839551</v>
      </c>
      <c r="E174">
        <f t="shared" si="6"/>
        <v>1.2887671708247093</v>
      </c>
      <c r="F174">
        <f t="shared" si="6"/>
        <v>1.6578695221106927</v>
      </c>
      <c r="G174">
        <f t="shared" si="6"/>
        <v>1.9802722492729716</v>
      </c>
      <c r="H174">
        <f t="shared" si="6"/>
        <v>2.6181369139630566</v>
      </c>
      <c r="I174">
        <f t="shared" si="6"/>
        <v>2.8607760857529678</v>
      </c>
      <c r="J174">
        <f t="shared" si="6"/>
        <v>3.3748916821672221</v>
      </c>
    </row>
    <row r="175" spans="3:10" x14ac:dyDescent="0.45">
      <c r="C175" s="29">
        <v>119</v>
      </c>
      <c r="D175">
        <f t="shared" si="6"/>
        <v>0.6765569983143862</v>
      </c>
      <c r="E175">
        <f t="shared" si="6"/>
        <v>1.2887061912215023</v>
      </c>
      <c r="F175">
        <f t="shared" si="6"/>
        <v>1.6577592849428349</v>
      </c>
      <c r="G175">
        <f t="shared" si="6"/>
        <v>1.9800998764569426</v>
      </c>
      <c r="H175">
        <f t="shared" si="6"/>
        <v>2.6177759764908615</v>
      </c>
      <c r="I175">
        <f t="shared" si="6"/>
        <v>2.8603165718503787</v>
      </c>
      <c r="J175">
        <f t="shared" si="6"/>
        <v>3.3741665465294783</v>
      </c>
    </row>
    <row r="176" spans="3:10" x14ac:dyDescent="0.45">
      <c r="C176" s="29">
        <v>120</v>
      </c>
      <c r="D176">
        <f t="shared" si="6"/>
        <v>0.67653972491251135</v>
      </c>
      <c r="E176">
        <f t="shared" si="6"/>
        <v>1.2886462336563809</v>
      </c>
      <c r="F176">
        <f t="shared" si="6"/>
        <v>1.6576508993552355</v>
      </c>
      <c r="G176">
        <f t="shared" si="6"/>
        <v>1.9799304050824413</v>
      </c>
      <c r="H176">
        <f t="shared" si="6"/>
        <v>2.617421145106865</v>
      </c>
      <c r="I176">
        <f t="shared" si="6"/>
        <v>2.8598648487612008</v>
      </c>
      <c r="J176">
        <f t="shared" si="6"/>
        <v>3.3734537685625003</v>
      </c>
    </row>
  </sheetData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2342</v>
      </c>
    </row>
    <row r="174" spans="2:210" x14ac:dyDescent="0.45">
      <c r="P174" t="s">
        <v>2343</v>
      </c>
    </row>
    <row r="175" spans="2:210" x14ac:dyDescent="0.45">
      <c r="P175" t="s">
        <v>2340</v>
      </c>
    </row>
    <row r="176" spans="2:210" x14ac:dyDescent="0.45">
      <c r="P176" t="s">
        <v>2344</v>
      </c>
    </row>
    <row r="177" spans="16:16" x14ac:dyDescent="0.45">
      <c r="P177" t="s">
        <v>2345</v>
      </c>
    </row>
    <row r="178" spans="16:16" x14ac:dyDescent="0.45">
      <c r="P178" t="s">
        <v>2340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101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2336</v>
      </c>
    </row>
    <row r="275" spans="14:15" x14ac:dyDescent="0.45">
      <c r="N275" t="s">
        <v>2337</v>
      </c>
    </row>
    <row r="276" spans="14:15" x14ac:dyDescent="0.45">
      <c r="N276" t="s">
        <v>2340</v>
      </c>
      <c r="O276" s="30">
        <f>138/259</f>
        <v>0.53281853281853286</v>
      </c>
    </row>
    <row r="277" spans="14:15" x14ac:dyDescent="0.45">
      <c r="N277" t="s">
        <v>2339</v>
      </c>
    </row>
    <row r="278" spans="14:15" x14ac:dyDescent="0.45">
      <c r="N278" t="s">
        <v>2338</v>
      </c>
    </row>
    <row r="279" spans="14:15" x14ac:dyDescent="0.45">
      <c r="N279" t="s">
        <v>2340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0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U656"/>
  <sheetViews>
    <sheetView topLeftCell="A67" workbookViewId="0">
      <selection activeCell="I111" sqref="I111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2336</v>
      </c>
    </row>
    <row r="5" spans="1:3" x14ac:dyDescent="0.45">
      <c r="A5">
        <v>138</v>
      </c>
      <c r="B5" t="s">
        <v>2337</v>
      </c>
    </row>
    <row r="6" spans="1:3" x14ac:dyDescent="0.45">
      <c r="A6" s="30">
        <f>A5/A4</f>
        <v>0.53281853281853286</v>
      </c>
      <c r="B6" t="s">
        <v>2340</v>
      </c>
      <c r="C6" s="30"/>
    </row>
    <row r="7" spans="1:3" x14ac:dyDescent="0.45">
      <c r="A7">
        <v>249</v>
      </c>
      <c r="B7" t="s">
        <v>2339</v>
      </c>
    </row>
    <row r="8" spans="1:3" x14ac:dyDescent="0.45">
      <c r="A8">
        <v>133</v>
      </c>
      <c r="B8" t="s">
        <v>2338</v>
      </c>
    </row>
    <row r="9" spans="1:3" x14ac:dyDescent="0.45">
      <c r="A9" s="30">
        <f>A8/A7</f>
        <v>0.53413654618473894</v>
      </c>
      <c r="B9" t="s">
        <v>2340</v>
      </c>
      <c r="C9" s="30"/>
    </row>
    <row r="16" spans="1:3" x14ac:dyDescent="0.45">
      <c r="A16" s="20" t="s">
        <v>2332</v>
      </c>
      <c r="C16" s="20" t="s">
        <v>2305</v>
      </c>
    </row>
    <row r="17" spans="1:4" x14ac:dyDescent="0.45">
      <c r="A17">
        <f>COUNTIFS(AnalizaCzyste[Czy jesteś studentem uczelni wyższej?],"*"&amp;"Tak"&amp;"*")</f>
        <v>2</v>
      </c>
      <c r="B17" s="20" t="s">
        <v>2296</v>
      </c>
      <c r="C17" s="30" t="e">
        <f>A17/$A$25</f>
        <v>#REF!</v>
      </c>
      <c r="D17" s="20" t="s">
        <v>2283</v>
      </c>
    </row>
    <row r="18" spans="1:4" x14ac:dyDescent="0.45">
      <c r="A18">
        <f>COUNTIFS(AnalizaCzyste[Czy jesteś absolwentem uczelni wyższej?],"*"&amp;"Tak"&amp;"*")</f>
        <v>33</v>
      </c>
      <c r="B18" t="s">
        <v>2297</v>
      </c>
      <c r="C18" s="30" t="e">
        <f t="shared" ref="C18:C24" si="0">A18/$A$25</f>
        <v>#REF!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12</v>
      </c>
      <c r="B19" t="s">
        <v>2298</v>
      </c>
      <c r="C19" s="30" t="e">
        <f t="shared" si="0"/>
        <v>#REF!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 t="e">
        <f t="shared" si="0"/>
        <v>#REF!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12</v>
      </c>
      <c r="B21" t="s">
        <v>2300</v>
      </c>
      <c r="C21" s="30" t="e">
        <f t="shared" si="0"/>
        <v>#REF!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6</v>
      </c>
      <c r="B22" t="s">
        <v>2301</v>
      </c>
      <c r="C22" s="30" t="e">
        <f t="shared" si="0"/>
        <v>#REF!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9</v>
      </c>
      <c r="B23" t="s">
        <v>2302</v>
      </c>
      <c r="C23" s="30" t="e">
        <f t="shared" si="0"/>
        <v>#REF!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3</v>
      </c>
      <c r="B24" t="s">
        <v>2303</v>
      </c>
      <c r="C24" s="30" t="e">
        <f t="shared" si="0"/>
        <v>#REF!</v>
      </c>
      <c r="D24" t="s">
        <v>2290</v>
      </c>
    </row>
    <row r="25" spans="1:4" x14ac:dyDescent="0.45">
      <c r="A25" s="29" t="e">
        <f>COUNTIF(#REF!,"*"&amp;"Tak"&amp;"*")</f>
        <v>#REF!</v>
      </c>
      <c r="B25" s="29" t="s">
        <v>2304</v>
      </c>
      <c r="C25" s="31" t="e">
        <f>SUM(C17:C24)</f>
        <v>#REF!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2334</v>
      </c>
      <c r="C28" s="29" t="s">
        <v>2317</v>
      </c>
    </row>
    <row r="29" spans="1:4" x14ac:dyDescent="0.45">
      <c r="A29" s="43" t="e">
        <f>COUNTIFS(AnalizaCzyste[Płeć],"*"&amp;B29&amp;"*",#REF!,"*"&amp;"Tak"&amp;"*")</f>
        <v>#REF!</v>
      </c>
      <c r="B29" t="s">
        <v>140</v>
      </c>
      <c r="C29" s="30" t="e">
        <f>A29/$A$31</f>
        <v>#REF!</v>
      </c>
    </row>
    <row r="30" spans="1:4" x14ac:dyDescent="0.45">
      <c r="A30" s="43" t="e">
        <f>COUNTIFS(AnalizaCzyste[Płeć],"*"&amp;B30&amp;"*",#REF!,"*"&amp;"Tak"&amp;"*")</f>
        <v>#REF!</v>
      </c>
      <c r="B30" t="s">
        <v>186</v>
      </c>
      <c r="C30" s="30" t="e">
        <f>A30/$A$31</f>
        <v>#REF!</v>
      </c>
    </row>
    <row r="31" spans="1:4" x14ac:dyDescent="0.45">
      <c r="A31" s="29" t="e">
        <f>SUM(A29:A30)</f>
        <v>#REF!</v>
      </c>
      <c r="C31" s="33"/>
    </row>
    <row r="33" spans="1:3" x14ac:dyDescent="0.45">
      <c r="A33" s="29" t="s">
        <v>2335</v>
      </c>
    </row>
    <row r="34" spans="1:3" x14ac:dyDescent="0.45">
      <c r="C34" s="29" t="s">
        <v>2317</v>
      </c>
    </row>
    <row r="35" spans="1:3" x14ac:dyDescent="0.45">
      <c r="A35" t="e">
        <f>COUNTIFS(AnalizaCzyste[GrupaWiekowa],B35,#REF!,"*"&amp;"Tak"&amp;"*")</f>
        <v>#REF!</v>
      </c>
      <c r="B35" t="s">
        <v>2314</v>
      </c>
      <c r="C35" s="33" t="e">
        <f>A35/$A$42</f>
        <v>#REF!</v>
      </c>
    </row>
    <row r="36" spans="1:3" x14ac:dyDescent="0.45">
      <c r="A36" t="e">
        <f>COUNTIFS(AnalizaCzyste[GrupaWiekowa],B36,#REF!,"*"&amp;"Tak"&amp;"*")</f>
        <v>#REF!</v>
      </c>
      <c r="B36" s="20" t="s">
        <v>2449</v>
      </c>
      <c r="C36" s="33" t="e">
        <f t="shared" ref="C36:C41" si="1">A36/$A$42</f>
        <v>#REF!</v>
      </c>
    </row>
    <row r="37" spans="1:3" x14ac:dyDescent="0.45">
      <c r="A37" t="e">
        <f>COUNTIFS(AnalizaCzyste[GrupaWiekowa],B37,#REF!,"*"&amp;"Tak"&amp;"*")</f>
        <v>#REF!</v>
      </c>
      <c r="B37" s="20" t="s">
        <v>2450</v>
      </c>
      <c r="C37" s="33" t="e">
        <f t="shared" si="1"/>
        <v>#REF!</v>
      </c>
    </row>
    <row r="38" spans="1:3" x14ac:dyDescent="0.45">
      <c r="A38" t="e">
        <f>COUNTIFS(AnalizaCzyste[GrupaWiekowa],B38,#REF!,"*"&amp;"Tak"&amp;"*")</f>
        <v>#REF!</v>
      </c>
      <c r="B38" s="20" t="s">
        <v>2451</v>
      </c>
      <c r="C38" s="33" t="e">
        <f t="shared" si="1"/>
        <v>#REF!</v>
      </c>
    </row>
    <row r="39" spans="1:3" x14ac:dyDescent="0.45">
      <c r="A39" t="e">
        <f>COUNTIFS(AnalizaCzyste[GrupaWiekowa],B39,#REF!,"*"&amp;"Tak"&amp;"*")</f>
        <v>#REF!</v>
      </c>
      <c r="B39" s="20" t="s">
        <v>2452</v>
      </c>
      <c r="C39" s="33" t="e">
        <f t="shared" si="1"/>
        <v>#REF!</v>
      </c>
    </row>
    <row r="40" spans="1:3" x14ac:dyDescent="0.45">
      <c r="A40" t="e">
        <f>COUNTIFS(AnalizaCzyste[GrupaWiekowa],B40,#REF!,"*"&amp;"Tak"&amp;"*")</f>
        <v>#REF!</v>
      </c>
      <c r="B40" t="s">
        <v>2313</v>
      </c>
      <c r="C40" s="33" t="e">
        <f t="shared" si="1"/>
        <v>#REF!</v>
      </c>
    </row>
    <row r="41" spans="1:3" x14ac:dyDescent="0.45">
      <c r="A41" t="e">
        <f>COUNTIFS(AnalizaCzyste[GrupaWiekowa],"#N/D",#REF!,"*"&amp;"Tak"&amp;"*")</f>
        <v>#REF!</v>
      </c>
      <c r="B41" s="20" t="s">
        <v>2448</v>
      </c>
      <c r="C41" s="33" t="e">
        <f t="shared" si="1"/>
        <v>#REF!</v>
      </c>
    </row>
    <row r="42" spans="1:3" x14ac:dyDescent="0.45">
      <c r="A42" s="29" t="e">
        <f>SUM(A35:A41)</f>
        <v>#REF!</v>
      </c>
    </row>
    <row r="44" spans="1:3" x14ac:dyDescent="0.45">
      <c r="A44" s="29" t="s">
        <v>2341</v>
      </c>
    </row>
    <row r="45" spans="1:3" x14ac:dyDescent="0.45">
      <c r="C45" s="29" t="s">
        <v>2317</v>
      </c>
    </row>
    <row r="46" spans="1:3" x14ac:dyDescent="0.45">
      <c r="A46" t="e">
        <f>COUNTIFS(AnalizaCzyste[Z jakiej wielkości miejscowości pochodzisz? (dotyczy miejscowości, w której się wychowałaś/eś],B46,#REF!,"*"&amp;"Tak"&amp;"*")</f>
        <v>#REF!</v>
      </c>
      <c r="B46" t="s">
        <v>141</v>
      </c>
      <c r="C46" s="33" t="e">
        <f>A46/$A$52</f>
        <v>#REF!</v>
      </c>
    </row>
    <row r="47" spans="1:3" x14ac:dyDescent="0.45">
      <c r="A47" t="e">
        <f>COUNTIFS(AnalizaCzyste[Z jakiej wielkości miejscowości pochodzisz? (dotyczy miejscowości, w której się wychowałaś/eś],B47,#REF!,"*"&amp;"Tak"&amp;"*")</f>
        <v>#REF!</v>
      </c>
      <c r="B47" t="s">
        <v>398</v>
      </c>
      <c r="C47" s="33" t="e">
        <f t="shared" ref="C47:C51" si="2">A47/$A$52</f>
        <v>#REF!</v>
      </c>
    </row>
    <row r="48" spans="1:3" x14ac:dyDescent="0.45">
      <c r="A48" t="e">
        <f>COUNTIFS(AnalizaCzyste[Z jakiej wielkości miejscowości pochodzisz? (dotyczy miejscowości, w której się wychowałaś/eś],B48,#REF!,"*"&amp;"Tak"&amp;"*")</f>
        <v>#REF!</v>
      </c>
      <c r="B48" t="s">
        <v>246</v>
      </c>
      <c r="C48" s="33" t="e">
        <f t="shared" si="2"/>
        <v>#REF!</v>
      </c>
    </row>
    <row r="49" spans="1:5" x14ac:dyDescent="0.45">
      <c r="A49" t="e">
        <f>COUNTIFS(AnalizaCzyste[Z jakiej wielkości miejscowości pochodzisz? (dotyczy miejscowości, w której się wychowałaś/eś],B49,#REF!,"*"&amp;"Tak"&amp;"*")</f>
        <v>#REF!</v>
      </c>
      <c r="B49" t="s">
        <v>220</v>
      </c>
      <c r="C49" s="33" t="e">
        <f t="shared" si="2"/>
        <v>#REF!</v>
      </c>
    </row>
    <row r="50" spans="1:5" x14ac:dyDescent="0.45">
      <c r="A50" t="e">
        <f>COUNTIFS(AnalizaCzyste[Z jakiej wielkości miejscowości pochodzisz? (dotyczy miejscowości, w której się wychowałaś/eś],B50,#REF!,"*"&amp;"Tak"&amp;"*")</f>
        <v>#REF!</v>
      </c>
      <c r="B50" t="s">
        <v>1630</v>
      </c>
      <c r="C50" s="33" t="e">
        <f t="shared" si="2"/>
        <v>#REF!</v>
      </c>
    </row>
    <row r="51" spans="1:5" x14ac:dyDescent="0.45">
      <c r="A51" t="e">
        <f>COUNTIFS(AnalizaCzyste[Z jakiej wielkości miejscowości pochodzisz? (dotyczy miejscowości, w której się wychowałaś/eś],B51,#REF!,"*"&amp;"Tak"&amp;"*")</f>
        <v>#REF!</v>
      </c>
      <c r="B51" t="s">
        <v>483</v>
      </c>
      <c r="C51" s="33" t="e">
        <f t="shared" si="2"/>
        <v>#REF!</v>
      </c>
    </row>
    <row r="52" spans="1:5" x14ac:dyDescent="0.45">
      <c r="A52" s="29" t="e">
        <f>SUM(A46:A51)</f>
        <v>#REF!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2346</v>
      </c>
      <c r="D58" t="s">
        <v>2308</v>
      </c>
    </row>
    <row r="59" spans="1:5" x14ac:dyDescent="0.45">
      <c r="A59" s="30">
        <f t="shared" ref="A59:A66" si="3">B59/$B$67</f>
        <v>1.6666666666666666E-2</v>
      </c>
      <c r="B59" s="34">
        <f>COUNTIFS(AnalizaCzyste[Czy jesteś studentem uczelni wyższej?],"*"&amp;"Tak"&amp;"*",AnalizaCzyste[Czy jesteś absolwentem uczelni wyższej?],"*"&amp;"Tak"&amp;"*")</f>
        <v>2</v>
      </c>
      <c r="C59" s="33">
        <f t="shared" ref="C59:C66" si="4">$B59/$A17</f>
        <v>1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</v>
      </c>
      <c r="B61" s="34">
        <f>COUNTIFS(AnalizaCzyste[Czy jesteś rodzicem / opiekunem absolwenta uczelni wyższej?],"*"&amp;"Tak"&amp;"*",AnalizaCzyste[Czy jesteś absolwentem uczelni wyższej?],"*"&amp;"Tak"&amp;"*")</f>
        <v>12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</v>
      </c>
      <c r="B63" s="34">
        <f>COUNTIFS(AnalizaCzyste[Czy jesteś aktualnie pracownikiem naukowym lub dydaktycznym uczelni wyższej?],"*"&amp;"Tak"&amp;"*",AnalizaCzyste[Czy jesteś absolwentem uczelni wyższej?],"*"&amp;"Tak"&amp;"*")</f>
        <v>12</v>
      </c>
      <c r="C63" s="33">
        <f t="shared" si="4"/>
        <v>1</v>
      </c>
      <c r="D63" t="s">
        <v>2300</v>
      </c>
      <c r="E63" t="s">
        <v>2286</v>
      </c>
    </row>
    <row r="64" spans="1:5" x14ac:dyDescent="0.45">
      <c r="A64" s="30">
        <f t="shared" si="3"/>
        <v>0.05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6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7.4999999999999997E-2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9</v>
      </c>
      <c r="C65" s="33">
        <f t="shared" si="4"/>
        <v>1</v>
      </c>
      <c r="D65" t="s">
        <v>2302</v>
      </c>
      <c r="E65" t="s">
        <v>2291</v>
      </c>
    </row>
    <row r="66" spans="1:5" x14ac:dyDescent="0.45">
      <c r="A66" s="30">
        <f t="shared" si="3"/>
        <v>2.5000000000000001E-2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3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0.4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2317</v>
      </c>
    </row>
    <row r="72" spans="1:5" x14ac:dyDescent="0.45">
      <c r="A72">
        <f>COUNTIFS(AnalizaCzyste[Płeć],"*"&amp;B72&amp;"*",AnalizaCzyste[Czy jesteś absolwentem uczelni wyższej?],"*"&amp;"Tak"&amp;"*")</f>
        <v>6</v>
      </c>
      <c r="B72" t="s">
        <v>140</v>
      </c>
      <c r="C72" s="33">
        <f>A72/$B$67</f>
        <v>0.05</v>
      </c>
    </row>
    <row r="73" spans="1:5" x14ac:dyDescent="0.45">
      <c r="A73">
        <f>COUNTIFS(AnalizaCzyste[Płeć],"*"&amp;B73&amp;"*",AnalizaCzyste[Czy jesteś absolwentem uczelni wyższej?],"*"&amp;"Tak"&amp;"*")</f>
        <v>27</v>
      </c>
      <c r="B73" t="s">
        <v>186</v>
      </c>
      <c r="C73" s="33">
        <f>A73/$B$67</f>
        <v>0.22500000000000001</v>
      </c>
    </row>
    <row r="75" spans="1:5" x14ac:dyDescent="0.45">
      <c r="A75" s="29" t="s">
        <v>2311</v>
      </c>
    </row>
    <row r="76" spans="1:5" x14ac:dyDescent="0.45">
      <c r="C76" s="20" t="s">
        <v>2317</v>
      </c>
    </row>
    <row r="77" spans="1:5" x14ac:dyDescent="0.45">
      <c r="A77">
        <f>COUNTIFS(AnalizaCzyste[GrupaWiekowa],B77,AnalizaCzyste[Czy jesteś absolwentem uczelni wyższej?],"*"&amp;"Tak"&amp;"*")</f>
        <v>1</v>
      </c>
      <c r="B77" t="s">
        <v>2314</v>
      </c>
      <c r="C77" s="33">
        <f t="shared" ref="C77:C83" si="5">A77/$A$84</f>
        <v>2.9411764705882353E-2</v>
      </c>
    </row>
    <row r="78" spans="1:5" x14ac:dyDescent="0.45">
      <c r="A78">
        <f>COUNTIFS(AnalizaCzyste[GrupaWiekowa],B78,AnalizaCzyste[Czy jesteś absolwentem uczelni wyższej?],"*"&amp;"Tak"&amp;"*")</f>
        <v>10</v>
      </c>
      <c r="B78" s="20" t="s">
        <v>2449</v>
      </c>
      <c r="C78" s="33">
        <f t="shared" si="5"/>
        <v>0.29411764705882354</v>
      </c>
    </row>
    <row r="79" spans="1:5" x14ac:dyDescent="0.45">
      <c r="A79">
        <f>COUNTIFS(AnalizaCzyste[GrupaWiekowa],B79,AnalizaCzyste[Czy jesteś absolwentem uczelni wyższej?],"*"&amp;"Tak"&amp;"*")</f>
        <v>6</v>
      </c>
      <c r="B79" s="20" t="s">
        <v>2450</v>
      </c>
      <c r="C79" s="33">
        <f t="shared" si="5"/>
        <v>0.17647058823529413</v>
      </c>
    </row>
    <row r="80" spans="1:5" x14ac:dyDescent="0.45">
      <c r="A80">
        <f>COUNTIFS(AnalizaCzyste[GrupaWiekowa],B80,AnalizaCzyste[Czy jesteś absolwentem uczelni wyższej?],"*"&amp;"Tak"&amp;"*")</f>
        <v>5</v>
      </c>
      <c r="B80" s="20" t="s">
        <v>2451</v>
      </c>
      <c r="C80" s="33">
        <f t="shared" si="5"/>
        <v>0.14705882352941177</v>
      </c>
    </row>
    <row r="81" spans="1:3" x14ac:dyDescent="0.45">
      <c r="A81">
        <f>COUNTIFS(AnalizaCzyste[GrupaWiekowa],B81,AnalizaCzyste[Czy jesteś absolwentem uczelni wyższej?],"*"&amp;"Tak"&amp;"*")</f>
        <v>10</v>
      </c>
      <c r="B81" s="20" t="s">
        <v>2452</v>
      </c>
      <c r="C81" s="33">
        <f t="shared" si="5"/>
        <v>0.29411764705882354</v>
      </c>
    </row>
    <row r="82" spans="1:3" x14ac:dyDescent="0.45">
      <c r="A82">
        <f>COUNTIFS(AnalizaCzyste[GrupaWiekowa],B82,AnalizaCzyste[Czy jesteś absolwentem uczelni wyższej?],"*"&amp;"Tak"&amp;"*")</f>
        <v>0</v>
      </c>
      <c r="B82" t="s">
        <v>2313</v>
      </c>
      <c r="C82" s="33">
        <f t="shared" si="5"/>
        <v>0</v>
      </c>
    </row>
    <row r="83" spans="1:3" x14ac:dyDescent="0.45">
      <c r="A83">
        <v>2</v>
      </c>
      <c r="B83" s="20" t="s">
        <v>2448</v>
      </c>
      <c r="C83" s="33">
        <f t="shared" si="5"/>
        <v>5.8823529411764705E-2</v>
      </c>
    </row>
    <row r="84" spans="1:3" x14ac:dyDescent="0.45">
      <c r="A84" s="29">
        <f>SUM(A77:A83)</f>
        <v>34</v>
      </c>
    </row>
    <row r="86" spans="1:3" x14ac:dyDescent="0.45">
      <c r="A86" s="29" t="s">
        <v>2320</v>
      </c>
      <c r="B86" s="29" t="s">
        <v>2319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0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0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2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0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0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0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1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12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0</v>
      </c>
      <c r="B97" s="28" t="s">
        <v>2318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0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0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1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0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0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0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0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9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1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0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0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0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0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0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0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0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0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0</v>
      </c>
      <c r="B116" s="28" t="s">
        <v>1439</v>
      </c>
    </row>
    <row r="117" spans="1:3" x14ac:dyDescent="0.45">
      <c r="A117" s="29">
        <f>SUM(A87:A116)</f>
        <v>29</v>
      </c>
    </row>
    <row r="119" spans="1:3" x14ac:dyDescent="0.45">
      <c r="A119" s="29" t="s">
        <v>2327</v>
      </c>
      <c r="B119" s="29" t="s">
        <v>2326</v>
      </c>
      <c r="C119" s="29" t="s">
        <v>2333</v>
      </c>
    </row>
    <row r="120" spans="1:3" x14ac:dyDescent="0.45">
      <c r="A120">
        <f>COUNTIFS(AnalizaCzyste[KategoriaUczelni],B120,AnalizaCzyste[Czy jesteś absolwentem uczelni wyższej?],"*"&amp;"Tak"&amp;"*")</f>
        <v>28</v>
      </c>
      <c r="B120" s="20" t="s">
        <v>2321</v>
      </c>
      <c r="C120" s="30">
        <f>A120/$A$123</f>
        <v>0.96551724137931039</v>
      </c>
    </row>
    <row r="121" spans="1:3" x14ac:dyDescent="0.45">
      <c r="A121">
        <f>COUNTIFS(AnalizaCzyste[KategoriaUczelni],B121,AnalizaCzyste[Czy jesteś absolwentem uczelni wyższej?],"*"&amp;"Tak"&amp;"*")</f>
        <v>1</v>
      </c>
      <c r="B121" s="20" t="s">
        <v>2323</v>
      </c>
      <c r="C121" s="30">
        <f>A121/$A$123</f>
        <v>3.4482758620689655E-2</v>
      </c>
    </row>
    <row r="122" spans="1:3" x14ac:dyDescent="0.45">
      <c r="A122">
        <f>COUNTIFS(AnalizaCzyste[KategoriaUczelni],B122,AnalizaCzyste[Czy jesteś absolwentem uczelni wyższej?],"*"&amp;"Tak"&amp;"*")</f>
        <v>0</v>
      </c>
      <c r="B122" s="20" t="s">
        <v>2322</v>
      </c>
      <c r="C122" s="30">
        <f>A122/$A$123</f>
        <v>0</v>
      </c>
    </row>
    <row r="123" spans="1:3" x14ac:dyDescent="0.45">
      <c r="A123" s="29">
        <f>SUM(A120:A122)</f>
        <v>29</v>
      </c>
    </row>
    <row r="133" spans="1:15" x14ac:dyDescent="0.45">
      <c r="A133" s="29" t="s">
        <v>2347</v>
      </c>
      <c r="C133" t="s">
        <v>2348</v>
      </c>
      <c r="E133" s="20" t="s">
        <v>2362</v>
      </c>
      <c r="F133" s="20" t="s">
        <v>2363</v>
      </c>
      <c r="G133" s="20" t="s">
        <v>2430</v>
      </c>
      <c r="H133" s="20" t="s">
        <v>2418</v>
      </c>
      <c r="I133" s="20" t="s">
        <v>2419</v>
      </c>
      <c r="J133" s="20" t="s">
        <v>2420</v>
      </c>
      <c r="K133" s="20" t="s">
        <v>2421</v>
      </c>
      <c r="L133" s="20" t="s">
        <v>2422</v>
      </c>
      <c r="M133" s="20" t="s">
        <v>2423</v>
      </c>
      <c r="N133" s="20" t="s">
        <v>2424</v>
      </c>
    </row>
    <row r="134" spans="1:15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0</v>
      </c>
      <c r="D134">
        <f t="shared" ref="D134:D141" si="6">PRODUCT(A134,C134)</f>
        <v>0</v>
      </c>
      <c r="E134" s="44">
        <f>(A134-$D$142)^2</f>
        <v>12.25</v>
      </c>
      <c r="F134">
        <f>PRODUCT(C134,E134)</f>
        <v>0</v>
      </c>
      <c r="G134" s="44">
        <f>VLOOKUP(A134,TabeleGrup!$C$45:$D$51,2,0)</f>
        <v>6.9999999999999991</v>
      </c>
      <c r="H134" s="44">
        <f>(G134-$D$142)/$F$143</f>
        <v>1.6499158227686106</v>
      </c>
      <c r="I134" s="44">
        <f>NORMDIST(H134,0,1,1)</f>
        <v>0.95051992299029708</v>
      </c>
      <c r="J134" s="44">
        <f t="shared" ref="J134:J138" si="7">I134-I135</f>
        <v>5.6928775453938152E-2</v>
      </c>
      <c r="K134" s="44">
        <f t="shared" ref="K134:K139" si="8">$C$143*J134</f>
        <v>0.1138575509078763</v>
      </c>
      <c r="L134" s="44">
        <f t="shared" ref="L134:L140" si="9">C134-K134</f>
        <v>-0.1138575509078763</v>
      </c>
      <c r="M134" s="44">
        <f>L134^2</f>
        <v>1.2963541898739644E-2</v>
      </c>
      <c r="N134" s="44">
        <f>M134/K134</f>
        <v>0.1138575509078763</v>
      </c>
    </row>
    <row r="135" spans="1:15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0</v>
      </c>
      <c r="D135">
        <f t="shared" si="6"/>
        <v>0</v>
      </c>
      <c r="E135" s="44">
        <f t="shared" ref="E135:E140" si="10">(A135-$D$142)^2</f>
        <v>6.25</v>
      </c>
      <c r="F135">
        <f t="shared" ref="F135:F140" si="11">PRODUCT(C135,E135)</f>
        <v>0</v>
      </c>
      <c r="G135" s="44">
        <f>VLOOKUP(A135,TabeleGrup!C46:D52,2,0)</f>
        <v>6.1428571428571423</v>
      </c>
      <c r="H135" s="44">
        <f t="shared" ref="H135:H140" si="12">(G135-$D$142)/$F$143</f>
        <v>1.2458548049477265</v>
      </c>
      <c r="I135" s="44">
        <f t="shared" ref="I135:I140" si="13">NORMDIST(H135,0,1,1)</f>
        <v>0.89359114753635893</v>
      </c>
      <c r="J135" s="44">
        <f t="shared" si="7"/>
        <v>9.354284261988699E-2</v>
      </c>
      <c r="K135" s="44">
        <f t="shared" si="8"/>
        <v>0.18708568523977398</v>
      </c>
      <c r="L135" s="44">
        <f t="shared" si="9"/>
        <v>-0.18708568523977398</v>
      </c>
      <c r="M135" s="44">
        <f t="shared" ref="M135:M140" si="14">L135^2</f>
        <v>3.5001053621635782E-2</v>
      </c>
      <c r="N135" s="44">
        <f t="shared" ref="N135:N140" si="15">M135/K135</f>
        <v>0.18708568523977398</v>
      </c>
    </row>
    <row r="136" spans="1:15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1</v>
      </c>
      <c r="D136">
        <f t="shared" si="6"/>
        <v>5</v>
      </c>
      <c r="E136" s="44">
        <f t="shared" si="10"/>
        <v>2.25</v>
      </c>
      <c r="F136">
        <f t="shared" si="11"/>
        <v>2.25</v>
      </c>
      <c r="G136" s="44">
        <f>VLOOKUP(A136,TabeleGrup!C47:D53,2,0)</f>
        <v>5.2857142857142856</v>
      </c>
      <c r="H136" s="44">
        <f t="shared" si="12"/>
        <v>0.84179378712684227</v>
      </c>
      <c r="I136" s="44">
        <f t="shared" si="13"/>
        <v>0.80004830491647194</v>
      </c>
      <c r="J136" s="44">
        <f t="shared" si="7"/>
        <v>0.13083831085895292</v>
      </c>
      <c r="K136" s="44">
        <f t="shared" si="8"/>
        <v>0.26167662171790584</v>
      </c>
      <c r="L136" s="44">
        <f t="shared" si="9"/>
        <v>0.73832337828209416</v>
      </c>
      <c r="M136" s="44">
        <f t="shared" si="14"/>
        <v>0.54512141091788435</v>
      </c>
      <c r="N136" s="44">
        <f t="shared" si="15"/>
        <v>2.083187284134</v>
      </c>
    </row>
    <row r="137" spans="1:15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0</v>
      </c>
      <c r="D137">
        <f t="shared" si="6"/>
        <v>0</v>
      </c>
      <c r="E137" s="44">
        <f t="shared" si="10"/>
        <v>0.25</v>
      </c>
      <c r="F137">
        <f t="shared" si="11"/>
        <v>0</v>
      </c>
      <c r="G137" s="44">
        <f>VLOOKUP(A137,TabeleGrup!C48:D54,2,0)</f>
        <v>4.4285714285714288</v>
      </c>
      <c r="H137" s="44">
        <f t="shared" si="12"/>
        <v>0.43773276930595817</v>
      </c>
      <c r="I137" s="44">
        <f t="shared" si="13"/>
        <v>0.66920999405751902</v>
      </c>
      <c r="J137" s="44">
        <f t="shared" si="7"/>
        <v>0.15577944667922627</v>
      </c>
      <c r="K137" s="44">
        <f t="shared" si="8"/>
        <v>0.31155889335845255</v>
      </c>
      <c r="L137" s="44">
        <f t="shared" si="9"/>
        <v>-0.31155889335845255</v>
      </c>
      <c r="M137" s="44">
        <f t="shared" si="14"/>
        <v>9.7068944030743606E-2</v>
      </c>
      <c r="N137" s="44">
        <f t="shared" si="15"/>
        <v>0.31155889335845255</v>
      </c>
    </row>
    <row r="138" spans="1:15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0</v>
      </c>
      <c r="D138">
        <f t="shared" si="6"/>
        <v>0</v>
      </c>
      <c r="E138" s="44">
        <f t="shared" si="10"/>
        <v>0.25</v>
      </c>
      <c r="F138">
        <f t="shared" si="11"/>
        <v>0</v>
      </c>
      <c r="G138" s="44">
        <f>VLOOKUP(A138,TabeleGrup!C49:D55,2,0)</f>
        <v>3.5714285714285716</v>
      </c>
      <c r="H138" s="44">
        <f t="shared" si="12"/>
        <v>3.3671751485073786E-2</v>
      </c>
      <c r="I138" s="44">
        <f t="shared" si="13"/>
        <v>0.51343054737829275</v>
      </c>
      <c r="J138" s="44">
        <f t="shared" si="7"/>
        <v>0.15788431225131666</v>
      </c>
      <c r="K138" s="44">
        <f t="shared" si="8"/>
        <v>0.31576862450263332</v>
      </c>
      <c r="L138" s="44">
        <f t="shared" si="9"/>
        <v>-0.31576862450263332</v>
      </c>
      <c r="M138" s="44">
        <f t="shared" si="14"/>
        <v>9.9709824220285043E-2</v>
      </c>
      <c r="N138" s="44">
        <f t="shared" si="15"/>
        <v>0.31576862450263332</v>
      </c>
    </row>
    <row r="139" spans="1:15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 t="shared" si="6"/>
        <v>2</v>
      </c>
      <c r="E139" s="44">
        <f t="shared" si="10"/>
        <v>2.25</v>
      </c>
      <c r="F139">
        <f t="shared" si="11"/>
        <v>2.25</v>
      </c>
      <c r="G139" s="44">
        <f>VLOOKUP(A139,TabeleGrup!C50:D56,2,0)</f>
        <v>2.7142857142857144</v>
      </c>
      <c r="H139" s="44">
        <f t="shared" si="12"/>
        <v>-0.3703892663358106</v>
      </c>
      <c r="I139" s="44">
        <f t="shared" si="13"/>
        <v>0.35554623512697608</v>
      </c>
      <c r="J139" s="44">
        <f>I139-I140</f>
        <v>0.13621395644265025</v>
      </c>
      <c r="K139" s="44">
        <f t="shared" si="8"/>
        <v>0.27242791288530049</v>
      </c>
      <c r="L139" s="44">
        <f t="shared" si="9"/>
        <v>0.72757208711469956</v>
      </c>
      <c r="M139" s="44">
        <f t="shared" si="14"/>
        <v>0.52936114194843997</v>
      </c>
      <c r="N139" s="44">
        <f t="shared" si="15"/>
        <v>1.943123728923164</v>
      </c>
    </row>
    <row r="140" spans="1:15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 t="shared" si="6"/>
        <v>0</v>
      </c>
      <c r="E140" s="44">
        <f t="shared" si="10"/>
        <v>6.25</v>
      </c>
      <c r="F140">
        <f t="shared" si="11"/>
        <v>0</v>
      </c>
      <c r="G140" s="44">
        <f>VLOOKUP(A140,TabeleGrup!C51:D57,2,0)</f>
        <v>1.8571428571428572</v>
      </c>
      <c r="H140" s="44">
        <f t="shared" si="12"/>
        <v>-0.77445028415669492</v>
      </c>
      <c r="I140" s="44">
        <f t="shared" si="13"/>
        <v>0.21933227868432584</v>
      </c>
      <c r="J140" s="44">
        <f>I140</f>
        <v>0.21933227868432584</v>
      </c>
      <c r="K140" s="44">
        <f>$C$143*J140</f>
        <v>0.43866455736865168</v>
      </c>
      <c r="L140" s="44">
        <f t="shared" si="9"/>
        <v>-0.43866455736865168</v>
      </c>
      <c r="M140" s="44">
        <f t="shared" si="14"/>
        <v>0.1924265938914351</v>
      </c>
      <c r="N140" s="44">
        <f t="shared" si="15"/>
        <v>0.43866455736865168</v>
      </c>
      <c r="O140" s="20" t="s">
        <v>2425</v>
      </c>
    </row>
    <row r="141" spans="1:15" x14ac:dyDescent="0.45">
      <c r="A141" t="s">
        <v>2329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 t="shared" si="6"/>
        <v>0</v>
      </c>
      <c r="J141" s="47">
        <f>SUM(J134:J140)</f>
        <v>0.95051992299029697</v>
      </c>
      <c r="K141" s="47">
        <f>SUM(K134:K140)</f>
        <v>1.9010398459805939</v>
      </c>
      <c r="M141" s="20" t="s">
        <v>2426</v>
      </c>
      <c r="N141" s="48">
        <f>SUM(N134:N140)</f>
        <v>5.3932463244345525</v>
      </c>
      <c r="O141">
        <f>CHIINV(I144,7-3)</f>
        <v>9.4877290367811575</v>
      </c>
    </row>
    <row r="142" spans="1:15" x14ac:dyDescent="0.45">
      <c r="B142" s="20" t="s">
        <v>2351</v>
      </c>
      <c r="C142" s="29">
        <f>SUM(C134:C141)</f>
        <v>2</v>
      </c>
      <c r="D142" s="44">
        <f>SUM(D134:D141)/C143</f>
        <v>3.5</v>
      </c>
      <c r="E142" s="20" t="s">
        <v>2353</v>
      </c>
      <c r="F142" s="44">
        <f>SUM(F134:F141)/(C143-1)</f>
        <v>4.5</v>
      </c>
      <c r="H142" s="20" t="s">
        <v>2405</v>
      </c>
      <c r="N142" s="20" t="s">
        <v>2427</v>
      </c>
    </row>
    <row r="143" spans="1:15" x14ac:dyDescent="0.45">
      <c r="B143" s="20" t="s">
        <v>2352</v>
      </c>
      <c r="C143">
        <f>C142-C141</f>
        <v>2</v>
      </c>
      <c r="D143" s="33">
        <f>D142/7</f>
        <v>0.5</v>
      </c>
      <c r="F143" s="44">
        <f>F142^(1/2)</f>
        <v>2.1213203435596424</v>
      </c>
      <c r="G143" t="s">
        <v>2406</v>
      </c>
    </row>
    <row r="144" spans="1:15" x14ac:dyDescent="0.45">
      <c r="B144" s="20"/>
      <c r="D144" s="52" t="str">
        <f>VLOOKUP(D142,InterpretacjaŚredniej[],2,1)</f>
        <v>raczej się nie zgadzam</v>
      </c>
      <c r="E144">
        <f>D142-(K144*F143/SQRT(C143))</f>
        <v>-15.559307104262057</v>
      </c>
      <c r="F144" s="45" t="str">
        <f>"&lt; m &lt;"</f>
        <v>&lt; m &lt;</v>
      </c>
      <c r="G144">
        <f>D142+(K144*F143/SQRT(C143))</f>
        <v>22.559307104262057</v>
      </c>
      <c r="H144" t="s">
        <v>2407</v>
      </c>
      <c r="I144">
        <v>0.05</v>
      </c>
      <c r="J144" s="20" t="s">
        <v>2417</v>
      </c>
      <c r="K144">
        <f>VLOOKUP($C$143-1,Tabl_tStudenta[],5,0)</f>
        <v>12.706204736174707</v>
      </c>
    </row>
    <row r="145" spans="1:7" x14ac:dyDescent="0.45">
      <c r="G145" s="42">
        <f>G144-E144</f>
        <v>38.118614208524114</v>
      </c>
    </row>
    <row r="146" spans="1:7" x14ac:dyDescent="0.45">
      <c r="A146" s="29" t="s">
        <v>2360</v>
      </c>
      <c r="C146" t="s">
        <v>2348</v>
      </c>
      <c r="E146" s="20" t="s">
        <v>2362</v>
      </c>
      <c r="F146" s="20" t="s">
        <v>2363</v>
      </c>
    </row>
    <row r="147" spans="1:7" x14ac:dyDescent="0.45">
      <c r="A147">
        <v>7</v>
      </c>
      <c r="B147" t="s">
        <v>169</v>
      </c>
      <c r="C147">
        <f>COUNTIFS(AnalizaCzyste[Usługi edukacyjne ocenianej uczelni mają wysoką wartość (okazja / szansa rozwoju własnego lub kariery).],B147,AnalizaCzyste[Czy jesteś studentem uczelni wyższej?],"*"&amp;"Tak"&amp;"*")</f>
        <v>0</v>
      </c>
      <c r="D147">
        <f t="shared" ref="D147:D154" si="16">PRODUCT(A147,C147)</f>
        <v>0</v>
      </c>
      <c r="E147" s="44">
        <f>(A147-$D$155)^2</f>
        <v>16</v>
      </c>
      <c r="F147">
        <f>PRODUCT(C147,E147)</f>
        <v>0</v>
      </c>
    </row>
    <row r="148" spans="1:7" x14ac:dyDescent="0.45">
      <c r="A148">
        <v>6</v>
      </c>
      <c r="B148" t="s">
        <v>150</v>
      </c>
      <c r="C148">
        <f>COUNTIFS(AnalizaCzyste[Usługi edukacyjne ocenianej uczelni mają wysoką wartość (okazja / szansa rozwoju własnego lub kariery).],B148,AnalizaCzyste[Czy jesteś studentem uczelni wyższej?],"*"&amp;"Tak"&amp;"*")</f>
        <v>0</v>
      </c>
      <c r="D148">
        <f t="shared" si="16"/>
        <v>0</v>
      </c>
      <c r="E148" s="44">
        <f t="shared" ref="E148:E153" si="17">(A148-$D$155)^2</f>
        <v>9</v>
      </c>
      <c r="F148">
        <f t="shared" ref="F148:F153" si="18">PRODUCT(C148,E148)</f>
        <v>0</v>
      </c>
    </row>
    <row r="149" spans="1:7" x14ac:dyDescent="0.45">
      <c r="A149">
        <v>5</v>
      </c>
      <c r="B149" t="s">
        <v>162</v>
      </c>
      <c r="C149">
        <f>COUNTIFS(AnalizaCzyste[Usługi edukacyjne ocenianej uczelni mają wysoką wartość (okazja / szansa rozwoju własnego lub kariery).],B149,AnalizaCzyste[Czy jesteś studentem uczelni wyższej?],"*"&amp;"Tak"&amp;"*")</f>
        <v>1</v>
      </c>
      <c r="D149">
        <f t="shared" si="16"/>
        <v>5</v>
      </c>
      <c r="E149" s="44">
        <f t="shared" si="17"/>
        <v>4</v>
      </c>
      <c r="F149">
        <f t="shared" si="18"/>
        <v>4</v>
      </c>
    </row>
    <row r="150" spans="1:7" x14ac:dyDescent="0.45">
      <c r="A150">
        <v>4</v>
      </c>
      <c r="B150" t="s">
        <v>151</v>
      </c>
      <c r="C150">
        <f>COUNTIFS(AnalizaCzyste[Usługi edukacyjne ocenianej uczelni mają wysoką wartość (okazja / szansa rozwoju własnego lub kariery).],B150,AnalizaCzyste[Czy jesteś studentem uczelni wyższej?],"*"&amp;"Tak"&amp;"*")</f>
        <v>0</v>
      </c>
      <c r="D150">
        <f t="shared" si="16"/>
        <v>0</v>
      </c>
      <c r="E150" s="44">
        <f t="shared" si="17"/>
        <v>1</v>
      </c>
      <c r="F150">
        <f t="shared" si="18"/>
        <v>0</v>
      </c>
    </row>
    <row r="151" spans="1:7" x14ac:dyDescent="0.45">
      <c r="A151">
        <v>3</v>
      </c>
      <c r="B151" t="s">
        <v>128</v>
      </c>
      <c r="C151">
        <f>COUNTIFS(AnalizaCzyste[Usługi edukacyjne ocenianej uczelni mają wysoką wartość (okazja / szansa rozwoju własnego lub kariery).],B151,AnalizaCzyste[Czy jesteś studentem uczelni wyższej?],"*"&amp;"Tak"&amp;"*")</f>
        <v>0</v>
      </c>
      <c r="D151">
        <f t="shared" si="16"/>
        <v>0</v>
      </c>
      <c r="E151" s="44">
        <f t="shared" si="17"/>
        <v>0</v>
      </c>
      <c r="F151">
        <f t="shared" si="18"/>
        <v>0</v>
      </c>
    </row>
    <row r="152" spans="1:7" x14ac:dyDescent="0.45">
      <c r="A152">
        <v>2</v>
      </c>
      <c r="B152" t="s">
        <v>236</v>
      </c>
      <c r="C152">
        <f>COUNTIFS(AnalizaCzyste[Usługi edukacyjne ocenianej uczelni mają wysoką wartość (okazja / szansa rozwoju własnego lub kariery).],B152,AnalizaCzyste[Czy jesteś studentem uczelni wyższej?],"*"&amp;"Tak"&amp;"*")</f>
        <v>0</v>
      </c>
      <c r="D152">
        <f t="shared" si="16"/>
        <v>0</v>
      </c>
      <c r="E152" s="44">
        <f t="shared" si="17"/>
        <v>1</v>
      </c>
      <c r="F152">
        <f t="shared" si="18"/>
        <v>0</v>
      </c>
    </row>
    <row r="153" spans="1:7" x14ac:dyDescent="0.45">
      <c r="A153">
        <v>1</v>
      </c>
      <c r="B153" t="s">
        <v>129</v>
      </c>
      <c r="C153">
        <f>COUNTIFS(AnalizaCzyste[Usługi edukacyjne ocenianej uczelni mają wysoką wartość (okazja / szansa rozwoju własnego lub kariery).],B153,AnalizaCzyste[Czy jesteś studentem uczelni wyższej?],"*"&amp;"Tak"&amp;"*")</f>
        <v>1</v>
      </c>
      <c r="D153">
        <f t="shared" si="16"/>
        <v>1</v>
      </c>
      <c r="E153" s="44">
        <f t="shared" si="17"/>
        <v>4</v>
      </c>
      <c r="F153">
        <f t="shared" si="18"/>
        <v>4</v>
      </c>
    </row>
    <row r="154" spans="1:7" x14ac:dyDescent="0.45">
      <c r="A154" t="s">
        <v>2329</v>
      </c>
      <c r="B154" t="s">
        <v>132</v>
      </c>
      <c r="C154">
        <f>COUNTIFS(AnalizaCzyste[Usługi edukacyjne ocenianej uczelni mają wysoką wartość (okazja / szansa rozwoju własnego lub kariery).],B154,AnalizaCzyste[Czy jesteś studentem uczelni wyższej?],"*"&amp;"Tak"&amp;"*")</f>
        <v>0</v>
      </c>
      <c r="D154">
        <f t="shared" si="16"/>
        <v>0</v>
      </c>
    </row>
    <row r="155" spans="1:7" x14ac:dyDescent="0.45">
      <c r="B155" s="20" t="s">
        <v>2351</v>
      </c>
      <c r="C155" s="29">
        <f>SUM(C147:C154)</f>
        <v>2</v>
      </c>
      <c r="D155" s="44">
        <f>SUM(D147:D153)/C156</f>
        <v>3</v>
      </c>
      <c r="E155" s="20" t="s">
        <v>2353</v>
      </c>
      <c r="F155" s="44">
        <f>SUM(F147:F154)/(C156-1)</f>
        <v>8</v>
      </c>
      <c r="G155" s="20" t="s">
        <v>2349</v>
      </c>
    </row>
    <row r="156" spans="1:7" x14ac:dyDescent="0.45">
      <c r="B156" s="20" t="s">
        <v>2352</v>
      </c>
      <c r="C156">
        <f>C155-C154</f>
        <v>2</v>
      </c>
      <c r="D156" s="33">
        <f>D155/7</f>
        <v>0.42857142857142855</v>
      </c>
      <c r="F156" s="44">
        <f>F155^(1/2)</f>
        <v>2.8284271247461903</v>
      </c>
      <c r="G156" t="s">
        <v>2404</v>
      </c>
    </row>
    <row r="158" spans="1:7" x14ac:dyDescent="0.45">
      <c r="A158" s="29" t="s">
        <v>2361</v>
      </c>
      <c r="C158" t="s">
        <v>2348</v>
      </c>
      <c r="E158" s="20" t="s">
        <v>2362</v>
      </c>
      <c r="F158" s="20" t="s">
        <v>2363</v>
      </c>
    </row>
    <row r="159" spans="1:7" x14ac:dyDescent="0.45">
      <c r="A159">
        <v>7</v>
      </c>
      <c r="B159" t="s">
        <v>169</v>
      </c>
      <c r="C159">
        <f>COUNTIFS(AnalizaCzyste[Kształcenie na ocenianej uczelni ma/będzie miało pozytywny wpływ na zwiększenie moich zarobków.],B159,AnalizaCzyste[Czy jesteś studentem uczelni wyższej?],"*"&amp;"Tak"&amp;"*")</f>
        <v>0</v>
      </c>
      <c r="D159">
        <f t="shared" ref="D159:D166" si="19">PRODUCT(A159,C159)</f>
        <v>0</v>
      </c>
      <c r="E159" s="44">
        <f>(A159-$D$167)^2</f>
        <v>16</v>
      </c>
      <c r="F159">
        <f>PRODUCT(C159,E159)</f>
        <v>0</v>
      </c>
    </row>
    <row r="160" spans="1:7" x14ac:dyDescent="0.45">
      <c r="A160">
        <v>6</v>
      </c>
      <c r="B160" t="s">
        <v>150</v>
      </c>
      <c r="C160">
        <f>COUNTIFS(AnalizaCzyste[Kształcenie na ocenianej uczelni ma/będzie miało pozytywny wpływ na zwiększenie moich zarobków.],B160,AnalizaCzyste[Czy jesteś studentem uczelni wyższej?],"*"&amp;"Tak"&amp;"*")</f>
        <v>0</v>
      </c>
      <c r="D160">
        <f t="shared" si="19"/>
        <v>0</v>
      </c>
      <c r="E160" s="44">
        <f t="shared" ref="E160:E165" si="20">(A160-$D$167)^2</f>
        <v>9</v>
      </c>
      <c r="F160">
        <f t="shared" ref="F160:F165" si="21">PRODUCT(C160,E160)</f>
        <v>0</v>
      </c>
    </row>
    <row r="161" spans="1:14" x14ac:dyDescent="0.45">
      <c r="A161">
        <v>5</v>
      </c>
      <c r="B161" t="s">
        <v>162</v>
      </c>
      <c r="C161">
        <f>COUNTIFS(AnalizaCzyste[Kształcenie na ocenianej uczelni ma/będzie miało pozytywny wpływ na zwiększenie moich zarobków.],B161,AnalizaCzyste[Czy jesteś studentem uczelni wyższej?],"*"&amp;"Tak"&amp;"*")</f>
        <v>0</v>
      </c>
      <c r="D161">
        <f t="shared" si="19"/>
        <v>0</v>
      </c>
      <c r="E161" s="44">
        <f t="shared" si="20"/>
        <v>4</v>
      </c>
      <c r="F161">
        <f t="shared" si="21"/>
        <v>0</v>
      </c>
    </row>
    <row r="162" spans="1:14" x14ac:dyDescent="0.45">
      <c r="A162">
        <v>4</v>
      </c>
      <c r="B162" t="s">
        <v>151</v>
      </c>
      <c r="C162">
        <f>COUNTIFS(AnalizaCzyste[Kształcenie na ocenianej uczelni ma/będzie miało pozytywny wpływ na zwiększenie moich zarobków.],B162,AnalizaCzyste[Czy jesteś studentem uczelni wyższej?],"*"&amp;"Tak"&amp;"*")</f>
        <v>1</v>
      </c>
      <c r="D162">
        <f t="shared" si="19"/>
        <v>4</v>
      </c>
      <c r="E162" s="44">
        <f t="shared" si="20"/>
        <v>1</v>
      </c>
      <c r="F162">
        <f t="shared" si="21"/>
        <v>1</v>
      </c>
    </row>
    <row r="163" spans="1:14" x14ac:dyDescent="0.45">
      <c r="A163">
        <v>3</v>
      </c>
      <c r="B163" t="s">
        <v>128</v>
      </c>
      <c r="C163">
        <f>COUNTIFS(AnalizaCzyste[Kształcenie na ocenianej uczelni ma/będzie miało pozytywny wpływ na zwiększenie moich zarobków.],B163,AnalizaCzyste[Czy jesteś studentem uczelni wyższej?],"*"&amp;"Tak"&amp;"*")</f>
        <v>0</v>
      </c>
      <c r="D163">
        <f t="shared" si="19"/>
        <v>0</v>
      </c>
      <c r="E163" s="44">
        <f t="shared" si="20"/>
        <v>0</v>
      </c>
      <c r="F163">
        <f t="shared" si="21"/>
        <v>0</v>
      </c>
    </row>
    <row r="164" spans="1:14" x14ac:dyDescent="0.45">
      <c r="A164">
        <v>2</v>
      </c>
      <c r="B164" t="s">
        <v>236</v>
      </c>
      <c r="C164">
        <f>COUNTIFS(AnalizaCzyste[Kształcenie na ocenianej uczelni ma/będzie miało pozytywny wpływ na zwiększenie moich zarobków.],B164,AnalizaCzyste[Czy jesteś studentem uczelni wyższej?],"*"&amp;"Tak"&amp;"*")</f>
        <v>1</v>
      </c>
      <c r="D164">
        <f t="shared" si="19"/>
        <v>2</v>
      </c>
      <c r="E164" s="44">
        <f t="shared" si="20"/>
        <v>1</v>
      </c>
      <c r="F164">
        <f t="shared" si="21"/>
        <v>1</v>
      </c>
    </row>
    <row r="165" spans="1:14" x14ac:dyDescent="0.45">
      <c r="A165">
        <v>1</v>
      </c>
      <c r="B165" t="s">
        <v>129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 t="shared" si="19"/>
        <v>0</v>
      </c>
      <c r="E165" s="44">
        <f t="shared" si="20"/>
        <v>4</v>
      </c>
      <c r="F165">
        <f t="shared" si="21"/>
        <v>0</v>
      </c>
    </row>
    <row r="166" spans="1:14" x14ac:dyDescent="0.45">
      <c r="A166" t="s">
        <v>2329</v>
      </c>
      <c r="B166" t="s">
        <v>132</v>
      </c>
      <c r="C166">
        <f>COUNTIFS(AnalizaCzyste[Kształcenie na ocenianej uczelni ma/będzie miało pozytywny wpływ na zwiększenie moich zarobków.],B166,AnalizaCzyste[Czy jesteś studentem uczelni wyższej?],"*"&amp;"Tak"&amp;"*")</f>
        <v>0</v>
      </c>
      <c r="D166">
        <f t="shared" si="19"/>
        <v>0</v>
      </c>
    </row>
    <row r="167" spans="1:14" x14ac:dyDescent="0.45">
      <c r="B167" s="20" t="s">
        <v>2351</v>
      </c>
      <c r="C167" s="29">
        <f>SUM(C159:C166)</f>
        <v>2</v>
      </c>
      <c r="D167" s="44">
        <f>SUM(D159:D166)/C168</f>
        <v>3</v>
      </c>
      <c r="E167" s="20" t="s">
        <v>2353</v>
      </c>
      <c r="F167" s="44">
        <f>SUM(F159:F166)/(C168-1)</f>
        <v>2</v>
      </c>
      <c r="G167" s="20" t="s">
        <v>2349</v>
      </c>
    </row>
    <row r="168" spans="1:14" x14ac:dyDescent="0.45">
      <c r="B168" s="20" t="s">
        <v>2352</v>
      </c>
      <c r="C168">
        <f>C167-C166</f>
        <v>2</v>
      </c>
      <c r="D168" s="33">
        <f>D167/7</f>
        <v>0.42857142857142855</v>
      </c>
      <c r="F168" s="44">
        <f>F167^(1/2)</f>
        <v>1.4142135623730951</v>
      </c>
      <c r="G168" t="s">
        <v>2404</v>
      </c>
    </row>
    <row r="172" spans="1:14" x14ac:dyDescent="0.45">
      <c r="A172" s="29" t="s">
        <v>2350</v>
      </c>
      <c r="C172" t="s">
        <v>2348</v>
      </c>
      <c r="E172" s="20" t="s">
        <v>2362</v>
      </c>
      <c r="F172" s="20" t="s">
        <v>2363</v>
      </c>
      <c r="G172" s="20" t="s">
        <v>2430</v>
      </c>
      <c r="H172" s="20" t="s">
        <v>2418</v>
      </c>
      <c r="I172" s="20" t="s">
        <v>2419</v>
      </c>
      <c r="J172" s="20" t="s">
        <v>2420</v>
      </c>
      <c r="K172" s="20" t="s">
        <v>2421</v>
      </c>
      <c r="L172" s="20" t="s">
        <v>2422</v>
      </c>
      <c r="M172" s="20" t="s">
        <v>2423</v>
      </c>
      <c r="N172" s="20" t="s">
        <v>2424</v>
      </c>
    </row>
    <row r="173" spans="1:14" x14ac:dyDescent="0.45">
      <c r="A173">
        <v>7</v>
      </c>
      <c r="B173" t="s">
        <v>169</v>
      </c>
      <c r="C173">
        <f>COUNTIFS(AnalizaCzyste[Moja satysfakcja z (efektów) usług edukacyjnych ocenianej uczelni jest wysoka.],B173,AnalizaCzyste[Czy jesteś absolwentem uczelni wyższej?],"*"&amp;"Tak"&amp;"*")</f>
        <v>7</v>
      </c>
      <c r="D173">
        <f>PRODUCT(A173,C173)</f>
        <v>49</v>
      </c>
      <c r="E173" s="44">
        <f>(A173-$D$181)^2</f>
        <v>2.4693877551020402</v>
      </c>
      <c r="F173">
        <f>PRODUCT(C173,E173)</f>
        <v>17.285714285714281</v>
      </c>
      <c r="G173" s="44">
        <f>VLOOKUP(A173,TabeleGrup!$C$45:$D$51,2,0)</f>
        <v>6.9999999999999991</v>
      </c>
      <c r="H173">
        <f>(G173-$D$181)/$F$182</f>
        <v>1.0466964414976587</v>
      </c>
      <c r="I173">
        <f>NORMDIST(H173,0,1,1)</f>
        <v>0.8523801972547056</v>
      </c>
      <c r="J173">
        <f>I173-I174</f>
        <v>0.16949892431236235</v>
      </c>
      <c r="K173">
        <f>$C$182*J173</f>
        <v>4.7459698807461459</v>
      </c>
      <c r="L173">
        <f>C173-K173</f>
        <v>2.2540301192538541</v>
      </c>
      <c r="M173">
        <f>L173^2</f>
        <v>5.0806517785035439</v>
      </c>
      <c r="N173">
        <f>M173/K173</f>
        <v>1.0705191786225117</v>
      </c>
    </row>
    <row r="174" spans="1:14" x14ac:dyDescent="0.45">
      <c r="A174">
        <v>6</v>
      </c>
      <c r="B174" t="s">
        <v>150</v>
      </c>
      <c r="C174">
        <f>COUNTIFS(AnalizaCzyste[Moja satysfakcja z (efektów) usług edukacyjnych ocenianej uczelni jest wysoka.],B174,AnalizaCzyste[Czy jesteś absolwentem uczelni wyższej?],"*"&amp;"Tak"&amp;"*")</f>
        <v>10</v>
      </c>
      <c r="D174">
        <f t="shared" ref="D174:D180" si="22">PRODUCT(A174,C174)</f>
        <v>60</v>
      </c>
      <c r="E174" s="44">
        <f t="shared" ref="E174:E179" si="23">(A174-$D$181)^2</f>
        <v>0.32653061224489766</v>
      </c>
      <c r="F174">
        <f t="shared" ref="F174:F179" si="24">PRODUCT(C174,E174)</f>
        <v>3.2653061224489766</v>
      </c>
      <c r="G174" s="44">
        <f>VLOOKUP(A174,TabeleGrup!$C$45:$D$51,2,0)</f>
        <v>6.1428571428571423</v>
      </c>
      <c r="H174">
        <f t="shared" ref="H174:H179" si="25">(G174-$D$181)/$F$182</f>
        <v>0.47577110977166287</v>
      </c>
      <c r="I174">
        <f t="shared" ref="I174:I179" si="26">NORMDIST(H174,0,1,1)</f>
        <v>0.68288127294234324</v>
      </c>
      <c r="J174">
        <f t="shared" ref="J174:J178" si="27">I174-I175</f>
        <v>0.22078510768167825</v>
      </c>
      <c r="K174">
        <f t="shared" ref="K174:K179" si="28">$C$182*J174</f>
        <v>6.181983015086991</v>
      </c>
      <c r="L174">
        <f t="shared" ref="L174:L179" si="29">C174-K174</f>
        <v>3.818016984913009</v>
      </c>
      <c r="M174">
        <f t="shared" ref="M174:M179" si="30">L174^2</f>
        <v>14.577253697084224</v>
      </c>
      <c r="N174">
        <f t="shared" ref="N174:N179" si="31">M174/K174</f>
        <v>2.3580222820911612</v>
      </c>
    </row>
    <row r="175" spans="1:14" x14ac:dyDescent="0.45">
      <c r="A175">
        <v>5</v>
      </c>
      <c r="B175" t="s">
        <v>162</v>
      </c>
      <c r="C175">
        <f>COUNTIFS(AnalizaCzyste[Moja satysfakcja z (efektów) usług edukacyjnych ocenianej uczelni jest wysoka.],B175,AnalizaCzyste[Czy jesteś absolwentem uczelni wyższej?],"*"&amp;"Tak"&amp;"*")</f>
        <v>5</v>
      </c>
      <c r="D175">
        <f t="shared" si="22"/>
        <v>25</v>
      </c>
      <c r="E175" s="44">
        <f t="shared" si="23"/>
        <v>0.18367346938775531</v>
      </c>
      <c r="F175">
        <f t="shared" si="24"/>
        <v>0.91836734693877653</v>
      </c>
      <c r="G175" s="44">
        <f>VLOOKUP(A175,TabeleGrup!$C$45:$D$51,2,0)</f>
        <v>5.2857142857142856</v>
      </c>
      <c r="H175">
        <f t="shared" si="25"/>
        <v>-9.5154221954332929E-2</v>
      </c>
      <c r="I175">
        <f t="shared" si="26"/>
        <v>0.46209616526066499</v>
      </c>
      <c r="J175">
        <f t="shared" si="27"/>
        <v>0.2094160389424764</v>
      </c>
      <c r="K175">
        <f t="shared" si="28"/>
        <v>5.8636490903893392</v>
      </c>
      <c r="L175">
        <f t="shared" si="29"/>
        <v>-0.86364909038933924</v>
      </c>
      <c r="M175">
        <f t="shared" si="30"/>
        <v>0.74588975133033308</v>
      </c>
      <c r="N175">
        <f t="shared" si="31"/>
        <v>0.12720572800866686</v>
      </c>
    </row>
    <row r="176" spans="1:14" x14ac:dyDescent="0.45">
      <c r="A176">
        <v>4</v>
      </c>
      <c r="B176" t="s">
        <v>151</v>
      </c>
      <c r="C176">
        <f>COUNTIFS(AnalizaCzyste[Moja satysfakcja z (efektów) usług edukacyjnych ocenianej uczelni jest wysoka.],B176,AnalizaCzyste[Czy jesteś absolwentem uczelni wyższej?],"*"&amp;"Tak"&amp;"*")</f>
        <v>2</v>
      </c>
      <c r="D176">
        <f t="shared" si="22"/>
        <v>8</v>
      </c>
      <c r="E176" s="44">
        <f t="shared" si="23"/>
        <v>2.0408163265306132</v>
      </c>
      <c r="F176">
        <f t="shared" si="24"/>
        <v>4.0816326530612264</v>
      </c>
      <c r="G176" s="44">
        <f>VLOOKUP(A176,TabeleGrup!$C$45:$D$51,2,0)</f>
        <v>4.4285714285714288</v>
      </c>
      <c r="H176">
        <f t="shared" si="25"/>
        <v>-0.66607955368032867</v>
      </c>
      <c r="I176">
        <f t="shared" si="26"/>
        <v>0.25268012631818859</v>
      </c>
      <c r="J176">
        <f t="shared" si="27"/>
        <v>0.14463749185861413</v>
      </c>
      <c r="K176">
        <f t="shared" si="28"/>
        <v>4.0498497720411955</v>
      </c>
      <c r="L176">
        <f t="shared" si="29"/>
        <v>-2.0498497720411955</v>
      </c>
      <c r="M176">
        <f t="shared" si="30"/>
        <v>4.2018840879373407</v>
      </c>
      <c r="N176">
        <f t="shared" si="31"/>
        <v>1.0375407297687285</v>
      </c>
    </row>
    <row r="177" spans="1:15" x14ac:dyDescent="0.45">
      <c r="A177">
        <v>3</v>
      </c>
      <c r="B177" t="s">
        <v>128</v>
      </c>
      <c r="C177">
        <f>COUNTIFS(AnalizaCzyste[Moja satysfakcja z (efektów) usług edukacyjnych ocenianej uczelni jest wysoka.],B177,AnalizaCzyste[Czy jesteś absolwentem uczelni wyższej?],"*"&amp;"Tak"&amp;"*")</f>
        <v>2</v>
      </c>
      <c r="D177">
        <f t="shared" si="22"/>
        <v>6</v>
      </c>
      <c r="E177" s="44">
        <f t="shared" si="23"/>
        <v>5.8979591836734704</v>
      </c>
      <c r="F177">
        <f t="shared" si="24"/>
        <v>11.795918367346941</v>
      </c>
      <c r="G177" s="44">
        <f>VLOOKUP(A177,TabeleGrup!$C$45:$D$51,2,0)</f>
        <v>3.5714285714285716</v>
      </c>
      <c r="H177">
        <f t="shared" si="25"/>
        <v>-1.2370048854063249</v>
      </c>
      <c r="I177">
        <f t="shared" si="26"/>
        <v>0.10804263445957447</v>
      </c>
      <c r="J177">
        <f t="shared" si="27"/>
        <v>7.2733953398219975E-2</v>
      </c>
      <c r="K177">
        <f t="shared" si="28"/>
        <v>2.0365506951501593</v>
      </c>
      <c r="L177">
        <f t="shared" si="29"/>
        <v>-3.6550695150159296E-2</v>
      </c>
      <c r="M177">
        <f t="shared" si="30"/>
        <v>1.3359533159598782E-3</v>
      </c>
      <c r="N177">
        <f t="shared" si="31"/>
        <v>6.5598824480103375E-4</v>
      </c>
    </row>
    <row r="178" spans="1:15" x14ac:dyDescent="0.45">
      <c r="A178">
        <v>2</v>
      </c>
      <c r="B178" t="s">
        <v>236</v>
      </c>
      <c r="C178">
        <f>COUNTIFS(AnalizaCzyste[Moja satysfakcja z (efektów) usług edukacyjnych ocenianej uczelni jest wysoka.],B178,AnalizaCzyste[Czy jesteś absolwentem uczelni wyższej?],"*"&amp;"Tak"&amp;"*")</f>
        <v>2</v>
      </c>
      <c r="D178">
        <f t="shared" si="22"/>
        <v>4</v>
      </c>
      <c r="E178" s="44">
        <f t="shared" si="23"/>
        <v>11.755102040816329</v>
      </c>
      <c r="F178">
        <f t="shared" si="24"/>
        <v>23.510204081632658</v>
      </c>
      <c r="G178" s="44">
        <f>VLOOKUP(A178,TabeleGrup!$C$45:$D$51,2,0)</f>
        <v>2.7142857142857144</v>
      </c>
      <c r="H178">
        <f t="shared" si="25"/>
        <v>-1.8079302171323208</v>
      </c>
      <c r="I178">
        <f t="shared" si="26"/>
        <v>3.5308681061354492E-2</v>
      </c>
      <c r="J178">
        <f t="shared" si="27"/>
        <v>2.6625441109817592E-2</v>
      </c>
      <c r="K178">
        <f t="shared" si="28"/>
        <v>0.74551235107489255</v>
      </c>
      <c r="L178">
        <f t="shared" si="29"/>
        <v>1.2544876489251076</v>
      </c>
      <c r="M178">
        <f t="shared" si="30"/>
        <v>1.573739261305644</v>
      </c>
      <c r="N178">
        <f t="shared" si="31"/>
        <v>2.1109499514482888</v>
      </c>
    </row>
    <row r="179" spans="1:15" x14ac:dyDescent="0.45">
      <c r="A179">
        <v>1</v>
      </c>
      <c r="B179" t="s">
        <v>129</v>
      </c>
      <c r="C179">
        <f>COUNTIFS(AnalizaCzyste[Moja satysfakcja z (efektów) usług edukacyjnych ocenianej uczelni jest wysoka.],B179,AnalizaCzyste[Czy jesteś absolwentem uczelni wyższej?],"*"&amp;"Tak"&amp;"*")</f>
        <v>0</v>
      </c>
      <c r="D179">
        <f t="shared" si="22"/>
        <v>0</v>
      </c>
      <c r="E179" s="44">
        <f t="shared" si="23"/>
        <v>19.612244897959187</v>
      </c>
      <c r="F179">
        <f t="shared" si="24"/>
        <v>0</v>
      </c>
      <c r="G179" s="44">
        <f>VLOOKUP(A179,TabeleGrup!$C$45:$D$51,2,0)</f>
        <v>1.8571428571428572</v>
      </c>
      <c r="H179">
        <f t="shared" si="25"/>
        <v>-2.3788555488583172</v>
      </c>
      <c r="I179">
        <f t="shared" si="26"/>
        <v>8.6832399515369019E-3</v>
      </c>
      <c r="J179">
        <f>I179</f>
        <v>8.6832399515369019E-3</v>
      </c>
      <c r="K179">
        <f t="shared" si="28"/>
        <v>0.24313071864303326</v>
      </c>
      <c r="L179">
        <f t="shared" si="29"/>
        <v>-0.24313071864303326</v>
      </c>
      <c r="M179">
        <f t="shared" si="30"/>
        <v>5.9112546347877798E-2</v>
      </c>
      <c r="N179">
        <f t="shared" si="31"/>
        <v>0.24313071864303323</v>
      </c>
      <c r="O179" s="20" t="s">
        <v>2425</v>
      </c>
    </row>
    <row r="180" spans="1:15" x14ac:dyDescent="0.45">
      <c r="A180" t="s">
        <v>2329</v>
      </c>
      <c r="B180" t="s">
        <v>132</v>
      </c>
      <c r="C180">
        <f>COUNTIFS(AnalizaCzyste[Moja satysfakcja z (efektów) usług edukacyjnych ocenianej uczelni jest wysoka.],B180,AnalizaCzyste[Czy jesteś absolwentem uczelni wyższej?],"*"&amp;"Tak"&amp;"*")</f>
        <v>1</v>
      </c>
      <c r="D180">
        <f t="shared" si="22"/>
        <v>1</v>
      </c>
      <c r="J180" s="47">
        <f>SUM(J173:J179)</f>
        <v>0.8523801972547056</v>
      </c>
      <c r="K180" s="47">
        <f>SUM(K173:K179)</f>
        <v>23.866645523131755</v>
      </c>
      <c r="M180" s="20" t="s">
        <v>2426</v>
      </c>
      <c r="N180" s="48">
        <f>SUM(N173:N179)</f>
        <v>6.9480245768271907</v>
      </c>
      <c r="O180">
        <f>CHIINV(I183,7-3)</f>
        <v>9.4877290367811575</v>
      </c>
    </row>
    <row r="181" spans="1:15" x14ac:dyDescent="0.45">
      <c r="B181" s="20" t="s">
        <v>2351</v>
      </c>
      <c r="C181" s="29">
        <f>SUM(C173:C180)</f>
        <v>29</v>
      </c>
      <c r="D181" s="44">
        <f>SUM(D173:D179)/C182</f>
        <v>5.4285714285714288</v>
      </c>
      <c r="E181" s="20" t="s">
        <v>2353</v>
      </c>
      <c r="F181" s="44">
        <f>SUM(F173:F180)/(C182-1)</f>
        <v>2.253968253968254</v>
      </c>
      <c r="G181" s="20" t="s">
        <v>2349</v>
      </c>
      <c r="N181" s="20" t="s">
        <v>2428</v>
      </c>
    </row>
    <row r="182" spans="1:15" x14ac:dyDescent="0.45">
      <c r="B182" s="20" t="s">
        <v>2352</v>
      </c>
      <c r="C182">
        <f>C181-C180</f>
        <v>28</v>
      </c>
      <c r="D182" s="33">
        <f>D181/7</f>
        <v>0.77551020408163274</v>
      </c>
      <c r="F182" s="44">
        <f>F181^(1/2)</f>
        <v>1.5013221686128044</v>
      </c>
      <c r="G182" t="s">
        <v>2404</v>
      </c>
    </row>
    <row r="183" spans="1:15" x14ac:dyDescent="0.45">
      <c r="B183" s="20"/>
      <c r="D183" s="52" t="str">
        <f>VLOOKUP(D181,InterpretacjaŚredniej[],2,1)</f>
        <v>zgadzam się</v>
      </c>
      <c r="E183">
        <f>D181-(K183*F182/SQRT(C182))</f>
        <v>4.8464194652055665</v>
      </c>
      <c r="F183" s="45" t="str">
        <f>"&lt; m &lt;"</f>
        <v>&lt; m &lt;</v>
      </c>
      <c r="G183">
        <f>D181+(K183*F182/SQRT(C182))</f>
        <v>6.0107233919372911</v>
      </c>
      <c r="H183" t="s">
        <v>2407</v>
      </c>
      <c r="I183">
        <v>0.05</v>
      </c>
      <c r="J183" s="20" t="s">
        <v>2417</v>
      </c>
      <c r="K183">
        <f>VLOOKUP($C$182-1,Tabl_tStudenta[],5,0)</f>
        <v>2.0518305164802859</v>
      </c>
    </row>
    <row r="184" spans="1:15" x14ac:dyDescent="0.45">
      <c r="B184" s="20"/>
      <c r="D184" s="33"/>
      <c r="G184" s="42">
        <f>G183-E183</f>
        <v>1.1643039267317246</v>
      </c>
    </row>
    <row r="185" spans="1:15" x14ac:dyDescent="0.45">
      <c r="A185" s="29" t="s">
        <v>2364</v>
      </c>
      <c r="C185" t="s">
        <v>2348</v>
      </c>
      <c r="E185" s="20" t="s">
        <v>2362</v>
      </c>
      <c r="F185" s="20" t="s">
        <v>2363</v>
      </c>
    </row>
    <row r="186" spans="1:15" x14ac:dyDescent="0.45">
      <c r="A186">
        <v>7</v>
      </c>
      <c r="B186" t="s">
        <v>169</v>
      </c>
      <c r="C186">
        <f>COUNTIFS(AnalizaCzyste[Usługi edukacyjne ocenianej uczelni mają wysoką wartość (okazja / szansa rozwoju własnego lub kariery).3],B186,AnalizaCzyste[Czy jesteś absolwentem uczelni wyższej?],"*"&amp;"Tak"&amp;"*")</f>
        <v>8</v>
      </c>
      <c r="D186">
        <f>PRODUCT(A186,C186)</f>
        <v>56</v>
      </c>
      <c r="E186" s="44">
        <f>(A186-$D$194)^2</f>
        <v>2.582908163265305</v>
      </c>
      <c r="F186">
        <f>PRODUCT(C186,E186)</f>
        <v>20.66326530612244</v>
      </c>
    </row>
    <row r="187" spans="1:15" x14ac:dyDescent="0.45">
      <c r="A187">
        <v>6</v>
      </c>
      <c r="B187" t="s">
        <v>150</v>
      </c>
      <c r="C187">
        <f>COUNTIFS(AnalizaCzyste[Usługi edukacyjne ocenianej uczelni mają wysoką wartość (okazja / szansa rozwoju własnego lub kariery).3],B187,AnalizaCzyste[Czy jesteś absolwentem uczelni wyższej?],"*"&amp;"Tak"&amp;"*")</f>
        <v>9</v>
      </c>
      <c r="D187">
        <f t="shared" ref="D187:D193" si="32">PRODUCT(A187,C187)</f>
        <v>54</v>
      </c>
      <c r="E187" s="44">
        <f t="shared" ref="E187:E192" si="33">(A187-$D$194)^2</f>
        <v>0.3686224489795914</v>
      </c>
      <c r="F187">
        <f t="shared" ref="F187:F192" si="34">PRODUCT(C187,E187)</f>
        <v>3.3176020408163227</v>
      </c>
    </row>
    <row r="188" spans="1:15" x14ac:dyDescent="0.45">
      <c r="A188">
        <v>5</v>
      </c>
      <c r="B188" t="s">
        <v>162</v>
      </c>
      <c r="C188">
        <f>COUNTIFS(AnalizaCzyste[Usługi edukacyjne ocenianej uczelni mają wysoką wartość (okazja / szansa rozwoju własnego lub kariery).3],B188,AnalizaCzyste[Czy jesteś absolwentem uczelni wyższej?],"*"&amp;"Tak"&amp;"*")</f>
        <v>3</v>
      </c>
      <c r="D188">
        <f t="shared" si="32"/>
        <v>15</v>
      </c>
      <c r="E188" s="44">
        <f t="shared" si="33"/>
        <v>0.15433673469387785</v>
      </c>
      <c r="F188">
        <f t="shared" si="34"/>
        <v>0.46301020408163351</v>
      </c>
    </row>
    <row r="189" spans="1:15" x14ac:dyDescent="0.45">
      <c r="A189">
        <v>4</v>
      </c>
      <c r="B189" t="s">
        <v>151</v>
      </c>
      <c r="C189">
        <f>COUNTIFS(AnalizaCzyste[Usługi edukacyjne ocenianej uczelni mają wysoką wartość (okazja / szansa rozwoju własnego lub kariery).3],B189,AnalizaCzyste[Czy jesteś absolwentem uczelni wyższej?],"*"&amp;"Tak"&amp;"*")</f>
        <v>5</v>
      </c>
      <c r="D189">
        <f t="shared" si="32"/>
        <v>20</v>
      </c>
      <c r="E189" s="44">
        <f t="shared" si="33"/>
        <v>1.9400510204081642</v>
      </c>
      <c r="F189">
        <f t="shared" si="34"/>
        <v>9.7002551020408205</v>
      </c>
    </row>
    <row r="190" spans="1:15" x14ac:dyDescent="0.45">
      <c r="A190">
        <v>3</v>
      </c>
      <c r="B190" t="s">
        <v>128</v>
      </c>
      <c r="C190">
        <f>COUNTIFS(AnalizaCzyste[Usługi edukacyjne ocenianej uczelni mają wysoką wartość (okazja / szansa rozwoju własnego lub kariery).3],B190,AnalizaCzyste[Czy jesteś absolwentem uczelni wyższej?],"*"&amp;"Tak"&amp;"*")</f>
        <v>1</v>
      </c>
      <c r="D190">
        <f t="shared" si="32"/>
        <v>3</v>
      </c>
      <c r="E190" s="44">
        <f t="shared" si="33"/>
        <v>5.7257653061224509</v>
      </c>
      <c r="F190">
        <f t="shared" si="34"/>
        <v>5.7257653061224509</v>
      </c>
    </row>
    <row r="191" spans="1:15" x14ac:dyDescent="0.45">
      <c r="A191">
        <v>2</v>
      </c>
      <c r="B191" t="s">
        <v>236</v>
      </c>
      <c r="C191">
        <f>COUNTIFS(AnalizaCzyste[Usługi edukacyjne ocenianej uczelni mają wysoką wartość (okazja / szansa rozwoju własnego lub kariery).3],B191,AnalizaCzyste[Czy jesteś absolwentem uczelni wyższej?],"*"&amp;"Tak"&amp;"*")</f>
        <v>1</v>
      </c>
      <c r="D191">
        <f t="shared" si="32"/>
        <v>2</v>
      </c>
      <c r="E191" s="44">
        <f t="shared" si="33"/>
        <v>11.511479591836737</v>
      </c>
      <c r="F191">
        <f t="shared" si="34"/>
        <v>11.511479591836737</v>
      </c>
    </row>
    <row r="192" spans="1:15" x14ac:dyDescent="0.45">
      <c r="A192">
        <v>1</v>
      </c>
      <c r="B192" t="s">
        <v>129</v>
      </c>
      <c r="C192">
        <f>COUNTIFS(AnalizaCzyste[Usługi edukacyjne ocenianej uczelni mają wysoką wartość (okazja / szansa rozwoju własnego lub kariery).3],B192,AnalizaCzyste[Czy jesteś absolwentem uczelni wyższej?],"*"&amp;"Tak"&amp;"*")</f>
        <v>1</v>
      </c>
      <c r="D192">
        <f t="shared" si="32"/>
        <v>1</v>
      </c>
      <c r="E192" s="44">
        <f t="shared" si="33"/>
        <v>19.297193877551024</v>
      </c>
      <c r="F192">
        <f t="shared" si="34"/>
        <v>19.297193877551024</v>
      </c>
    </row>
    <row r="193" spans="1:7" x14ac:dyDescent="0.45">
      <c r="A193" t="s">
        <v>2329</v>
      </c>
      <c r="B193" t="s">
        <v>132</v>
      </c>
      <c r="C193">
        <f>COUNTIFS(AnalizaCzyste[Usługi edukacyjne ocenianej uczelni mają wysoką wartość (okazja / szansa rozwoju własnego lub kariery).3],B193,AnalizaCzyste[Czy jesteś absolwentem uczelni wyższej?],"*"&amp;"Tak"&amp;"*")</f>
        <v>1</v>
      </c>
      <c r="D193">
        <f t="shared" si="32"/>
        <v>1</v>
      </c>
    </row>
    <row r="194" spans="1:7" x14ac:dyDescent="0.45">
      <c r="B194" s="20" t="s">
        <v>2351</v>
      </c>
      <c r="C194" s="29">
        <f>SUM(C186:C193)</f>
        <v>29</v>
      </c>
      <c r="D194" s="44">
        <f>SUM(D186:D192)/C195</f>
        <v>5.3928571428571432</v>
      </c>
      <c r="E194" s="20" t="s">
        <v>2353</v>
      </c>
      <c r="F194" s="44">
        <f>SUM(F186:F193)/(C195-1)</f>
        <v>2.6177248677248683</v>
      </c>
      <c r="G194" s="20" t="s">
        <v>2349</v>
      </c>
    </row>
    <row r="195" spans="1:7" x14ac:dyDescent="0.45">
      <c r="B195" s="20" t="s">
        <v>2352</v>
      </c>
      <c r="C195">
        <f>C194-C193</f>
        <v>28</v>
      </c>
      <c r="D195" s="33">
        <f>D194/7</f>
        <v>0.77040816326530615</v>
      </c>
      <c r="F195" s="44">
        <f>F194^(1/2)</f>
        <v>1.6179384622799682</v>
      </c>
      <c r="G195" t="s">
        <v>2404</v>
      </c>
    </row>
    <row r="196" spans="1:7" x14ac:dyDescent="0.45">
      <c r="B196" s="20"/>
      <c r="D196" s="33"/>
    </row>
    <row r="197" spans="1:7" x14ac:dyDescent="0.45">
      <c r="A197" s="29" t="s">
        <v>2365</v>
      </c>
      <c r="C197" t="s">
        <v>2348</v>
      </c>
      <c r="E197" s="20" t="s">
        <v>2362</v>
      </c>
      <c r="F197" s="20" t="s">
        <v>2363</v>
      </c>
    </row>
    <row r="198" spans="1:7" x14ac:dyDescent="0.45">
      <c r="A198">
        <v>7</v>
      </c>
      <c r="B198" t="s">
        <v>169</v>
      </c>
      <c r="C198">
        <f>COUNTIFS(AnalizaCzyste[Kształcenie na ocenianej uczelni ma/miało pozytywny wpływ na zwiększenie moich zarobków.],B198,AnalizaCzyste[Czy jesteś absolwentem uczelni wyższej?],"*"&amp;"Tak"&amp;"*")</f>
        <v>8</v>
      </c>
      <c r="D198">
        <f>PRODUCT(A198,C198)</f>
        <v>56</v>
      </c>
      <c r="E198" s="44">
        <f>(A198-$D$206)^2</f>
        <v>2.4693877551020402</v>
      </c>
      <c r="F198">
        <f>PRODUCT(C198,E198)</f>
        <v>19.755102040816322</v>
      </c>
    </row>
    <row r="199" spans="1:7" x14ac:dyDescent="0.45">
      <c r="A199">
        <v>6</v>
      </c>
      <c r="B199" t="s">
        <v>150</v>
      </c>
      <c r="C199">
        <f>COUNTIFS(AnalizaCzyste[Kształcenie na ocenianej uczelni ma/miało pozytywny wpływ na zwiększenie moich zarobków.],B199,AnalizaCzyste[Czy jesteś absolwentem uczelni wyższej?],"*"&amp;"Tak"&amp;"*")</f>
        <v>7</v>
      </c>
      <c r="D199">
        <f t="shared" ref="D199:D205" si="35">PRODUCT(A199,C199)</f>
        <v>42</v>
      </c>
      <c r="E199" s="44">
        <f t="shared" ref="E199:E204" si="36">(A199-$D$206)^2</f>
        <v>0.32653061224489766</v>
      </c>
      <c r="F199">
        <f t="shared" ref="F199:F204" si="37">PRODUCT(C199,E199)</f>
        <v>2.2857142857142838</v>
      </c>
    </row>
    <row r="200" spans="1:7" x14ac:dyDescent="0.45">
      <c r="A200">
        <v>5</v>
      </c>
      <c r="B200" t="s">
        <v>162</v>
      </c>
      <c r="C200">
        <f>COUNTIFS(AnalizaCzyste[Kształcenie na ocenianej uczelni ma/miało pozytywny wpływ na zwiększenie moich zarobków.],B200,AnalizaCzyste[Czy jesteś absolwentem uczelni wyższej?],"*"&amp;"Tak"&amp;"*")</f>
        <v>6</v>
      </c>
      <c r="D200">
        <f t="shared" si="35"/>
        <v>30</v>
      </c>
      <c r="E200" s="44">
        <f t="shared" si="36"/>
        <v>0.18367346938775531</v>
      </c>
      <c r="F200">
        <f t="shared" si="37"/>
        <v>1.1020408163265318</v>
      </c>
    </row>
    <row r="201" spans="1:7" x14ac:dyDescent="0.45">
      <c r="A201">
        <v>4</v>
      </c>
      <c r="B201" t="s">
        <v>151</v>
      </c>
      <c r="C201">
        <f>COUNTIFS(AnalizaCzyste[Kształcenie na ocenianej uczelni ma/miało pozytywny wpływ na zwiększenie moich zarobków.],B201,AnalizaCzyste[Czy jesteś absolwentem uczelni wyższej?],"*"&amp;"Tak"&amp;"*")</f>
        <v>4</v>
      </c>
      <c r="D201">
        <f t="shared" si="35"/>
        <v>16</v>
      </c>
      <c r="E201" s="44">
        <f t="shared" si="36"/>
        <v>2.0408163265306132</v>
      </c>
      <c r="F201">
        <f t="shared" si="37"/>
        <v>8.1632653061224527</v>
      </c>
    </row>
    <row r="202" spans="1:7" x14ac:dyDescent="0.45">
      <c r="A202">
        <v>3</v>
      </c>
      <c r="B202" t="s">
        <v>128</v>
      </c>
      <c r="C202">
        <f>COUNTIFS(AnalizaCzyste[Kształcenie na ocenianej uczelni ma/miało pozytywny wpływ na zwiększenie moich zarobków.],B202,AnalizaCzyste[Czy jesteś absolwentem uczelni wyższej?],"*"&amp;"Tak"&amp;"*")</f>
        <v>2</v>
      </c>
      <c r="D202">
        <f t="shared" si="35"/>
        <v>6</v>
      </c>
      <c r="E202" s="44">
        <f t="shared" si="36"/>
        <v>5.8979591836734704</v>
      </c>
      <c r="F202">
        <f t="shared" si="37"/>
        <v>11.795918367346941</v>
      </c>
    </row>
    <row r="203" spans="1:7" x14ac:dyDescent="0.45">
      <c r="A203">
        <v>2</v>
      </c>
      <c r="B203" t="s">
        <v>236</v>
      </c>
      <c r="C203">
        <f>COUNTIFS(AnalizaCzyste[Kształcenie na ocenianej uczelni ma/miało pozytywny wpływ na zwiększenie moich zarobków.],B203,AnalizaCzyste[Czy jesteś absolwentem uczelni wyższej?],"*"&amp;"Tak"&amp;"*")</f>
        <v>1</v>
      </c>
      <c r="D203">
        <f t="shared" si="35"/>
        <v>2</v>
      </c>
      <c r="E203" s="44">
        <f t="shared" si="36"/>
        <v>11.755102040816329</v>
      </c>
      <c r="F203">
        <f t="shared" si="37"/>
        <v>11.755102040816329</v>
      </c>
    </row>
    <row r="204" spans="1:7" x14ac:dyDescent="0.45">
      <c r="A204">
        <v>1</v>
      </c>
      <c r="B204" t="s">
        <v>129</v>
      </c>
      <c r="C204">
        <f>COUNTIFS(AnalizaCzyste[Kształcenie na ocenianej uczelni ma/miało pozytywny wpływ na zwiększenie moich zarobków.],B204,AnalizaCzyste[Czy jesteś absolwentem uczelni wyższej?],"*"&amp;"Tak"&amp;"*")</f>
        <v>0</v>
      </c>
      <c r="D204">
        <f t="shared" si="35"/>
        <v>0</v>
      </c>
      <c r="E204" s="44">
        <f t="shared" si="36"/>
        <v>19.612244897959187</v>
      </c>
      <c r="F204">
        <f t="shared" si="37"/>
        <v>0</v>
      </c>
    </row>
    <row r="205" spans="1:7" x14ac:dyDescent="0.45">
      <c r="A205" t="s">
        <v>2329</v>
      </c>
      <c r="B205" t="s">
        <v>132</v>
      </c>
      <c r="C205">
        <f>COUNTIFS(AnalizaCzyste[Kształcenie na ocenianej uczelni ma/miało pozytywny wpływ na zwiększenie moich zarobków.],B205,AnalizaCzyste[Czy jesteś absolwentem uczelni wyższej?],"*"&amp;"Tak"&amp;"*")</f>
        <v>1</v>
      </c>
      <c r="D205">
        <f t="shared" si="35"/>
        <v>1</v>
      </c>
    </row>
    <row r="206" spans="1:7" x14ac:dyDescent="0.45">
      <c r="B206" s="20" t="s">
        <v>2351</v>
      </c>
      <c r="C206" s="29">
        <f>SUM(C198:C205)</f>
        <v>29</v>
      </c>
      <c r="D206" s="44">
        <f>SUM(D198:D204)/C207</f>
        <v>5.4285714285714288</v>
      </c>
      <c r="E206" s="20" t="s">
        <v>2353</v>
      </c>
      <c r="F206" s="44">
        <f>SUM(F198:F205)/(C207-1)</f>
        <v>2.0317460317460321</v>
      </c>
      <c r="G206" s="20" t="s">
        <v>2349</v>
      </c>
    </row>
    <row r="207" spans="1:7" x14ac:dyDescent="0.45">
      <c r="B207" s="20" t="s">
        <v>2352</v>
      </c>
      <c r="C207">
        <f>C206-C205</f>
        <v>28</v>
      </c>
      <c r="D207" s="33">
        <f>D206/7</f>
        <v>0.77551020408163274</v>
      </c>
      <c r="F207" s="44">
        <f>F206^(1/2)</f>
        <v>1.4253932901995969</v>
      </c>
      <c r="G207" t="s">
        <v>2404</v>
      </c>
    </row>
    <row r="208" spans="1:7" x14ac:dyDescent="0.45">
      <c r="B208" s="20"/>
      <c r="D208" s="33"/>
    </row>
    <row r="209" spans="1:21" x14ac:dyDescent="0.45">
      <c r="A209" s="29" t="s">
        <v>2354</v>
      </c>
      <c r="C209" t="s">
        <v>2367</v>
      </c>
      <c r="D209" t="s">
        <v>2368</v>
      </c>
      <c r="E209" t="s">
        <v>2369</v>
      </c>
      <c r="F209" s="20" t="s">
        <v>2374</v>
      </c>
      <c r="G209" s="20" t="s">
        <v>2370</v>
      </c>
      <c r="H209" s="20" t="s">
        <v>2371</v>
      </c>
      <c r="I209" s="20" t="s">
        <v>2372</v>
      </c>
      <c r="J209" s="20" t="s">
        <v>2373</v>
      </c>
      <c r="K209" s="20" t="s">
        <v>2362</v>
      </c>
      <c r="L209" s="20" t="s">
        <v>2363</v>
      </c>
      <c r="M209" s="20" t="s">
        <v>2430</v>
      </c>
      <c r="N209" s="20" t="s">
        <v>2418</v>
      </c>
      <c r="O209" s="20" t="s">
        <v>2419</v>
      </c>
      <c r="P209" s="20" t="s">
        <v>2420</v>
      </c>
      <c r="Q209" s="20" t="s">
        <v>2421</v>
      </c>
      <c r="R209" s="20" t="s">
        <v>2422</v>
      </c>
      <c r="S209" s="20" t="s">
        <v>2423</v>
      </c>
      <c r="T209" s="20" t="s">
        <v>2424</v>
      </c>
    </row>
    <row r="210" spans="1:21" x14ac:dyDescent="0.45">
      <c r="A210">
        <v>7</v>
      </c>
      <c r="B210" t="s">
        <v>169</v>
      </c>
      <c r="C210">
        <f>COUNTIFS(AnalizaCzyste[Moja satysfakcja z (efektów) usług edukacyjnych ocenianej uczelni jest wysoka.8],B210,AnalizaCzyste[Czy jesteś rodzicem / opiekunem absolwenta uczelni wyższej?],"*"&amp;"Tak"&amp;"*")</f>
        <v>5</v>
      </c>
      <c r="D210">
        <f>COUNTIFS(AnalizaCzyste[Moja satysfakcja z (efektów) usług edukacyjnych ocenianej uczelni jest wysoka.15],B210,AnalizaCzyste[Czy jesteś rodzicem / opiekunem absolwenta uczelni wyższej?],"*"&amp;"Tak"&amp;"*")</f>
        <v>1</v>
      </c>
      <c r="E210">
        <f>COUNTIFS(AnalizaCzyste[Moja satysfakcja z (efektów) usług edukacyjnych ocenianej uczelni jest wysoka.29],B210,AnalizaCzyste[Czy jesteś rodzicem / opiekunem absolwenta uczelni wyższej?],"*"&amp;"Tak"&amp;"*")</f>
        <v>1</v>
      </c>
      <c r="F210">
        <f>SUM(C210:E210)</f>
        <v>7</v>
      </c>
      <c r="G210">
        <f>PRODUCT($A210,C210)</f>
        <v>35</v>
      </c>
      <c r="H210">
        <f t="shared" ref="H210:I210" si="38">PRODUCT($A210,D210)</f>
        <v>7</v>
      </c>
      <c r="I210">
        <f t="shared" si="38"/>
        <v>7</v>
      </c>
      <c r="J210">
        <f>SUM(G210:I210)</f>
        <v>49</v>
      </c>
      <c r="K210" s="44">
        <f>(A210-$J$218)^2</f>
        <v>1.1141975308641971</v>
      </c>
      <c r="L210">
        <f>PRODUCT(F210,K210)</f>
        <v>7.7993827160493803</v>
      </c>
      <c r="M210" s="44">
        <f>VLOOKUP(A210,TabeleGrup!$C$45:$D$51,2,0)</f>
        <v>6.9999999999999991</v>
      </c>
      <c r="N210">
        <f>(M210-$J$218)/$L$219</f>
        <v>0.95097945382815674</v>
      </c>
      <c r="O210">
        <f>NORMDIST(N210,0,1,1)</f>
        <v>0.8291925970330436</v>
      </c>
      <c r="P210">
        <f>O210-O211</f>
        <v>0.25825742685127229</v>
      </c>
      <c r="Q210">
        <f>$C$219*P210</f>
        <v>2.8408316953639954</v>
      </c>
      <c r="R210">
        <f>C210-Q210</f>
        <v>2.1591683046360046</v>
      </c>
      <c r="S210">
        <f>R210^2</f>
        <v>4.6620077677447185</v>
      </c>
      <c r="T210">
        <f>S210/Q210</f>
        <v>1.6410714423359656</v>
      </c>
    </row>
    <row r="211" spans="1:21" x14ac:dyDescent="0.45">
      <c r="A211">
        <v>6</v>
      </c>
      <c r="B211" t="s">
        <v>150</v>
      </c>
      <c r="C211">
        <f>COUNTIFS(AnalizaCzyste[Moja satysfakcja z (efektów) usług edukacyjnych ocenianej uczelni jest wysoka.8],B211,AnalizaCzyste[Czy jesteś rodzicem / opiekunem absolwenta uczelni wyższej?],"*"&amp;"Tak"&amp;"*")</f>
        <v>4</v>
      </c>
      <c r="D211">
        <f>COUNTIFS(AnalizaCzyste[Moja satysfakcja z (efektów) usług edukacyjnych ocenianej uczelni jest wysoka.15],B211,AnalizaCzyste[Czy jesteś rodzicem / opiekunem absolwenta uczelni wyższej?],"*"&amp;"Tak"&amp;"*")</f>
        <v>2</v>
      </c>
      <c r="E211">
        <f>COUNTIFS(AnalizaCzyste[Moja satysfakcja z (efektów) usług edukacyjnych ocenianej uczelni jest wysoka.29],B211,AnalizaCzyste[Czy jesteś rodzicem / opiekunem absolwenta uczelni wyższej?],"*"&amp;"Tak"&amp;"*")</f>
        <v>0</v>
      </c>
      <c r="F211">
        <f t="shared" ref="F211:F219" si="39">SUM(C211:E211)</f>
        <v>6</v>
      </c>
      <c r="G211">
        <f t="shared" ref="G211:G217" si="40">PRODUCT($A211,C211)</f>
        <v>24</v>
      </c>
      <c r="H211">
        <f t="shared" ref="H211:H217" si="41">PRODUCT($A211,D211)</f>
        <v>12</v>
      </c>
      <c r="I211">
        <f t="shared" ref="I211:I217" si="42">PRODUCT($A211,E211)</f>
        <v>0</v>
      </c>
      <c r="J211">
        <f t="shared" ref="J211:J217" si="43">SUM(G211:I211)</f>
        <v>36</v>
      </c>
      <c r="K211" s="44">
        <f t="shared" ref="K211:K216" si="44">(A211-$J$218)^2</f>
        <v>3.0864197530863979E-3</v>
      </c>
      <c r="L211">
        <f t="shared" ref="L211:L216" si="45">PRODUCT(F211,K211)</f>
        <v>1.8518518518518386E-2</v>
      </c>
      <c r="M211" s="44">
        <f>VLOOKUP(A211,TabeleGrup!$C$45:$D$51,2,0)</f>
        <v>6.1428571428571423</v>
      </c>
      <c r="N211">
        <f t="shared" ref="N211:N216" si="46">(M211-$J$218)/$L$219</f>
        <v>0.17875553643386358</v>
      </c>
      <c r="O211">
        <f t="shared" ref="O211:O216" si="47">NORMDIST(N211,0,1,1)</f>
        <v>0.57093517018177131</v>
      </c>
      <c r="P211">
        <f t="shared" ref="P211:P216" si="48">O211-O212</f>
        <v>0.29450130140226677</v>
      </c>
      <c r="Q211">
        <f t="shared" ref="Q211:Q216" si="49">$C$219*P211</f>
        <v>3.2395143154249344</v>
      </c>
      <c r="R211">
        <f t="shared" ref="R211:R216" si="50">C211-Q211</f>
        <v>0.7604856845750656</v>
      </c>
      <c r="S211">
        <f t="shared" ref="S211:S216" si="51">R211^2</f>
        <v>0.57833847644360614</v>
      </c>
      <c r="T211">
        <f t="shared" ref="T211:T216" si="52">S211/Q211</f>
        <v>0.17852629133010767</v>
      </c>
    </row>
    <row r="212" spans="1:21" x14ac:dyDescent="0.45">
      <c r="A212">
        <v>5</v>
      </c>
      <c r="B212" t="s">
        <v>162</v>
      </c>
      <c r="C212">
        <f>COUNTIFS(AnalizaCzyste[Moja satysfakcja z (efektów) usług edukacyjnych ocenianej uczelni jest wysoka.8],B212,AnalizaCzyste[Czy jesteś rodzicem / opiekunem absolwenta uczelni wyższej?],"*"&amp;"Tak"&amp;"*")</f>
        <v>1</v>
      </c>
      <c r="D212">
        <f>COUNTIFS(AnalizaCzyste[Moja satysfakcja z (efektów) usług edukacyjnych ocenianej uczelni jest wysoka.15],B212,AnalizaCzyste[Czy jesteś rodzicem / opiekunem absolwenta uczelni wyższej?],"*"&amp;"Tak"&amp;"*")</f>
        <v>1</v>
      </c>
      <c r="E212">
        <f>COUNTIFS(AnalizaCzyste[Moja satysfakcja z (efektów) usług edukacyjnych ocenianej uczelni jest wysoka.29],B212,AnalizaCzyste[Czy jesteś rodzicem / opiekunem absolwenta uczelni wyższej?],"*"&amp;"Tak"&amp;"*")</f>
        <v>0</v>
      </c>
      <c r="F212">
        <f t="shared" si="39"/>
        <v>2</v>
      </c>
      <c r="G212">
        <f t="shared" si="40"/>
        <v>5</v>
      </c>
      <c r="H212">
        <f t="shared" si="41"/>
        <v>5</v>
      </c>
      <c r="I212">
        <f t="shared" si="42"/>
        <v>0</v>
      </c>
      <c r="J212">
        <f t="shared" si="43"/>
        <v>10</v>
      </c>
      <c r="K212" s="44">
        <f t="shared" si="44"/>
        <v>0.89197530864197572</v>
      </c>
      <c r="L212">
        <f t="shared" si="45"/>
        <v>1.7839506172839514</v>
      </c>
      <c r="M212" s="44">
        <f>VLOOKUP(A212,TabeleGrup!$C$45:$D$51,2,0)</f>
        <v>5.2857142857142856</v>
      </c>
      <c r="N212">
        <f t="shared" si="46"/>
        <v>-0.59346838096042953</v>
      </c>
      <c r="O212">
        <f t="shared" si="47"/>
        <v>0.27643386877950454</v>
      </c>
      <c r="P212">
        <f t="shared" si="48"/>
        <v>0.19041608743769695</v>
      </c>
      <c r="Q212">
        <f t="shared" si="49"/>
        <v>2.0945769618146666</v>
      </c>
      <c r="R212">
        <f t="shared" si="50"/>
        <v>-1.0945769618146666</v>
      </c>
      <c r="S212">
        <f t="shared" si="51"/>
        <v>1.1980987253354261</v>
      </c>
      <c r="T212">
        <f t="shared" si="52"/>
        <v>0.5720003357133443</v>
      </c>
    </row>
    <row r="213" spans="1:21" x14ac:dyDescent="0.45">
      <c r="A213">
        <v>4</v>
      </c>
      <c r="B213" t="s">
        <v>151</v>
      </c>
      <c r="C213">
        <f>COUNTIFS(AnalizaCzyste[Moja satysfakcja z (efektów) usług edukacyjnych ocenianej uczelni jest wysoka.8],B213,AnalizaCzyste[Czy jesteś rodzicem / opiekunem absolwenta uczelni wyższej?],"*"&amp;"Tak"&amp;"*")</f>
        <v>1</v>
      </c>
      <c r="D213">
        <f>COUNTIFS(AnalizaCzyste[Moja satysfakcja z (efektów) usług edukacyjnych ocenianej uczelni jest wysoka.15],B213,AnalizaCzyste[Czy jesteś rodzicem / opiekunem absolwenta uczelni wyższej?],"*"&amp;"Tak"&amp;"*")</f>
        <v>1</v>
      </c>
      <c r="E213">
        <f>COUNTIFS(AnalizaCzyste[Moja satysfakcja z (efektów) usług edukacyjnych ocenianej uczelni jest wysoka.29],B213,AnalizaCzyste[Czy jesteś rodzicem / opiekunem absolwenta uczelni wyższej?],"*"&amp;"Tak"&amp;"*")</f>
        <v>1</v>
      </c>
      <c r="F213">
        <f t="shared" si="39"/>
        <v>3</v>
      </c>
      <c r="G213">
        <f t="shared" si="40"/>
        <v>4</v>
      </c>
      <c r="H213">
        <f t="shared" si="41"/>
        <v>4</v>
      </c>
      <c r="I213">
        <f t="shared" si="42"/>
        <v>4</v>
      </c>
      <c r="J213">
        <f t="shared" si="43"/>
        <v>12</v>
      </c>
      <c r="K213" s="44">
        <f t="shared" si="44"/>
        <v>3.7808641975308648</v>
      </c>
      <c r="L213">
        <f t="shared" si="45"/>
        <v>11.342592592592595</v>
      </c>
      <c r="M213" s="44">
        <f>VLOOKUP(A213,TabeleGrup!$C$45:$D$51,2,0)</f>
        <v>4.4285714285714288</v>
      </c>
      <c r="N213">
        <f t="shared" si="46"/>
        <v>-1.3656922983547226</v>
      </c>
      <c r="O213">
        <f t="shared" si="47"/>
        <v>8.6017781341807598E-2</v>
      </c>
      <c r="P213">
        <f t="shared" si="48"/>
        <v>6.9756009389074003E-2</v>
      </c>
      <c r="Q213">
        <f t="shared" si="49"/>
        <v>0.76731610327981403</v>
      </c>
      <c r="R213">
        <f t="shared" si="50"/>
        <v>0.23268389672018597</v>
      </c>
      <c r="S213">
        <f t="shared" si="51"/>
        <v>5.414179579289017E-2</v>
      </c>
      <c r="T213">
        <f t="shared" si="52"/>
        <v>7.0559962916803928E-2</v>
      </c>
    </row>
    <row r="214" spans="1:21" x14ac:dyDescent="0.45">
      <c r="A214">
        <v>3</v>
      </c>
      <c r="B214" t="s">
        <v>128</v>
      </c>
      <c r="C214">
        <f>COUNTIFS(AnalizaCzyste[Moja satysfakcja z (efektów) usług edukacyjnych ocenianej uczelni jest wysoka.8],B214,AnalizaCzyste[Czy jesteś rodzicem / opiekunem absolwenta uczelni wyższej?],"*"&amp;"Tak"&amp;"*")</f>
        <v>0</v>
      </c>
      <c r="D214">
        <f>COUNTIFS(AnalizaCzyste[Moja satysfakcja z (efektów) usług edukacyjnych ocenianej uczelni jest wysoka.15],B214,AnalizaCzyste[Czy jesteś rodzicem / opiekunem absolwenta uczelni wyższej?],"*"&amp;"Tak"&amp;"*")</f>
        <v>0</v>
      </c>
      <c r="E214">
        <f>COUNTIFS(AnalizaCzyste[Moja satysfakcja z (efektów) usług edukacyjnych ocenianej uczelni jest wysoka.29],B214,AnalizaCzyste[Czy jesteś rodzicem / opiekunem absolwenta uczelni wyższej?],"*"&amp;"Tak"&amp;"*")</f>
        <v>0</v>
      </c>
      <c r="F214">
        <f t="shared" si="39"/>
        <v>0</v>
      </c>
      <c r="G214">
        <f t="shared" si="40"/>
        <v>0</v>
      </c>
      <c r="H214">
        <f t="shared" si="41"/>
        <v>0</v>
      </c>
      <c r="I214">
        <f t="shared" si="42"/>
        <v>0</v>
      </c>
      <c r="J214">
        <f t="shared" si="43"/>
        <v>0</v>
      </c>
      <c r="K214" s="44">
        <f t="shared" si="44"/>
        <v>8.669753086419755</v>
      </c>
      <c r="L214">
        <f t="shared" si="45"/>
        <v>0</v>
      </c>
      <c r="M214" s="44">
        <f>VLOOKUP(A214,TabeleGrup!$C$45:$D$51,2,0)</f>
        <v>3.5714285714285716</v>
      </c>
      <c r="N214">
        <f t="shared" si="46"/>
        <v>-2.1379162157490161</v>
      </c>
      <c r="O214">
        <f t="shared" si="47"/>
        <v>1.6261771952733588E-2</v>
      </c>
      <c r="P214">
        <f t="shared" si="48"/>
        <v>1.4455438270431059E-2</v>
      </c>
      <c r="Q214">
        <f t="shared" si="49"/>
        <v>0.15900982097474164</v>
      </c>
      <c r="R214">
        <f t="shared" si="50"/>
        <v>-0.15900982097474164</v>
      </c>
      <c r="S214">
        <f t="shared" si="51"/>
        <v>2.5284123166419387E-2</v>
      </c>
      <c r="T214">
        <f t="shared" si="52"/>
        <v>0.15900982097474164</v>
      </c>
    </row>
    <row r="215" spans="1:21" x14ac:dyDescent="0.45">
      <c r="A215">
        <v>2</v>
      </c>
      <c r="B215" t="s">
        <v>236</v>
      </c>
      <c r="C215">
        <f>COUNTIFS(AnalizaCzyste[Moja satysfakcja z (efektów) usług edukacyjnych ocenianej uczelni jest wysoka.8],B215,AnalizaCzyste[Czy jesteś rodzicem / opiekunem absolwenta uczelni wyższej?],"*"&amp;"Tak"&amp;"*")</f>
        <v>0</v>
      </c>
      <c r="D215">
        <f>COUNTIFS(AnalizaCzyste[Moja satysfakcja z (efektów) usług edukacyjnych ocenianej uczelni jest wysoka.15],B215,AnalizaCzyste[Czy jesteś rodzicem / opiekunem absolwenta uczelni wyższej?],"*"&amp;"Tak"&amp;"*")</f>
        <v>0</v>
      </c>
      <c r="E215">
        <f>COUNTIFS(AnalizaCzyste[Moja satysfakcja z (efektów) usług edukacyjnych ocenianej uczelni jest wysoka.29],B215,AnalizaCzyste[Czy jesteś rodzicem / opiekunem absolwenta uczelni wyższej?],"*"&amp;"Tak"&amp;"*")</f>
        <v>0</v>
      </c>
      <c r="F215">
        <f t="shared" si="39"/>
        <v>0</v>
      </c>
      <c r="G215">
        <f t="shared" si="40"/>
        <v>0</v>
      </c>
      <c r="H215">
        <f t="shared" si="41"/>
        <v>0</v>
      </c>
      <c r="I215">
        <f t="shared" si="42"/>
        <v>0</v>
      </c>
      <c r="J215">
        <f t="shared" si="43"/>
        <v>0</v>
      </c>
      <c r="K215" s="44">
        <f t="shared" si="44"/>
        <v>15.558641975308644</v>
      </c>
      <c r="L215">
        <f t="shared" si="45"/>
        <v>0</v>
      </c>
      <c r="M215" s="44">
        <f>VLOOKUP(A215,TabeleGrup!$C$45:$D$51,2,0)</f>
        <v>2.7142857142857144</v>
      </c>
      <c r="N215">
        <f t="shared" si="46"/>
        <v>-2.9101401331433094</v>
      </c>
      <c r="O215">
        <f t="shared" si="47"/>
        <v>1.8063336823025287E-3</v>
      </c>
      <c r="P215">
        <f t="shared" si="48"/>
        <v>1.6907931307337106E-3</v>
      </c>
      <c r="Q215">
        <f t="shared" si="49"/>
        <v>1.8598724438070816E-2</v>
      </c>
      <c r="R215">
        <f t="shared" si="50"/>
        <v>-1.8598724438070816E-2</v>
      </c>
      <c r="S215">
        <f t="shared" si="51"/>
        <v>3.4591255072329258E-4</v>
      </c>
      <c r="T215">
        <f t="shared" si="52"/>
        <v>1.8598724438070816E-2</v>
      </c>
    </row>
    <row r="216" spans="1:21" x14ac:dyDescent="0.45">
      <c r="A216">
        <v>1</v>
      </c>
      <c r="B216" t="s">
        <v>129</v>
      </c>
      <c r="C216">
        <f>COUNTIFS(AnalizaCzyste[Moja satysfakcja z (efektów) usług edukacyjnych ocenianej uczelni jest wysoka.8],B216,AnalizaCzyste[Czy jesteś rodzicem / opiekunem absolwenta uczelni wyższej?],"*"&amp;"Tak"&amp;"*")</f>
        <v>0</v>
      </c>
      <c r="D216">
        <f>COUNTIFS(AnalizaCzyste[Moja satysfakcja z (efektów) usług edukacyjnych ocenianej uczelni jest wysoka.15],B216,AnalizaCzyste[Czy jesteś rodzicem / opiekunem absolwenta uczelni wyższej?],"*"&amp;"Tak"&amp;"*")</f>
        <v>0</v>
      </c>
      <c r="E216">
        <f>COUNTIFS(AnalizaCzyste[Moja satysfakcja z (efektów) usług edukacyjnych ocenianej uczelni jest wysoka.29],B216,AnalizaCzyste[Czy jesteś rodzicem / opiekunem absolwenta uczelni wyższej?],"*"&amp;"Tak"&amp;"*")</f>
        <v>0</v>
      </c>
      <c r="F216">
        <f t="shared" si="39"/>
        <v>0</v>
      </c>
      <c r="G216">
        <f t="shared" si="40"/>
        <v>0</v>
      </c>
      <c r="H216">
        <f t="shared" si="41"/>
        <v>0</v>
      </c>
      <c r="I216">
        <f t="shared" si="42"/>
        <v>0</v>
      </c>
      <c r="J216">
        <f t="shared" si="43"/>
        <v>0</v>
      </c>
      <c r="K216" s="44">
        <f t="shared" si="44"/>
        <v>24.447530864197532</v>
      </c>
      <c r="L216">
        <f t="shared" si="45"/>
        <v>0</v>
      </c>
      <c r="M216" s="44">
        <f>VLOOKUP(A216,TabeleGrup!$C$45:$D$51,2,0)</f>
        <v>1.8571428571428572</v>
      </c>
      <c r="N216">
        <f t="shared" si="46"/>
        <v>-3.6823640505376027</v>
      </c>
      <c r="O216">
        <f t="shared" si="47"/>
        <v>1.1554055156881805E-4</v>
      </c>
      <c r="P216">
        <f t="shared" si="48"/>
        <v>1.1554055156881805E-4</v>
      </c>
      <c r="Q216">
        <f t="shared" si="49"/>
        <v>1.2709460672569986E-3</v>
      </c>
      <c r="R216">
        <f t="shared" si="50"/>
        <v>-1.2709460672569986E-3</v>
      </c>
      <c r="S216">
        <f t="shared" si="51"/>
        <v>1.6153039058760312E-6</v>
      </c>
      <c r="T216">
        <f t="shared" si="52"/>
        <v>1.2709460672569986E-3</v>
      </c>
      <c r="U216" s="20" t="s">
        <v>2425</v>
      </c>
    </row>
    <row r="217" spans="1:21" x14ac:dyDescent="0.45">
      <c r="A217" t="s">
        <v>2329</v>
      </c>
      <c r="B217" t="s">
        <v>132</v>
      </c>
      <c r="C217">
        <f>COUNTIFS(AnalizaCzyste[Moja satysfakcja z (efektów) usług edukacyjnych ocenianej uczelni jest wysoka.8],B217,AnalizaCzyste[Czy jesteś rodzicem / opiekunem absolwenta uczelni wyższej?],"*"&amp;"Tak"&amp;"*")</f>
        <v>1</v>
      </c>
      <c r="D217">
        <f>COUNTIFS(AnalizaCzyste[Moja satysfakcja z (efektów) usług edukacyjnych ocenianej uczelni jest wysoka.15],B217,AnalizaCzyste[Czy jesteś rodzicem / opiekunem absolwenta uczelni wyższej?],"*"&amp;"Tak"&amp;"*")</f>
        <v>0</v>
      </c>
      <c r="E217">
        <f>COUNTIFS(AnalizaCzyste[Moja satysfakcja z (efektów) usług edukacyjnych ocenianej uczelni jest wysoka.29],B217,AnalizaCzyste[Czy jesteś rodzicem / opiekunem absolwenta uczelni wyższej?],"*"&amp;"Tak"&amp;"*")</f>
        <v>0</v>
      </c>
      <c r="F217">
        <f t="shared" si="39"/>
        <v>1</v>
      </c>
      <c r="G217">
        <f t="shared" si="40"/>
        <v>1</v>
      </c>
      <c r="H217">
        <f t="shared" si="41"/>
        <v>0</v>
      </c>
      <c r="I217">
        <f t="shared" si="42"/>
        <v>0</v>
      </c>
      <c r="J217">
        <f t="shared" si="43"/>
        <v>1</v>
      </c>
      <c r="P217" s="47">
        <f>SUM(P210:P216)</f>
        <v>0.82919259703304371</v>
      </c>
      <c r="Q217" s="47">
        <f>SUM(Q210:Q216)</f>
        <v>9.1211185673634798</v>
      </c>
      <c r="S217" s="20" t="s">
        <v>2426</v>
      </c>
      <c r="T217" s="48">
        <f>SUM(T210:T216)</f>
        <v>2.6410375237762906</v>
      </c>
      <c r="U217">
        <f>CHIINV(O220,7-3)</f>
        <v>9.4877290367811575</v>
      </c>
    </row>
    <row r="218" spans="1:21" x14ac:dyDescent="0.45">
      <c r="B218" s="20" t="s">
        <v>2351</v>
      </c>
      <c r="C218" s="29">
        <f>SUM(C210:C217)</f>
        <v>12</v>
      </c>
      <c r="D218" s="29">
        <f>SUM(D210:D217)</f>
        <v>5</v>
      </c>
      <c r="E218" s="29">
        <f>SUM(E210:E217)</f>
        <v>2</v>
      </c>
      <c r="F218" s="29">
        <f t="shared" si="39"/>
        <v>19</v>
      </c>
      <c r="G218" s="44">
        <f>SUM(G210:G217)/$C219</f>
        <v>6.2727272727272725</v>
      </c>
      <c r="H218" s="44">
        <f t="shared" ref="H218:I218" si="53">SUM(H210:H217)/$C219</f>
        <v>2.5454545454545454</v>
      </c>
      <c r="I218" s="44">
        <f t="shared" si="53"/>
        <v>1</v>
      </c>
      <c r="J218" s="44">
        <f>SUM(J210:J216)/$F219</f>
        <v>5.9444444444444446</v>
      </c>
      <c r="K218" s="20" t="s">
        <v>2353</v>
      </c>
      <c r="L218" s="44">
        <f>SUM(L210:L217)/(F219-1)</f>
        <v>1.2320261437908495</v>
      </c>
      <c r="M218" s="20" t="s">
        <v>2349</v>
      </c>
      <c r="T218" s="20" t="s">
        <v>2427</v>
      </c>
    </row>
    <row r="219" spans="1:21" x14ac:dyDescent="0.45">
      <c r="B219" s="20" t="s">
        <v>2352</v>
      </c>
      <c r="C219">
        <f>C218-C217</f>
        <v>11</v>
      </c>
      <c r="D219">
        <f>D218-D217</f>
        <v>5</v>
      </c>
      <c r="E219">
        <f>E218-E217</f>
        <v>2</v>
      </c>
      <c r="F219">
        <f t="shared" si="39"/>
        <v>18</v>
      </c>
      <c r="G219" s="33">
        <f>G218/7</f>
        <v>0.89610389610389607</v>
      </c>
      <c r="H219" s="33"/>
      <c r="I219" s="33"/>
      <c r="J219" s="51" t="str">
        <f>VLOOKUP(J218,InterpretacjaŚredniej[],2,1)</f>
        <v>zgadzam się</v>
      </c>
      <c r="L219" s="44">
        <f>L218^(1/2)</f>
        <v>1.1099667309387473</v>
      </c>
      <c r="M219" t="s">
        <v>2404</v>
      </c>
    </row>
    <row r="220" spans="1:21" x14ac:dyDescent="0.45">
      <c r="B220" s="20"/>
      <c r="G220" s="33"/>
      <c r="H220" s="33"/>
      <c r="I220" s="33"/>
      <c r="J220" s="33"/>
      <c r="K220">
        <f>J218-(Q220*L219/SQRT(C219))</f>
        <v>5.1987586482070594</v>
      </c>
      <c r="L220" s="45" t="str">
        <f>"&lt; m &lt;"</f>
        <v>&lt; m &lt;</v>
      </c>
      <c r="M220">
        <f>J218+(Q220*L219/SQRT(C219))</f>
        <v>6.6901302406818299</v>
      </c>
      <c r="N220" t="s">
        <v>2407</v>
      </c>
      <c r="O220">
        <v>0.05</v>
      </c>
      <c r="P220" s="20" t="s">
        <v>2417</v>
      </c>
      <c r="Q220">
        <f>VLOOKUP($C$219-1,Tabl_tStudenta[],5,0)</f>
        <v>2.2281388519862744</v>
      </c>
    </row>
    <row r="221" spans="1:21" x14ac:dyDescent="0.45">
      <c r="B221" s="20"/>
      <c r="D221" s="33"/>
      <c r="F221" s="44"/>
      <c r="M221" s="42">
        <f>M220-K220</f>
        <v>1.4913715924747706</v>
      </c>
    </row>
    <row r="222" spans="1:21" x14ac:dyDescent="0.45">
      <c r="A222" s="29" t="s">
        <v>2366</v>
      </c>
      <c r="C222" t="s">
        <v>2367</v>
      </c>
      <c r="D222" t="s">
        <v>2368</v>
      </c>
      <c r="E222" t="s">
        <v>2369</v>
      </c>
      <c r="F222" s="20" t="s">
        <v>2374</v>
      </c>
      <c r="G222" s="20" t="s">
        <v>2370</v>
      </c>
      <c r="H222" s="20" t="s">
        <v>2371</v>
      </c>
      <c r="I222" s="20" t="s">
        <v>2372</v>
      </c>
      <c r="J222" s="20" t="s">
        <v>2373</v>
      </c>
      <c r="K222" s="20" t="s">
        <v>2362</v>
      </c>
      <c r="L222" s="20" t="s">
        <v>2363</v>
      </c>
    </row>
    <row r="223" spans="1:21" x14ac:dyDescent="0.45">
      <c r="A223">
        <v>7</v>
      </c>
      <c r="B223" t="s">
        <v>169</v>
      </c>
      <c r="C223">
        <f>COUNTIFS(AnalizaCzyste[Usługi edukacyjne ocenianej uczelni mają wysoką wartość (okazja / szansa rozwoju własnego lub kariery).9],B223,AnalizaCzyste[Czy jesteś rodzicem / opiekunem absolwenta uczelni wyższej?],"*"&amp;"Tak"&amp;"*")</f>
        <v>5</v>
      </c>
      <c r="D223">
        <f>COUNTIFS(AnalizaCzyste[Usługi edukacyjne ocenianej uczelni mają wysoką wartość (okazja / szansa rozwoju własnego lub kariery).16],B223,AnalizaCzyste[Czy jesteś rodzicem / opiekunem absolwenta uczelni wyższej?],"*"&amp;"Tak"&amp;"*")</f>
        <v>2</v>
      </c>
      <c r="E223">
        <f>COUNTIFS(AnalizaCzyste[Usługi edukacyjne ocenianej uczelni mają wysoką wartość (okazja / szansa rozwoju własnego lub kariery).30],B223,AnalizaCzyste[Czy jesteś rodzicem / opiekunem absolwenta uczelni wyższej?],"*"&amp;"Tak"&amp;"*")</f>
        <v>1</v>
      </c>
      <c r="F223">
        <f>SUM(C223:E223)</f>
        <v>8</v>
      </c>
      <c r="G223">
        <f>PRODUCT($A223,C223)</f>
        <v>35</v>
      </c>
      <c r="H223">
        <f t="shared" ref="H223:H230" si="54">PRODUCT($A223,D223)</f>
        <v>14</v>
      </c>
      <c r="I223">
        <f t="shared" ref="I223:I230" si="55">PRODUCT($A223,E223)</f>
        <v>7</v>
      </c>
      <c r="J223">
        <f>SUM(G223:I223)</f>
        <v>56</v>
      </c>
      <c r="K223" s="44">
        <f>(A223-$J$231)^2</f>
        <v>0.89197530864197572</v>
      </c>
      <c r="L223">
        <f>PRODUCT(F223,K223)</f>
        <v>7.1358024691358057</v>
      </c>
    </row>
    <row r="224" spans="1:21" x14ac:dyDescent="0.45">
      <c r="A224">
        <v>6</v>
      </c>
      <c r="B224" t="s">
        <v>150</v>
      </c>
      <c r="C224">
        <f>COUNTIFS(AnalizaCzyste[Usługi edukacyjne ocenianej uczelni mają wysoką wartość (okazja / szansa rozwoju własnego lub kariery).9],B224,AnalizaCzyste[Czy jesteś rodzicem / opiekunem absolwenta uczelni wyższej?],"*"&amp;"Tak"&amp;"*")</f>
        <v>4</v>
      </c>
      <c r="D224">
        <f>COUNTIFS(AnalizaCzyste[Usługi edukacyjne ocenianej uczelni mają wysoką wartość (okazja / szansa rozwoju własnego lub kariery).16],B224,AnalizaCzyste[Czy jesteś rodzicem / opiekunem absolwenta uczelni wyższej?],"*"&amp;"Tak"&amp;"*")</f>
        <v>2</v>
      </c>
      <c r="E224">
        <f>COUNTIFS(AnalizaCzyste[Usługi edukacyjne ocenianej uczelni mają wysoką wartość (okazja / szansa rozwoju własnego lub kariery).30],B224,AnalizaCzyste[Czy jesteś rodzicem / opiekunem absolwenta uczelni wyższej?],"*"&amp;"Tak"&amp;"*")</f>
        <v>0</v>
      </c>
      <c r="F224">
        <f t="shared" ref="F224:F232" si="56">SUM(C224:E224)</f>
        <v>6</v>
      </c>
      <c r="G224">
        <f t="shared" ref="G224:G230" si="57">PRODUCT($A224,C224)</f>
        <v>24</v>
      </c>
      <c r="H224">
        <f t="shared" si="54"/>
        <v>12</v>
      </c>
      <c r="I224">
        <f t="shared" si="55"/>
        <v>0</v>
      </c>
      <c r="J224">
        <f t="shared" ref="J224:J230" si="58">SUM(G224:I224)</f>
        <v>36</v>
      </c>
      <c r="K224" s="44">
        <f t="shared" ref="K224:K229" si="59">(A224-$J$231)^2</f>
        <v>3.0864197530863979E-3</v>
      </c>
      <c r="L224">
        <f t="shared" ref="L224:L229" si="60">PRODUCT(F224,K224)</f>
        <v>1.8518518518518386E-2</v>
      </c>
    </row>
    <row r="225" spans="1:13" x14ac:dyDescent="0.45">
      <c r="A225">
        <v>5</v>
      </c>
      <c r="B225" t="s">
        <v>162</v>
      </c>
      <c r="C225">
        <f>COUNTIFS(AnalizaCzyste[Usługi edukacyjne ocenianej uczelni mają wysoką wartość (okazja / szansa rozwoju własnego lub kariery).9],B225,AnalizaCzyste[Czy jesteś rodzicem / opiekunem absolwenta uczelni wyższej?],"*"&amp;"Tak"&amp;"*")</f>
        <v>1</v>
      </c>
      <c r="D225">
        <f>COUNTIFS(AnalizaCzyste[Usługi edukacyjne ocenianej uczelni mają wysoką wartość (okazja / szansa rozwoju własnego lub kariery).16],B225,AnalizaCzyste[Czy jesteś rodzicem / opiekunem absolwenta uczelni wyższej?],"*"&amp;"Tak"&amp;"*")</f>
        <v>0</v>
      </c>
      <c r="E225">
        <f>COUNTIFS(AnalizaCzyste[Usługi edukacyjne ocenianej uczelni mają wysoką wartość (okazja / szansa rozwoju własnego lub kariery).30],B225,AnalizaCzyste[Czy jesteś rodzicem / opiekunem absolwenta uczelni wyższej?],"*"&amp;"Tak"&amp;"*")</f>
        <v>1</v>
      </c>
      <c r="F225">
        <f t="shared" si="56"/>
        <v>2</v>
      </c>
      <c r="G225">
        <f t="shared" si="57"/>
        <v>5</v>
      </c>
      <c r="H225">
        <f t="shared" si="54"/>
        <v>0</v>
      </c>
      <c r="I225">
        <f t="shared" si="55"/>
        <v>5</v>
      </c>
      <c r="J225">
        <f t="shared" si="58"/>
        <v>10</v>
      </c>
      <c r="K225" s="44">
        <f t="shared" si="59"/>
        <v>1.1141975308641971</v>
      </c>
      <c r="L225">
        <f t="shared" si="60"/>
        <v>2.2283950617283943</v>
      </c>
    </row>
    <row r="226" spans="1:13" x14ac:dyDescent="0.45">
      <c r="A226">
        <v>4</v>
      </c>
      <c r="B226" t="s">
        <v>151</v>
      </c>
      <c r="C226">
        <f>COUNTIFS(AnalizaCzyste[Usługi edukacyjne ocenianej uczelni mają wysoką wartość (okazja / szansa rozwoju własnego lub kariery).9],B226,AnalizaCzyste[Czy jesteś rodzicem / opiekunem absolwenta uczelni wyższej?],"*"&amp;"Tak"&amp;"*")</f>
        <v>1</v>
      </c>
      <c r="D226">
        <f>COUNTIFS(AnalizaCzyste[Usługi edukacyjne ocenianej uczelni mają wysoką wartość (okazja / szansa rozwoju własnego lub kariery).16],B226,AnalizaCzyste[Czy jesteś rodzicem / opiekunem absolwenta uczelni wyższej?],"*"&amp;"Tak"&amp;"*")</f>
        <v>0</v>
      </c>
      <c r="E226">
        <f>COUNTIFS(AnalizaCzyste[Usługi edukacyjne ocenianej uczelni mają wysoką wartość (okazja / szansa rozwoju własnego lub kariery).30],B226,AnalizaCzyste[Czy jesteś rodzicem / opiekunem absolwenta uczelni wyższej?],"*"&amp;"Tak"&amp;"*")</f>
        <v>0</v>
      </c>
      <c r="F226">
        <f t="shared" si="56"/>
        <v>1</v>
      </c>
      <c r="G226">
        <f t="shared" si="57"/>
        <v>4</v>
      </c>
      <c r="H226">
        <f t="shared" si="54"/>
        <v>0</v>
      </c>
      <c r="I226">
        <f t="shared" si="55"/>
        <v>0</v>
      </c>
      <c r="J226">
        <f t="shared" si="58"/>
        <v>4</v>
      </c>
      <c r="K226" s="44">
        <f t="shared" si="59"/>
        <v>4.2253086419753076</v>
      </c>
      <c r="L226">
        <f t="shared" si="60"/>
        <v>4.2253086419753076</v>
      </c>
    </row>
    <row r="227" spans="1:13" x14ac:dyDescent="0.45">
      <c r="A227">
        <v>3</v>
      </c>
      <c r="B227" t="s">
        <v>128</v>
      </c>
      <c r="C227">
        <f>COUNTIFS(AnalizaCzyste[Usługi edukacyjne ocenianej uczelni mają wysoką wartość (okazja / szansa rozwoju własnego lub kariery).9],B227,AnalizaCzyste[Czy jesteś rodzicem / opiekunem absolwenta uczelni wyższej?],"*"&amp;"Tak"&amp;"*")</f>
        <v>0</v>
      </c>
      <c r="D227">
        <f>COUNTIFS(AnalizaCzyste[Usługi edukacyjne ocenianej uczelni mają wysoką wartość (okazja / szansa rozwoju własnego lub kariery).16],B227,AnalizaCzyste[Czy jesteś rodzicem / opiekunem absolwenta uczelni wyższej?],"*"&amp;"Tak"&amp;"*")</f>
        <v>1</v>
      </c>
      <c r="E227">
        <f>COUNTIFS(AnalizaCzyste[Usługi edukacyjne ocenianej uczelni mają wysoką wartość (okazja / szansa rozwoju własnego lub kariery).30],B227,AnalizaCzyste[Czy jesteś rodzicem / opiekunem absolwenta uczelni wyższej?],"*"&amp;"Tak"&amp;"*")</f>
        <v>0</v>
      </c>
      <c r="F227">
        <f t="shared" si="56"/>
        <v>1</v>
      </c>
      <c r="G227">
        <f t="shared" si="57"/>
        <v>0</v>
      </c>
      <c r="H227">
        <f t="shared" si="54"/>
        <v>3</v>
      </c>
      <c r="I227">
        <f t="shared" si="55"/>
        <v>0</v>
      </c>
      <c r="J227">
        <f t="shared" si="58"/>
        <v>3</v>
      </c>
      <c r="K227" s="44">
        <f t="shared" si="59"/>
        <v>9.3364197530864192</v>
      </c>
      <c r="L227">
        <f t="shared" si="60"/>
        <v>9.3364197530864192</v>
      </c>
    </row>
    <row r="228" spans="1:13" x14ac:dyDescent="0.45">
      <c r="A228">
        <v>2</v>
      </c>
      <c r="B228" t="s">
        <v>236</v>
      </c>
      <c r="C228">
        <f>COUNTIFS(AnalizaCzyste[Usługi edukacyjne ocenianej uczelni mają wysoką wartość (okazja / szansa rozwoju własnego lub kariery).9],B228,AnalizaCzyste[Czy jesteś rodzicem / opiekunem absolwenta uczelni wyższej?],"*"&amp;"Tak"&amp;"*")</f>
        <v>0</v>
      </c>
      <c r="D228">
        <f>COUNTIFS(AnalizaCzyste[Usługi edukacyjne ocenianej uczelni mają wysoką wartość (okazja / szansa rozwoju własnego lub kariery).16],B228,AnalizaCzyste[Czy jesteś rodzicem / opiekunem absolwenta uczelni wyższej?],"*"&amp;"Tak"&amp;"*")</f>
        <v>0</v>
      </c>
      <c r="E228">
        <f>COUNTIFS(AnalizaCzyste[Usługi edukacyjne ocenianej uczelni mają wysoką wartość (okazja / szansa rozwoju własnego lub kariery).30],B228,AnalizaCzyste[Czy jesteś rodzicem / opiekunem absolwenta uczelni wyższej?],"*"&amp;"Tak"&amp;"*")</f>
        <v>0</v>
      </c>
      <c r="F228">
        <f t="shared" si="56"/>
        <v>0</v>
      </c>
      <c r="G228">
        <f t="shared" si="57"/>
        <v>0</v>
      </c>
      <c r="H228">
        <f t="shared" si="54"/>
        <v>0</v>
      </c>
      <c r="I228">
        <f t="shared" si="55"/>
        <v>0</v>
      </c>
      <c r="J228">
        <f t="shared" si="58"/>
        <v>0</v>
      </c>
      <c r="K228" s="44">
        <f t="shared" si="59"/>
        <v>16.447530864197528</v>
      </c>
      <c r="L228">
        <f t="shared" si="60"/>
        <v>0</v>
      </c>
    </row>
    <row r="229" spans="1:13" x14ac:dyDescent="0.45">
      <c r="A229">
        <v>1</v>
      </c>
      <c r="B229" t="s">
        <v>129</v>
      </c>
      <c r="C229">
        <f>COUNTIFS(AnalizaCzyste[Usługi edukacyjne ocenianej uczelni mają wysoką wartość (okazja / szansa rozwoju własnego lub kariery).9],B229,AnalizaCzyste[Czy jesteś rodzicem / opiekunem absolwenta uczelni wyższej?],"*"&amp;"Tak"&amp;"*")</f>
        <v>0</v>
      </c>
      <c r="D229">
        <f>COUNTIFS(AnalizaCzyste[Usługi edukacyjne ocenianej uczelni mają wysoką wartość (okazja / szansa rozwoju własnego lub kariery).16],B229,AnalizaCzyste[Czy jesteś rodzicem / opiekunem absolwenta uczelni wyższej?],"*"&amp;"Tak"&amp;"*")</f>
        <v>0</v>
      </c>
      <c r="E229">
        <f>COUNTIFS(AnalizaCzyste[Usługi edukacyjne ocenianej uczelni mają wysoką wartość (okazja / szansa rozwoju własnego lub kariery).30],B229,AnalizaCzyste[Czy jesteś rodzicem / opiekunem absolwenta uczelni wyższej?],"*"&amp;"Tak"&amp;"*")</f>
        <v>0</v>
      </c>
      <c r="F229">
        <f t="shared" si="56"/>
        <v>0</v>
      </c>
      <c r="G229">
        <f t="shared" si="57"/>
        <v>0</v>
      </c>
      <c r="H229">
        <f t="shared" si="54"/>
        <v>0</v>
      </c>
      <c r="I229">
        <f t="shared" si="55"/>
        <v>0</v>
      </c>
      <c r="J229">
        <f t="shared" si="58"/>
        <v>0</v>
      </c>
      <c r="K229" s="44">
        <f t="shared" si="59"/>
        <v>25.558641975308639</v>
      </c>
      <c r="L229">
        <f t="shared" si="60"/>
        <v>0</v>
      </c>
    </row>
    <row r="230" spans="1:13" x14ac:dyDescent="0.45">
      <c r="A230" t="s">
        <v>2329</v>
      </c>
      <c r="B230" t="s">
        <v>132</v>
      </c>
      <c r="C230">
        <f>COUNTIFS(AnalizaCzyste[Usługi edukacyjne ocenianej uczelni mają wysoką wartość (okazja / szansa rozwoju własnego lub kariery).9],B230,AnalizaCzyste[Czy jesteś rodzicem / opiekunem absolwenta uczelni wyższej?],"*"&amp;"Tak"&amp;"*")</f>
        <v>1</v>
      </c>
      <c r="D230">
        <f>COUNTIFS(AnalizaCzyste[Usługi edukacyjne ocenianej uczelni mają wysoką wartość (okazja / szansa rozwoju własnego lub kariery).16],B230,AnalizaCzyste[Czy jesteś rodzicem / opiekunem absolwenta uczelni wyższej?],"*"&amp;"Tak"&amp;"*")</f>
        <v>0</v>
      </c>
      <c r="E230">
        <f>COUNTIFS(AnalizaCzyste[Usługi edukacyjne ocenianej uczelni mają wysoką wartość (okazja / szansa rozwoju własnego lub kariery).30],B230,AnalizaCzyste[Czy jesteś rodzicem / opiekunem absolwenta uczelni wyższej?],"*"&amp;"Tak"&amp;"*")</f>
        <v>0</v>
      </c>
      <c r="F230">
        <f t="shared" si="56"/>
        <v>1</v>
      </c>
      <c r="G230">
        <f t="shared" si="57"/>
        <v>1</v>
      </c>
      <c r="H230">
        <f t="shared" si="54"/>
        <v>0</v>
      </c>
      <c r="I230">
        <f t="shared" si="55"/>
        <v>0</v>
      </c>
      <c r="J230">
        <f t="shared" si="58"/>
        <v>1</v>
      </c>
    </row>
    <row r="231" spans="1:13" x14ac:dyDescent="0.45">
      <c r="B231" s="20" t="s">
        <v>2351</v>
      </c>
      <c r="C231" s="29">
        <f>SUM(C223:C230)</f>
        <v>12</v>
      </c>
      <c r="D231" s="29">
        <f>SUM(D223:D230)</f>
        <v>5</v>
      </c>
      <c r="E231" s="29">
        <f>SUM(E223:E230)</f>
        <v>2</v>
      </c>
      <c r="F231" s="29">
        <f t="shared" si="56"/>
        <v>19</v>
      </c>
      <c r="G231" s="44">
        <f>SUM(G223:G230)/$C232</f>
        <v>6.2727272727272725</v>
      </c>
      <c r="H231" s="44">
        <f t="shared" ref="H231" si="61">SUM(H223:H230)/$C232</f>
        <v>2.6363636363636362</v>
      </c>
      <c r="I231" s="44">
        <f t="shared" ref="I231" si="62">SUM(I223:I230)/$C232</f>
        <v>1.0909090909090908</v>
      </c>
      <c r="J231" s="44">
        <f>SUM(J223:J229)/$F232</f>
        <v>6.0555555555555554</v>
      </c>
      <c r="K231" s="20" t="s">
        <v>2353</v>
      </c>
      <c r="L231" s="44">
        <f>SUM(L223:L230)/(F232-1)</f>
        <v>1.349673202614379</v>
      </c>
      <c r="M231" s="20" t="s">
        <v>2349</v>
      </c>
    </row>
    <row r="232" spans="1:13" x14ac:dyDescent="0.45">
      <c r="B232" s="20" t="s">
        <v>2352</v>
      </c>
      <c r="C232">
        <f>C231-C230</f>
        <v>11</v>
      </c>
      <c r="D232">
        <f>D231-D230</f>
        <v>5</v>
      </c>
      <c r="E232">
        <f>E231-E230</f>
        <v>2</v>
      </c>
      <c r="F232">
        <f t="shared" si="56"/>
        <v>18</v>
      </c>
      <c r="G232" s="33">
        <f>G231/7</f>
        <v>0.89610389610389607</v>
      </c>
      <c r="H232" s="33"/>
      <c r="I232" s="33"/>
      <c r="J232" s="33"/>
      <c r="L232" s="44">
        <f>L231^(1/2)</f>
        <v>1.1617543641469048</v>
      </c>
      <c r="M232" t="s">
        <v>2404</v>
      </c>
    </row>
    <row r="233" spans="1:13" x14ac:dyDescent="0.45">
      <c r="B233" s="20"/>
      <c r="D233" s="33"/>
      <c r="F233" s="44"/>
    </row>
    <row r="234" spans="1:13" x14ac:dyDescent="0.45">
      <c r="A234" s="29" t="s">
        <v>2375</v>
      </c>
      <c r="C234" t="s">
        <v>2367</v>
      </c>
      <c r="D234" t="s">
        <v>2368</v>
      </c>
      <c r="E234" t="s">
        <v>2369</v>
      </c>
      <c r="F234" s="20" t="s">
        <v>2374</v>
      </c>
      <c r="G234" s="20" t="s">
        <v>2370</v>
      </c>
      <c r="H234" s="20" t="s">
        <v>2371</v>
      </c>
      <c r="I234" s="20" t="s">
        <v>2372</v>
      </c>
      <c r="J234" s="20" t="s">
        <v>2373</v>
      </c>
      <c r="K234" s="20" t="s">
        <v>2362</v>
      </c>
      <c r="L234" s="20" t="s">
        <v>2363</v>
      </c>
    </row>
    <row r="235" spans="1:13" x14ac:dyDescent="0.45">
      <c r="A235">
        <v>7</v>
      </c>
      <c r="B235" t="s">
        <v>169</v>
      </c>
      <c r="C235">
        <f>COUNTIFS(AnalizaCzyste[Kształcenie na ocenianej uczelni ma/będzie miało pozytywny wpływ na zwiększenie zarobków mojej/mojego podopiecznej/podopiecznego.],B235,AnalizaCzyste[Czy jesteś rodzicem / opiekunem absolwenta uczelni wyższej?],"*"&amp;"Tak"&amp;"*")</f>
        <v>7</v>
      </c>
      <c r="D235">
        <f>COUNTIFS(AnalizaCzyste[Kształcenie na ocenianej uczelni ma/będzie miało pozytywny wpływ na zwiększenie zarobków mojej/mojego podopiecznej/podopiecznego.17],B235,AnalizaCzyste[Czy jesteś rodzicem / opiekunem absolwenta uczelni wyższej?],"*"&amp;"Tak"&amp;"*")</f>
        <v>1</v>
      </c>
      <c r="E235">
        <f>COUNTIFS(AnalizaCzyste[Kształcenie na ocenianej uczelni ma/będzie miało pozytywny wpływ na zwiększenie zarobków mojej/mojego podopiecznej/podopiecznego.31],B235,AnalizaCzyste[Czy jesteś rodzicem / opiekunem absolwenta uczelni wyższej?],"*"&amp;"Tak"&amp;"*")</f>
        <v>1</v>
      </c>
      <c r="F235">
        <f>SUM(C235:E235)</f>
        <v>9</v>
      </c>
      <c r="G235">
        <f>PRODUCT($A235,C235)</f>
        <v>49</v>
      </c>
      <c r="H235">
        <f t="shared" ref="H235:H242" si="63">PRODUCT($A235,D235)</f>
        <v>7</v>
      </c>
      <c r="I235">
        <f t="shared" ref="I235:I242" si="64">PRODUCT($A235,E235)</f>
        <v>7</v>
      </c>
      <c r="J235">
        <f>SUM(G235:I235)</f>
        <v>63</v>
      </c>
      <c r="K235" s="44">
        <f>(A235-$J$243)^2</f>
        <v>1.1141975308641971</v>
      </c>
      <c r="L235">
        <f>PRODUCT(F235,K235)</f>
        <v>10.027777777777775</v>
      </c>
    </row>
    <row r="236" spans="1:13" x14ac:dyDescent="0.45">
      <c r="A236">
        <v>6</v>
      </c>
      <c r="B236" t="s">
        <v>150</v>
      </c>
      <c r="C236">
        <f>COUNTIFS(AnalizaCzyste[Kształcenie na ocenianej uczelni ma/będzie miało pozytywny wpływ na zwiększenie zarobków mojej/mojego podopiecznej/podopiecznego.],B236,AnalizaCzyste[Czy jesteś rodzicem / opiekunem absolwenta uczelni wyższej?],"*"&amp;"Tak"&amp;"*")</f>
        <v>2</v>
      </c>
      <c r="D236">
        <f>COUNTIFS(AnalizaCzyste[Kształcenie na ocenianej uczelni ma/będzie miało pozytywny wpływ na zwiększenie zarobków mojej/mojego podopiecznej/podopiecznego.17],B236,AnalizaCzyste[Czy jesteś rodzicem / opiekunem absolwenta uczelni wyższej?],"*"&amp;"Tak"&amp;"*")</f>
        <v>2</v>
      </c>
      <c r="E236">
        <f>COUNTIFS(AnalizaCzyste[Kształcenie na ocenianej uczelni ma/będzie miało pozytywny wpływ na zwiększenie zarobków mojej/mojego podopiecznej/podopiecznego.31],B236,AnalizaCzyste[Czy jesteś rodzicem / opiekunem absolwenta uczelni wyższej?],"*"&amp;"Tak"&amp;"*")</f>
        <v>1</v>
      </c>
      <c r="F236">
        <f t="shared" ref="F236:F244" si="65">SUM(C236:E236)</f>
        <v>5</v>
      </c>
      <c r="G236">
        <f t="shared" ref="G236:G242" si="66">PRODUCT($A236,C236)</f>
        <v>12</v>
      </c>
      <c r="H236">
        <f t="shared" si="63"/>
        <v>12</v>
      </c>
      <c r="I236">
        <f t="shared" si="64"/>
        <v>6</v>
      </c>
      <c r="J236">
        <f t="shared" ref="J236:J242" si="67">SUM(G236:I236)</f>
        <v>30</v>
      </c>
      <c r="K236" s="44">
        <f t="shared" ref="K236:K241" si="68">(A236-$J$243)^2</f>
        <v>3.0864197530863979E-3</v>
      </c>
      <c r="L236">
        <f t="shared" ref="L236:L241" si="69">PRODUCT(F236,K236)</f>
        <v>1.543209876543199E-2</v>
      </c>
    </row>
    <row r="237" spans="1:13" x14ac:dyDescent="0.45">
      <c r="A237">
        <v>5</v>
      </c>
      <c r="B237" t="s">
        <v>162</v>
      </c>
      <c r="C237">
        <f>COUNTIFS(AnalizaCzyste[Kształcenie na ocenianej uczelni ma/będzie miało pozytywny wpływ na zwiększenie zarobków mojej/mojego podopiecznej/podopiecznego.],B237,AnalizaCzyste[Czy jesteś rodzicem / opiekunem absolwenta uczelni wyższej?],"*"&amp;"Tak"&amp;"*")</f>
        <v>0</v>
      </c>
      <c r="D237">
        <f>COUNTIFS(AnalizaCzyste[Kształcenie na ocenianej uczelni ma/będzie miało pozytywny wpływ na zwiększenie zarobków mojej/mojego podopiecznej/podopiecznego.17],B237,AnalizaCzyste[Czy jesteś rodzicem / opiekunem absolwenta uczelni wyższej?],"*"&amp;"Tak"&amp;"*")</f>
        <v>1</v>
      </c>
      <c r="E237">
        <f>COUNTIFS(AnalizaCzyste[Kształcenie na ocenianej uczelni ma/będzie miało pozytywny wpływ na zwiększenie zarobków mojej/mojego podopiecznej/podopiecznego.31],B237,AnalizaCzyste[Czy jesteś rodzicem / opiekunem absolwenta uczelni wyższej?],"*"&amp;"Tak"&amp;"*")</f>
        <v>0</v>
      </c>
      <c r="F237">
        <f t="shared" si="65"/>
        <v>1</v>
      </c>
      <c r="G237">
        <f t="shared" si="66"/>
        <v>0</v>
      </c>
      <c r="H237">
        <f t="shared" si="63"/>
        <v>5</v>
      </c>
      <c r="I237">
        <f t="shared" si="64"/>
        <v>0</v>
      </c>
      <c r="J237">
        <f t="shared" si="67"/>
        <v>5</v>
      </c>
      <c r="K237" s="44">
        <f t="shared" si="68"/>
        <v>0.89197530864197572</v>
      </c>
      <c r="L237">
        <f t="shared" si="69"/>
        <v>0.89197530864197572</v>
      </c>
    </row>
    <row r="238" spans="1:13" x14ac:dyDescent="0.45">
      <c r="A238">
        <v>4</v>
      </c>
      <c r="B238" t="s">
        <v>151</v>
      </c>
      <c r="C238">
        <f>COUNTIFS(AnalizaCzyste[Kształcenie na ocenianej uczelni ma/będzie miało pozytywny wpływ na zwiększenie zarobków mojej/mojego podopiecznej/podopiecznego.],B238,AnalizaCzyste[Czy jesteś rodzicem / opiekunem absolwenta uczelni wyższej?],"*"&amp;"Tak"&amp;"*")</f>
        <v>1</v>
      </c>
      <c r="D238">
        <f>COUNTIFS(AnalizaCzyste[Kształcenie na ocenianej uczelni ma/będzie miało pozytywny wpływ na zwiększenie zarobków mojej/mojego podopiecznej/podopiecznego.17],B238,AnalizaCzyste[Czy jesteś rodzicem / opiekunem absolwenta uczelni wyższej?],"*"&amp;"Tak"&amp;"*")</f>
        <v>0</v>
      </c>
      <c r="E238">
        <f>COUNTIFS(AnalizaCzyste[Kształcenie na ocenianej uczelni ma/będzie miało pozytywny wpływ na zwiększenie zarobków mojej/mojego podopiecznej/podopiecznego.31],B238,AnalizaCzyste[Czy jesteś rodzicem / opiekunem absolwenta uczelni wyższej?],"*"&amp;"Tak"&amp;"*")</f>
        <v>0</v>
      </c>
      <c r="F238">
        <f t="shared" si="65"/>
        <v>1</v>
      </c>
      <c r="G238">
        <f t="shared" si="66"/>
        <v>4</v>
      </c>
      <c r="H238">
        <f t="shared" si="63"/>
        <v>0</v>
      </c>
      <c r="I238">
        <f t="shared" si="64"/>
        <v>0</v>
      </c>
      <c r="J238">
        <f t="shared" si="67"/>
        <v>4</v>
      </c>
      <c r="K238" s="44">
        <f t="shared" si="68"/>
        <v>3.7808641975308648</v>
      </c>
      <c r="L238">
        <f t="shared" si="69"/>
        <v>3.7808641975308648</v>
      </c>
    </row>
    <row r="239" spans="1:13" x14ac:dyDescent="0.45">
      <c r="A239">
        <v>3</v>
      </c>
      <c r="B239" t="s">
        <v>128</v>
      </c>
      <c r="C239">
        <f>COUNTIFS(AnalizaCzyste[Kształcenie na ocenianej uczelni ma/będzie miało pozytywny wpływ na zwiększenie zarobków mojej/mojego podopiecznej/podopiecznego.],B239,AnalizaCzyste[Czy jesteś rodzicem / opiekunem absolwenta uczelni wyższej?],"*"&amp;"Tak"&amp;"*")</f>
        <v>1</v>
      </c>
      <c r="D239">
        <f>COUNTIFS(AnalizaCzyste[Kształcenie na ocenianej uczelni ma/będzie miało pozytywny wpływ na zwiększenie zarobków mojej/mojego podopiecznej/podopiecznego.17],B239,AnalizaCzyste[Czy jesteś rodzicem / opiekunem absolwenta uczelni wyższej?],"*"&amp;"Tak"&amp;"*")</f>
        <v>0</v>
      </c>
      <c r="E239">
        <f>COUNTIFS(AnalizaCzyste[Kształcenie na ocenianej uczelni ma/będzie miało pozytywny wpływ na zwiększenie zarobków mojej/mojego podopiecznej/podopiecznego.31],B239,AnalizaCzyste[Czy jesteś rodzicem / opiekunem absolwenta uczelni wyższej?],"*"&amp;"Tak"&amp;"*")</f>
        <v>0</v>
      </c>
      <c r="F239">
        <f t="shared" si="65"/>
        <v>1</v>
      </c>
      <c r="G239">
        <f t="shared" si="66"/>
        <v>3</v>
      </c>
      <c r="H239">
        <f t="shared" si="63"/>
        <v>0</v>
      </c>
      <c r="I239">
        <f t="shared" si="64"/>
        <v>0</v>
      </c>
      <c r="J239">
        <f t="shared" si="67"/>
        <v>3</v>
      </c>
      <c r="K239" s="44">
        <f t="shared" si="68"/>
        <v>8.669753086419755</v>
      </c>
      <c r="L239">
        <f t="shared" si="69"/>
        <v>8.669753086419755</v>
      </c>
    </row>
    <row r="240" spans="1:13" x14ac:dyDescent="0.45">
      <c r="A240">
        <v>2</v>
      </c>
      <c r="B240" t="s">
        <v>236</v>
      </c>
      <c r="C240">
        <f>COUNTIFS(AnalizaCzyste[Kształcenie na ocenianej uczelni ma/będzie miało pozytywny wpływ na zwiększenie zarobków mojej/mojego podopiecznej/podopiecznego.],B240,AnalizaCzyste[Czy jesteś rodzicem / opiekunem absolwenta uczelni wyższej?],"*"&amp;"Tak"&amp;"*")</f>
        <v>0</v>
      </c>
      <c r="D240">
        <f>COUNTIFS(AnalizaCzyste[Kształcenie na ocenianej uczelni ma/będzie miało pozytywny wpływ na zwiększenie zarobków mojej/mojego podopiecznej/podopiecznego.17],B240,AnalizaCzyste[Czy jesteś rodzicem / opiekunem absolwenta uczelni wyższej?],"*"&amp;"Tak"&amp;"*")</f>
        <v>1</v>
      </c>
      <c r="E240">
        <f>COUNTIFS(AnalizaCzyste[Kształcenie na ocenianej uczelni ma/będzie miało pozytywny wpływ na zwiększenie zarobków mojej/mojego podopiecznej/podopiecznego.31],B240,AnalizaCzyste[Czy jesteś rodzicem / opiekunem absolwenta uczelni wyższej?],"*"&amp;"Tak"&amp;"*")</f>
        <v>0</v>
      </c>
      <c r="F240">
        <f t="shared" si="65"/>
        <v>1</v>
      </c>
      <c r="G240">
        <f t="shared" si="66"/>
        <v>0</v>
      </c>
      <c r="H240">
        <f t="shared" si="63"/>
        <v>2</v>
      </c>
      <c r="I240">
        <f t="shared" si="64"/>
        <v>0</v>
      </c>
      <c r="J240">
        <f t="shared" si="67"/>
        <v>2</v>
      </c>
      <c r="K240" s="44">
        <f t="shared" si="68"/>
        <v>15.558641975308644</v>
      </c>
      <c r="L240">
        <f t="shared" si="69"/>
        <v>15.558641975308644</v>
      </c>
    </row>
    <row r="241" spans="1:13" x14ac:dyDescent="0.45">
      <c r="A241">
        <v>1</v>
      </c>
      <c r="B241" t="s">
        <v>129</v>
      </c>
      <c r="C241">
        <f>COUNTIFS(AnalizaCzyste[Kształcenie na ocenianej uczelni ma/będzie miało pozytywny wpływ na zwiększenie zarobków mojej/mojego podopiecznej/podopiecznego.],B241,AnalizaCzyste[Czy jesteś rodzicem / opiekunem absolwenta uczelni wyższej?],"*"&amp;"Tak"&amp;"*")</f>
        <v>0</v>
      </c>
      <c r="D241">
        <f>COUNTIFS(AnalizaCzyste[Kształcenie na ocenianej uczelni ma/będzie miało pozytywny wpływ na zwiększenie zarobków mojej/mojego podopiecznej/podopiecznego.17],B241,AnalizaCzyste[Czy jesteś rodzicem / opiekunem absolwenta uczelni wyższej?],"*"&amp;"Tak"&amp;"*")</f>
        <v>0</v>
      </c>
      <c r="E241">
        <f>COUNTIFS(AnalizaCzyste[Kształcenie na ocenianej uczelni ma/będzie miało pozytywny wpływ na zwiększenie zarobków mojej/mojego podopiecznej/podopiecznego.31],B241,AnalizaCzyste[Czy jesteś rodzicem / opiekunem absolwenta uczelni wyższej?],"*"&amp;"Tak"&amp;"*")</f>
        <v>0</v>
      </c>
      <c r="F241">
        <f t="shared" si="65"/>
        <v>0</v>
      </c>
      <c r="G241">
        <f t="shared" si="66"/>
        <v>0</v>
      </c>
      <c r="H241">
        <f t="shared" si="63"/>
        <v>0</v>
      </c>
      <c r="I241">
        <f t="shared" si="64"/>
        <v>0</v>
      </c>
      <c r="J241">
        <f t="shared" si="67"/>
        <v>0</v>
      </c>
      <c r="K241" s="44">
        <f t="shared" si="68"/>
        <v>24.447530864197532</v>
      </c>
      <c r="L241">
        <f t="shared" si="69"/>
        <v>0</v>
      </c>
    </row>
    <row r="242" spans="1:13" x14ac:dyDescent="0.45">
      <c r="A242" t="s">
        <v>2329</v>
      </c>
      <c r="B242" t="s">
        <v>132</v>
      </c>
      <c r="C242">
        <f>COUNTIFS(AnalizaCzyste[Kształcenie na ocenianej uczelni ma/będzie miało pozytywny wpływ na zwiększenie zarobków mojej/mojego podopiecznej/podopiecznego.],B242,AnalizaCzyste[Czy jesteś rodzicem / opiekunem absolwenta uczelni wyższej?],"*"&amp;"Tak"&amp;"*")</f>
        <v>1</v>
      </c>
      <c r="D242">
        <f>COUNTIFS(AnalizaCzyste[Kształcenie na ocenianej uczelni ma/będzie miało pozytywny wpływ na zwiększenie zarobków mojej/mojego podopiecznej/podopiecznego.17],B242,AnalizaCzyste[Czy jesteś rodzicem / opiekunem absolwenta uczelni wyższej?],"*"&amp;"Tak"&amp;"*")</f>
        <v>0</v>
      </c>
      <c r="E242">
        <f>COUNTIFS(AnalizaCzyste[Kształcenie na ocenianej uczelni ma/będzie miało pozytywny wpływ na zwiększenie zarobków mojej/mojego podopiecznej/podopiecznego.31],B242,AnalizaCzyste[Czy jesteś rodzicem / opiekunem absolwenta uczelni wyższej?],"*"&amp;"Tak"&amp;"*")</f>
        <v>0</v>
      </c>
      <c r="F242">
        <f t="shared" si="65"/>
        <v>1</v>
      </c>
      <c r="G242">
        <f t="shared" si="66"/>
        <v>1</v>
      </c>
      <c r="H242">
        <f t="shared" si="63"/>
        <v>0</v>
      </c>
      <c r="I242">
        <f t="shared" si="64"/>
        <v>0</v>
      </c>
      <c r="J242">
        <f t="shared" si="67"/>
        <v>1</v>
      </c>
    </row>
    <row r="243" spans="1:13" x14ac:dyDescent="0.45">
      <c r="B243" s="20" t="s">
        <v>2351</v>
      </c>
      <c r="C243" s="29">
        <f>SUM(C235:C242)</f>
        <v>12</v>
      </c>
      <c r="D243" s="29">
        <f>SUM(D235:D242)</f>
        <v>5</v>
      </c>
      <c r="E243" s="29">
        <f>SUM(E235:E242)</f>
        <v>2</v>
      </c>
      <c r="F243" s="29">
        <f t="shared" si="65"/>
        <v>19</v>
      </c>
      <c r="G243" s="44">
        <f>SUM(G235:G242)/$C244</f>
        <v>6.2727272727272725</v>
      </c>
      <c r="H243" s="44">
        <f t="shared" ref="H243" si="70">SUM(H235:H242)/$C244</f>
        <v>2.3636363636363638</v>
      </c>
      <c r="I243" s="44">
        <f t="shared" ref="I243" si="71">SUM(I235:I242)/$C244</f>
        <v>1.1818181818181819</v>
      </c>
      <c r="J243" s="44">
        <f>SUM(J235:J241)/$F244</f>
        <v>5.9444444444444446</v>
      </c>
      <c r="K243" s="20" t="s">
        <v>2353</v>
      </c>
      <c r="L243" s="44">
        <f>SUM(L235:L242)/(F244-1)</f>
        <v>2.2908496732026147</v>
      </c>
      <c r="M243" s="20" t="s">
        <v>2349</v>
      </c>
    </row>
    <row r="244" spans="1:13" x14ac:dyDescent="0.45">
      <c r="B244" s="20" t="s">
        <v>2352</v>
      </c>
      <c r="C244">
        <f>C243-C242</f>
        <v>11</v>
      </c>
      <c r="D244">
        <f>D243-D242</f>
        <v>5</v>
      </c>
      <c r="E244">
        <f>E243-E242</f>
        <v>2</v>
      </c>
      <c r="F244">
        <f t="shared" si="65"/>
        <v>18</v>
      </c>
      <c r="G244" s="33">
        <f>G243/7</f>
        <v>0.89610389610389607</v>
      </c>
      <c r="H244" s="33"/>
      <c r="I244" s="33"/>
      <c r="J244" s="33"/>
      <c r="L244" s="44">
        <f>L243^(1/2)</f>
        <v>1.5135553089341052</v>
      </c>
      <c r="M244" t="s">
        <v>2404</v>
      </c>
    </row>
    <row r="245" spans="1:13" x14ac:dyDescent="0.45">
      <c r="B245" s="20"/>
      <c r="D245" s="33"/>
      <c r="F245" s="44"/>
    </row>
    <row r="246" spans="1:13" x14ac:dyDescent="0.45">
      <c r="B246" s="20"/>
      <c r="D246" s="33"/>
      <c r="F246" s="44"/>
    </row>
    <row r="247" spans="1:13" x14ac:dyDescent="0.45">
      <c r="B247" s="20"/>
      <c r="D247" s="33"/>
      <c r="F247" s="44"/>
    </row>
    <row r="249" spans="1:13" x14ac:dyDescent="0.45">
      <c r="A249" s="29" t="s">
        <v>2355</v>
      </c>
      <c r="C249" t="s">
        <v>2348</v>
      </c>
      <c r="E249" s="20" t="s">
        <v>2362</v>
      </c>
      <c r="F249" s="20" t="s">
        <v>2363</v>
      </c>
    </row>
    <row r="250" spans="1:13" x14ac:dyDescent="0.45">
      <c r="A250">
        <v>7</v>
      </c>
      <c r="B250" t="s">
        <v>169</v>
      </c>
      <c r="C250">
        <f>COUNTIFS(AnalizaCzyste[Moja satysfakcja z pracy na ocenianej uczelni jest wysoka.],B250,AnalizaCzyste[Czy jesteś aktualnie pracownikiem administracyjnym uczelni wyższej?],"*"&amp;"Tak"&amp;"*")</f>
        <v>3</v>
      </c>
      <c r="D250">
        <f>PRODUCT(A250,C250)</f>
        <v>21</v>
      </c>
      <c r="E250" s="44">
        <f>(A250-$D$258)^2</f>
        <v>6.25E-2</v>
      </c>
      <c r="F250">
        <f>PRODUCT(C250,E250)</f>
        <v>0.1875</v>
      </c>
    </row>
    <row r="251" spans="1:13" x14ac:dyDescent="0.45">
      <c r="A251">
        <v>6</v>
      </c>
      <c r="B251" t="s">
        <v>150</v>
      </c>
      <c r="C251">
        <f>COUNTIFS(AnalizaCzyste[Moja satysfakcja z pracy na ocenianej uczelni jest wysoka.],B251,AnalizaCzyste[Czy jesteś aktualnie pracownikiem administracyjnym uczelni wyższej?],"*"&amp;"Tak"&amp;"*")</f>
        <v>1</v>
      </c>
      <c r="D251">
        <f t="shared" ref="D251:D257" si="72">PRODUCT(A251,C251)</f>
        <v>6</v>
      </c>
      <c r="E251" s="44">
        <f t="shared" ref="E251:E256" si="73">(A251-$D$258)^2</f>
        <v>0.5625</v>
      </c>
      <c r="F251">
        <f t="shared" ref="F251:F256" si="74">PRODUCT(C251,E251)</f>
        <v>0.5625</v>
      </c>
    </row>
    <row r="252" spans="1:13" x14ac:dyDescent="0.45">
      <c r="A252">
        <v>5</v>
      </c>
      <c r="B252" t="s">
        <v>162</v>
      </c>
      <c r="C252">
        <f>COUNTIFS(AnalizaCzyste[Moja satysfakcja z pracy na ocenianej uczelni jest wysoka.],B252,AnalizaCzyste[Czy jesteś aktualnie pracownikiem administracyjnym uczelni wyższej?],"*"&amp;"Tak"&amp;"*")</f>
        <v>0</v>
      </c>
      <c r="D252">
        <f t="shared" si="72"/>
        <v>0</v>
      </c>
      <c r="E252" s="44">
        <f t="shared" si="73"/>
        <v>3.0625</v>
      </c>
      <c r="F252">
        <f t="shared" si="74"/>
        <v>0</v>
      </c>
    </row>
    <row r="253" spans="1:13" x14ac:dyDescent="0.45">
      <c r="A253">
        <v>4</v>
      </c>
      <c r="B253" t="s">
        <v>151</v>
      </c>
      <c r="C253">
        <f>COUNTIFS(AnalizaCzyste[Moja satysfakcja z pracy na ocenianej uczelni jest wysoka.],B253,AnalizaCzyste[Czy jesteś aktualnie pracownikiem administracyjnym uczelni wyższej?],"*"&amp;"Tak"&amp;"*")</f>
        <v>0</v>
      </c>
      <c r="D253">
        <f t="shared" si="72"/>
        <v>0</v>
      </c>
      <c r="E253" s="44">
        <f t="shared" si="73"/>
        <v>7.5625</v>
      </c>
      <c r="F253">
        <f t="shared" si="74"/>
        <v>0</v>
      </c>
    </row>
    <row r="254" spans="1:13" x14ac:dyDescent="0.45">
      <c r="A254">
        <v>3</v>
      </c>
      <c r="B254" t="s">
        <v>128</v>
      </c>
      <c r="C254">
        <f>COUNTIFS(AnalizaCzyste[Moja satysfakcja z pracy na ocenianej uczelni jest wysoka.],B254,AnalizaCzyste[Czy jesteś aktualnie pracownikiem administracyjnym uczelni wyższej?],"*"&amp;"Tak"&amp;"*")</f>
        <v>0</v>
      </c>
      <c r="D254">
        <f t="shared" si="72"/>
        <v>0</v>
      </c>
      <c r="E254" s="44">
        <f t="shared" si="73"/>
        <v>14.0625</v>
      </c>
      <c r="F254">
        <f t="shared" si="74"/>
        <v>0</v>
      </c>
    </row>
    <row r="255" spans="1:13" x14ac:dyDescent="0.45">
      <c r="A255">
        <v>2</v>
      </c>
      <c r="B255" t="s">
        <v>236</v>
      </c>
      <c r="C255">
        <f>COUNTIFS(AnalizaCzyste[Moja satysfakcja z pracy na ocenianej uczelni jest wysoka.],B255,AnalizaCzyste[Czy jesteś aktualnie pracownikiem administracyjnym uczelni wyższej?],"*"&amp;"Tak"&amp;"*")</f>
        <v>0</v>
      </c>
      <c r="D255">
        <f t="shared" si="72"/>
        <v>0</v>
      </c>
      <c r="E255" s="44">
        <f t="shared" si="73"/>
        <v>22.5625</v>
      </c>
      <c r="F255">
        <f t="shared" si="74"/>
        <v>0</v>
      </c>
    </row>
    <row r="256" spans="1:13" x14ac:dyDescent="0.45">
      <c r="A256">
        <v>1</v>
      </c>
      <c r="B256" t="s">
        <v>129</v>
      </c>
      <c r="C256">
        <f>COUNTIFS(AnalizaCzyste[Moja satysfakcja z pracy na ocenianej uczelni jest wysoka.],B256,AnalizaCzyste[Czy jesteś aktualnie pracownikiem administracyjnym uczelni wyższej?],"*"&amp;"Tak"&amp;"*")</f>
        <v>0</v>
      </c>
      <c r="D256">
        <f t="shared" si="72"/>
        <v>0</v>
      </c>
      <c r="E256" s="44">
        <f t="shared" si="73"/>
        <v>33.0625</v>
      </c>
      <c r="F256">
        <f t="shared" si="74"/>
        <v>0</v>
      </c>
    </row>
    <row r="257" spans="1:11" x14ac:dyDescent="0.45">
      <c r="A257" t="s">
        <v>2329</v>
      </c>
      <c r="B257" t="s">
        <v>132</v>
      </c>
      <c r="C257">
        <f>COUNTIFS(AnalizaCzyste[Moja satysfakcja z pracy na ocenianej uczelni jest wysoka.],B257,AnalizaCzyste[Czy jesteś aktualnie pracownikiem administracyjnym uczelni wyższej?],"*"&amp;"Tak"&amp;"*")</f>
        <v>0</v>
      </c>
      <c r="D257">
        <f t="shared" si="72"/>
        <v>0</v>
      </c>
    </row>
    <row r="258" spans="1:11" x14ac:dyDescent="0.45">
      <c r="B258" s="20" t="s">
        <v>2351</v>
      </c>
      <c r="C258" s="29">
        <f>SUM(C250:C257)</f>
        <v>4</v>
      </c>
      <c r="D258" s="44">
        <f>SUM(D250:D256)/C259</f>
        <v>6.75</v>
      </c>
      <c r="E258" s="20" t="s">
        <v>2353</v>
      </c>
      <c r="F258" s="44">
        <f>SUM(F250:F257)/(C259-1)</f>
        <v>0.25</v>
      </c>
      <c r="G258" s="20" t="s">
        <v>2349</v>
      </c>
    </row>
    <row r="259" spans="1:11" x14ac:dyDescent="0.45">
      <c r="B259" s="20" t="s">
        <v>2352</v>
      </c>
      <c r="C259">
        <f>C258-C257</f>
        <v>4</v>
      </c>
      <c r="D259" s="33">
        <f>D258/7</f>
        <v>0.9642857142857143</v>
      </c>
      <c r="F259" s="44">
        <f>F258^(1/2)</f>
        <v>0.5</v>
      </c>
      <c r="G259" t="s">
        <v>2404</v>
      </c>
    </row>
    <row r="260" spans="1:11" x14ac:dyDescent="0.45">
      <c r="B260" s="20"/>
      <c r="D260" s="52" t="str">
        <f>VLOOKUP(D258,InterpretacjaŚredniej[],2,1)</f>
        <v>zdecydowanie się zgadzam</v>
      </c>
      <c r="E260">
        <f>D258-(K260*F259/SQRT(C259))</f>
        <v>5.954388423679073</v>
      </c>
      <c r="F260" s="45" t="str">
        <f>"&lt; m &lt;"</f>
        <v>&lt; m &lt;</v>
      </c>
      <c r="G260">
        <f>D258+(K260*F259/SQRT(C259))</f>
        <v>7.545611576320927</v>
      </c>
      <c r="H260" t="s">
        <v>2407</v>
      </c>
      <c r="I260">
        <v>0.05</v>
      </c>
      <c r="J260" s="20" t="s">
        <v>2417</v>
      </c>
      <c r="K260">
        <f>VLOOKUP($C$259-1,Tabl_tStudenta[],5,0)</f>
        <v>3.1824463052837091</v>
      </c>
    </row>
    <row r="261" spans="1:11" x14ac:dyDescent="0.45">
      <c r="B261" s="20"/>
      <c r="D261" s="33"/>
      <c r="F261" s="44"/>
      <c r="G261" s="42">
        <f>G260-E260</f>
        <v>1.5912231526418541</v>
      </c>
    </row>
    <row r="262" spans="1:11" x14ac:dyDescent="0.45">
      <c r="A262" s="29" t="s">
        <v>2376</v>
      </c>
      <c r="C262" t="s">
        <v>2348</v>
      </c>
      <c r="E262" s="20" t="s">
        <v>2362</v>
      </c>
      <c r="F262" s="20" t="s">
        <v>2363</v>
      </c>
    </row>
    <row r="263" spans="1:11" x14ac:dyDescent="0.45">
      <c r="A263">
        <v>7</v>
      </c>
      <c r="B263" t="s">
        <v>169</v>
      </c>
      <c r="C263">
        <f>COUNTIFS(AnalizaCzyste[Atmosfera w zespole współpracowników jest dobra.],B263,AnalizaCzyste[Czy jesteś aktualnie pracownikiem administracyjnym uczelni wyższej?],"*"&amp;"Tak"&amp;"*")</f>
        <v>2</v>
      </c>
      <c r="D263">
        <f>PRODUCT(A263,C263)</f>
        <v>14</v>
      </c>
      <c r="E263" s="44">
        <f>(A263-$D$271)^2</f>
        <v>0.5625</v>
      </c>
      <c r="F263">
        <f>PRODUCT(C263,E263)</f>
        <v>1.125</v>
      </c>
    </row>
    <row r="264" spans="1:11" x14ac:dyDescent="0.45">
      <c r="A264">
        <v>6</v>
      </c>
      <c r="B264" t="s">
        <v>150</v>
      </c>
      <c r="C264">
        <f>COUNTIFS(AnalizaCzyste[Atmosfera w zespole współpracowników jest dobra.],B264,AnalizaCzyste[Czy jesteś aktualnie pracownikiem administracyjnym uczelni wyższej?],"*"&amp;"Tak"&amp;"*")</f>
        <v>1</v>
      </c>
      <c r="D264">
        <f t="shared" ref="D264:D270" si="75">PRODUCT(A264,C264)</f>
        <v>6</v>
      </c>
      <c r="E264" s="44">
        <f t="shared" ref="E264:E269" si="76">(A264-$D$271)^2</f>
        <v>6.25E-2</v>
      </c>
      <c r="F264">
        <f t="shared" ref="F264:F269" si="77">PRODUCT(C264,E264)</f>
        <v>6.25E-2</v>
      </c>
    </row>
    <row r="265" spans="1:11" x14ac:dyDescent="0.45">
      <c r="A265">
        <v>5</v>
      </c>
      <c r="B265" t="s">
        <v>162</v>
      </c>
      <c r="C265">
        <f>COUNTIFS(AnalizaCzyste[Atmosfera w zespole współpracowników jest dobra.],B265,AnalizaCzyste[Czy jesteś aktualnie pracownikiem administracyjnym uczelni wyższej?],"*"&amp;"Tak"&amp;"*")</f>
        <v>1</v>
      </c>
      <c r="D265">
        <f t="shared" si="75"/>
        <v>5</v>
      </c>
      <c r="E265" s="44">
        <f t="shared" si="76"/>
        <v>1.5625</v>
      </c>
      <c r="F265">
        <f t="shared" si="77"/>
        <v>1.5625</v>
      </c>
    </row>
    <row r="266" spans="1:11" x14ac:dyDescent="0.45">
      <c r="A266">
        <v>4</v>
      </c>
      <c r="B266" t="s">
        <v>151</v>
      </c>
      <c r="C266">
        <f>COUNTIFS(AnalizaCzyste[Atmosfera w zespole współpracowników jest dobra.],B266,AnalizaCzyste[Czy jesteś aktualnie pracownikiem administracyjnym uczelni wyższej?],"*"&amp;"Tak"&amp;"*")</f>
        <v>0</v>
      </c>
      <c r="D266">
        <f t="shared" si="75"/>
        <v>0</v>
      </c>
      <c r="E266" s="44">
        <f t="shared" si="76"/>
        <v>5.0625</v>
      </c>
      <c r="F266">
        <f t="shared" si="77"/>
        <v>0</v>
      </c>
    </row>
    <row r="267" spans="1:11" x14ac:dyDescent="0.45">
      <c r="A267">
        <v>3</v>
      </c>
      <c r="B267" t="s">
        <v>128</v>
      </c>
      <c r="C267">
        <f>COUNTIFS(AnalizaCzyste[Atmosfera w zespole współpracowników jest dobra.],B267,AnalizaCzyste[Czy jesteś aktualnie pracownikiem administracyjnym uczelni wyższej?],"*"&amp;"Tak"&amp;"*")</f>
        <v>0</v>
      </c>
      <c r="D267">
        <f t="shared" si="75"/>
        <v>0</v>
      </c>
      <c r="E267" s="44">
        <f t="shared" si="76"/>
        <v>10.5625</v>
      </c>
      <c r="F267">
        <f t="shared" si="77"/>
        <v>0</v>
      </c>
    </row>
    <row r="268" spans="1:11" x14ac:dyDescent="0.45">
      <c r="A268">
        <v>2</v>
      </c>
      <c r="B268" t="s">
        <v>236</v>
      </c>
      <c r="C268">
        <f>COUNTIFS(AnalizaCzyste[Atmosfera w zespole współpracowników jest dobra.],B268,AnalizaCzyste[Czy jesteś aktualnie pracownikiem administracyjnym uczelni wyższej?],"*"&amp;"Tak"&amp;"*")</f>
        <v>0</v>
      </c>
      <c r="D268">
        <f t="shared" si="75"/>
        <v>0</v>
      </c>
      <c r="E268" s="44">
        <f t="shared" si="76"/>
        <v>18.0625</v>
      </c>
      <c r="F268">
        <f t="shared" si="77"/>
        <v>0</v>
      </c>
    </row>
    <row r="269" spans="1:11" x14ac:dyDescent="0.45">
      <c r="A269">
        <v>1</v>
      </c>
      <c r="B269" t="s">
        <v>129</v>
      </c>
      <c r="C269">
        <f>COUNTIFS(AnalizaCzyste[Atmosfera w zespole współpracowników jest dobra.],B269,AnalizaCzyste[Czy jesteś aktualnie pracownikiem administracyjnym uczelni wyższej?],"*"&amp;"Tak"&amp;"*")</f>
        <v>0</v>
      </c>
      <c r="D269">
        <f t="shared" si="75"/>
        <v>0</v>
      </c>
      <c r="E269" s="44">
        <f t="shared" si="76"/>
        <v>27.5625</v>
      </c>
      <c r="F269">
        <f t="shared" si="77"/>
        <v>0</v>
      </c>
    </row>
    <row r="270" spans="1:11" x14ac:dyDescent="0.45">
      <c r="A270" t="s">
        <v>2329</v>
      </c>
      <c r="B270" t="s">
        <v>132</v>
      </c>
      <c r="C270">
        <f>COUNTIFS(AnalizaCzyste[Moja satysfakcja z pracy na ocenianej uczelni jest wysoka.],B270,AnalizaCzyste[Czy jesteś aktualnie pracownikiem administracyjnym uczelni wyższej?],"*"&amp;"Tak"&amp;"*")</f>
        <v>0</v>
      </c>
      <c r="D270">
        <f t="shared" si="75"/>
        <v>0</v>
      </c>
    </row>
    <row r="271" spans="1:11" x14ac:dyDescent="0.45">
      <c r="B271" s="20" t="s">
        <v>2351</v>
      </c>
      <c r="C271" s="29">
        <f>SUM(C263:C270)</f>
        <v>4</v>
      </c>
      <c r="D271" s="44">
        <f>SUM(D263:D269)/C272</f>
        <v>6.25</v>
      </c>
      <c r="E271" s="20" t="s">
        <v>2353</v>
      </c>
      <c r="F271" s="44">
        <f>SUM(F263:F270)/(C272-1)</f>
        <v>0.91666666666666663</v>
      </c>
      <c r="G271" s="20" t="s">
        <v>2349</v>
      </c>
    </row>
    <row r="272" spans="1:11" x14ac:dyDescent="0.45">
      <c r="B272" s="20" t="s">
        <v>2352</v>
      </c>
      <c r="C272">
        <f>C271-C270</f>
        <v>4</v>
      </c>
      <c r="D272" s="33">
        <f>D271/7</f>
        <v>0.8928571428571429</v>
      </c>
      <c r="F272" s="44">
        <f>F271^(1/2)</f>
        <v>0.9574271077563381</v>
      </c>
      <c r="G272" t="s">
        <v>2404</v>
      </c>
    </row>
    <row r="273" spans="1:7" x14ac:dyDescent="0.45">
      <c r="B273" s="20"/>
      <c r="D273" s="33"/>
      <c r="F273" s="44"/>
    </row>
    <row r="274" spans="1:7" x14ac:dyDescent="0.45">
      <c r="A274" s="29" t="s">
        <v>2377</v>
      </c>
      <c r="C274" t="s">
        <v>2348</v>
      </c>
      <c r="E274" s="20" t="s">
        <v>2362</v>
      </c>
      <c r="F274" s="20" t="s">
        <v>2363</v>
      </c>
    </row>
    <row r="275" spans="1:7" x14ac:dyDescent="0.45">
      <c r="A275">
        <v>7</v>
      </c>
      <c r="B275" t="s">
        <v>169</v>
      </c>
      <c r="C275">
        <f>COUNTIFS(AnalizaCzyste[Moje zarobki są satysfakcjonujące.],B275,AnalizaCzyste[Czy jesteś aktualnie pracownikiem administracyjnym uczelni wyższej?],"*"&amp;"Tak"&amp;"*")</f>
        <v>3</v>
      </c>
      <c r="D275">
        <f>PRODUCT(A275,C275)</f>
        <v>21</v>
      </c>
      <c r="E275" s="44">
        <f>(A275-$D$283)^2</f>
        <v>1</v>
      </c>
      <c r="F275">
        <f>PRODUCT(C275,E275)</f>
        <v>3</v>
      </c>
    </row>
    <row r="276" spans="1:7" x14ac:dyDescent="0.45">
      <c r="A276">
        <v>6</v>
      </c>
      <c r="B276" t="s">
        <v>150</v>
      </c>
      <c r="C276">
        <f>COUNTIFS(AnalizaCzyste[Moje zarobki są satysfakcjonujące.],B276,AnalizaCzyste[Czy jesteś aktualnie pracownikiem administracyjnym uczelni wyższej?],"*"&amp;"Tak"&amp;"*")</f>
        <v>0</v>
      </c>
      <c r="D276">
        <f t="shared" ref="D276:D282" si="78">PRODUCT(A276,C276)</f>
        <v>0</v>
      </c>
      <c r="E276" s="44">
        <f t="shared" ref="E276:E281" si="79">(A276-$D$283)^2</f>
        <v>0</v>
      </c>
      <c r="F276">
        <f t="shared" ref="F276:F281" si="80">PRODUCT(C276,E276)</f>
        <v>0</v>
      </c>
    </row>
    <row r="277" spans="1:7" x14ac:dyDescent="0.45">
      <c r="A277">
        <v>5</v>
      </c>
      <c r="B277" t="s">
        <v>162</v>
      </c>
      <c r="C277">
        <f>COUNTIFS(AnalizaCzyste[Moje zarobki są satysfakcjonujące.],B277,AnalizaCzyste[Czy jesteś aktualnie pracownikiem administracyjnym uczelni wyższej?],"*"&amp;"Tak"&amp;"*")</f>
        <v>0</v>
      </c>
      <c r="D277">
        <f t="shared" si="78"/>
        <v>0</v>
      </c>
      <c r="E277" s="44">
        <f t="shared" si="79"/>
        <v>1</v>
      </c>
      <c r="F277">
        <f t="shared" si="80"/>
        <v>0</v>
      </c>
    </row>
    <row r="278" spans="1:7" x14ac:dyDescent="0.45">
      <c r="A278">
        <v>4</v>
      </c>
      <c r="B278" t="s">
        <v>151</v>
      </c>
      <c r="C278">
        <f>COUNTIFS(AnalizaCzyste[Moje zarobki są satysfakcjonujące.],B278,AnalizaCzyste[Czy jesteś aktualnie pracownikiem administracyjnym uczelni wyższej?],"*"&amp;"Tak"&amp;"*")</f>
        <v>0</v>
      </c>
      <c r="D278">
        <f t="shared" si="78"/>
        <v>0</v>
      </c>
      <c r="E278" s="44">
        <f t="shared" si="79"/>
        <v>4</v>
      </c>
      <c r="F278">
        <f t="shared" si="80"/>
        <v>0</v>
      </c>
    </row>
    <row r="279" spans="1:7" x14ac:dyDescent="0.45">
      <c r="A279">
        <v>3</v>
      </c>
      <c r="B279" t="s">
        <v>128</v>
      </c>
      <c r="C279">
        <f>COUNTIFS(AnalizaCzyste[Moje zarobki są satysfakcjonujące.],B279,AnalizaCzyste[Czy jesteś aktualnie pracownikiem administracyjnym uczelni wyższej?],"*"&amp;"Tak"&amp;"*")</f>
        <v>1</v>
      </c>
      <c r="D279">
        <f t="shared" si="78"/>
        <v>3</v>
      </c>
      <c r="E279" s="44">
        <f t="shared" si="79"/>
        <v>9</v>
      </c>
      <c r="F279">
        <f t="shared" si="80"/>
        <v>9</v>
      </c>
    </row>
    <row r="280" spans="1:7" x14ac:dyDescent="0.45">
      <c r="A280">
        <v>2</v>
      </c>
      <c r="B280" t="s">
        <v>236</v>
      </c>
      <c r="C280">
        <f>COUNTIFS(AnalizaCzyste[Moje zarobki są satysfakcjonujące.],B280,AnalizaCzyste[Czy jesteś aktualnie pracownikiem administracyjnym uczelni wyższej?],"*"&amp;"Tak"&amp;"*")</f>
        <v>0</v>
      </c>
      <c r="D280">
        <f t="shared" si="78"/>
        <v>0</v>
      </c>
      <c r="E280" s="44">
        <f t="shared" si="79"/>
        <v>16</v>
      </c>
      <c r="F280">
        <f t="shared" si="80"/>
        <v>0</v>
      </c>
    </row>
    <row r="281" spans="1:7" x14ac:dyDescent="0.45">
      <c r="A281">
        <v>1</v>
      </c>
      <c r="B281" t="s">
        <v>129</v>
      </c>
      <c r="C281">
        <f>COUNTIFS(AnalizaCzyste[Moje zarobki są satysfakcjonujące.],B281,AnalizaCzyste[Czy jesteś aktualnie pracownikiem administracyjnym uczelni wyższej?],"*"&amp;"Tak"&amp;"*")</f>
        <v>0</v>
      </c>
      <c r="D281">
        <f t="shared" si="78"/>
        <v>0</v>
      </c>
      <c r="E281" s="44">
        <f t="shared" si="79"/>
        <v>25</v>
      </c>
      <c r="F281">
        <f t="shared" si="80"/>
        <v>0</v>
      </c>
    </row>
    <row r="282" spans="1:7" x14ac:dyDescent="0.45">
      <c r="A282" t="s">
        <v>2329</v>
      </c>
      <c r="B282" t="s">
        <v>132</v>
      </c>
      <c r="C282">
        <f>COUNTIFS(AnalizaCzyste[Moje zarobki są satysfakcjonujące.],B282,AnalizaCzyste[Czy jesteś aktualnie pracownikiem administracyjnym uczelni wyższej?],"*"&amp;"Tak"&amp;"*")</f>
        <v>0</v>
      </c>
      <c r="D282">
        <f t="shared" si="78"/>
        <v>0</v>
      </c>
    </row>
    <row r="283" spans="1:7" x14ac:dyDescent="0.45">
      <c r="B283" s="20" t="s">
        <v>2351</v>
      </c>
      <c r="C283" s="29">
        <f>SUM(C275:C282)</f>
        <v>4</v>
      </c>
      <c r="D283" s="44">
        <f>SUM(D275:D281)/C284</f>
        <v>6</v>
      </c>
      <c r="E283" s="20" t="s">
        <v>2353</v>
      </c>
      <c r="F283" s="44">
        <f>SUM(F275:F282)/(C284-1)</f>
        <v>4</v>
      </c>
      <c r="G283" s="20" t="s">
        <v>2349</v>
      </c>
    </row>
    <row r="284" spans="1:7" x14ac:dyDescent="0.45">
      <c r="B284" s="20" t="s">
        <v>2352</v>
      </c>
      <c r="C284">
        <f>C283-C282</f>
        <v>4</v>
      </c>
      <c r="D284" s="33">
        <f>D283/7</f>
        <v>0.8571428571428571</v>
      </c>
      <c r="F284" s="44">
        <f>F283^(1/2)</f>
        <v>2</v>
      </c>
      <c r="G284" t="s">
        <v>2404</v>
      </c>
    </row>
    <row r="285" spans="1:7" x14ac:dyDescent="0.45">
      <c r="B285" s="20"/>
      <c r="D285" s="33"/>
      <c r="F285" s="44"/>
    </row>
    <row r="286" spans="1:7" x14ac:dyDescent="0.45">
      <c r="A286" s="29" t="s">
        <v>2378</v>
      </c>
      <c r="C286" t="s">
        <v>2348</v>
      </c>
      <c r="E286" s="20" t="s">
        <v>2362</v>
      </c>
      <c r="F286" s="20" t="s">
        <v>2363</v>
      </c>
    </row>
    <row r="287" spans="1:7" x14ac:dyDescent="0.45">
      <c r="A287">
        <v>7</v>
      </c>
      <c r="B287" t="s">
        <v>169</v>
      </c>
      <c r="C287">
        <f>COUNTIFS(AnalizaCzyste[Praca na ocenianej uczelni daje mi duże szanse rozwoju.],B287,AnalizaCzyste[Czy jesteś aktualnie pracownikiem administracyjnym uczelni wyższej?],"*"&amp;"Tak"&amp;"*")</f>
        <v>3</v>
      </c>
      <c r="D287">
        <f>PRODUCT(A287,C287)</f>
        <v>21</v>
      </c>
      <c r="E287" s="44">
        <f>(A287-$D$295)^2</f>
        <v>6.25E-2</v>
      </c>
      <c r="F287">
        <f>PRODUCT(C287,E287)</f>
        <v>0.1875</v>
      </c>
    </row>
    <row r="288" spans="1:7" x14ac:dyDescent="0.45">
      <c r="A288">
        <v>6</v>
      </c>
      <c r="B288" t="s">
        <v>150</v>
      </c>
      <c r="C288">
        <f>COUNTIFS(AnalizaCzyste[Praca na ocenianej uczelni daje mi duże szanse rozwoju.],B288,AnalizaCzyste[Czy jesteś aktualnie pracownikiem administracyjnym uczelni wyższej?],"*"&amp;"Tak"&amp;"*")</f>
        <v>1</v>
      </c>
      <c r="D288">
        <f t="shared" ref="D288:D294" si="81">PRODUCT(A288,C288)</f>
        <v>6</v>
      </c>
      <c r="E288" s="44">
        <f t="shared" ref="E288:E293" si="82">(A288-$D$295)^2</f>
        <v>0.5625</v>
      </c>
      <c r="F288">
        <f t="shared" ref="F288:F293" si="83">PRODUCT(C288,E288)</f>
        <v>0.5625</v>
      </c>
    </row>
    <row r="289" spans="1:7" x14ac:dyDescent="0.45">
      <c r="A289">
        <v>5</v>
      </c>
      <c r="B289" t="s">
        <v>162</v>
      </c>
      <c r="C289">
        <f>COUNTIFS(AnalizaCzyste[Praca na ocenianej uczelni daje mi duże szanse rozwoju.],B289,AnalizaCzyste[Czy jesteś aktualnie pracownikiem administracyjnym uczelni wyższej?],"*"&amp;"Tak"&amp;"*")</f>
        <v>0</v>
      </c>
      <c r="D289">
        <f t="shared" si="81"/>
        <v>0</v>
      </c>
      <c r="E289" s="44">
        <f t="shared" si="82"/>
        <v>3.0625</v>
      </c>
      <c r="F289">
        <f t="shared" si="83"/>
        <v>0</v>
      </c>
    </row>
    <row r="290" spans="1:7" x14ac:dyDescent="0.45">
      <c r="A290">
        <v>4</v>
      </c>
      <c r="B290" t="s">
        <v>151</v>
      </c>
      <c r="C290">
        <f>COUNTIFS(AnalizaCzyste[Praca na ocenianej uczelni daje mi duże szanse rozwoju.],B290,AnalizaCzyste[Czy jesteś aktualnie pracownikiem administracyjnym uczelni wyższej?],"*"&amp;"Tak"&amp;"*")</f>
        <v>0</v>
      </c>
      <c r="D290">
        <f t="shared" si="81"/>
        <v>0</v>
      </c>
      <c r="E290" s="44">
        <f t="shared" si="82"/>
        <v>7.5625</v>
      </c>
      <c r="F290">
        <f t="shared" si="83"/>
        <v>0</v>
      </c>
    </row>
    <row r="291" spans="1:7" x14ac:dyDescent="0.45">
      <c r="A291">
        <v>3</v>
      </c>
      <c r="B291" t="s">
        <v>128</v>
      </c>
      <c r="C291">
        <f>COUNTIFS(AnalizaCzyste[Praca na ocenianej uczelni daje mi duże szanse rozwoju.],B291,AnalizaCzyste[Czy jesteś aktualnie pracownikiem administracyjnym uczelni wyższej?],"*"&amp;"Tak"&amp;"*")</f>
        <v>0</v>
      </c>
      <c r="D291">
        <f t="shared" si="81"/>
        <v>0</v>
      </c>
      <c r="E291" s="44">
        <f t="shared" si="82"/>
        <v>14.0625</v>
      </c>
      <c r="F291">
        <f t="shared" si="83"/>
        <v>0</v>
      </c>
    </row>
    <row r="292" spans="1:7" x14ac:dyDescent="0.45">
      <c r="A292">
        <v>2</v>
      </c>
      <c r="B292" t="s">
        <v>236</v>
      </c>
      <c r="C292">
        <f>COUNTIFS(AnalizaCzyste[Praca na ocenianej uczelni daje mi duże szanse rozwoju.],B292,AnalizaCzyste[Czy jesteś aktualnie pracownikiem administracyjnym uczelni wyższej?],"*"&amp;"Tak"&amp;"*")</f>
        <v>0</v>
      </c>
      <c r="D292">
        <f t="shared" si="81"/>
        <v>0</v>
      </c>
      <c r="E292" s="44">
        <f t="shared" si="82"/>
        <v>22.5625</v>
      </c>
      <c r="F292">
        <f t="shared" si="83"/>
        <v>0</v>
      </c>
    </row>
    <row r="293" spans="1:7" x14ac:dyDescent="0.45">
      <c r="A293">
        <v>1</v>
      </c>
      <c r="B293" t="s">
        <v>129</v>
      </c>
      <c r="C293">
        <f>COUNTIFS(AnalizaCzyste[Praca na ocenianej uczelni daje mi duże szanse rozwoju.],B293,AnalizaCzyste[Czy jesteś aktualnie pracownikiem administracyjnym uczelni wyższej?],"*"&amp;"Tak"&amp;"*")</f>
        <v>0</v>
      </c>
      <c r="D293">
        <f t="shared" si="81"/>
        <v>0</v>
      </c>
      <c r="E293" s="44">
        <f t="shared" si="82"/>
        <v>33.0625</v>
      </c>
      <c r="F293">
        <f t="shared" si="83"/>
        <v>0</v>
      </c>
    </row>
    <row r="294" spans="1:7" x14ac:dyDescent="0.45">
      <c r="A294" t="s">
        <v>2329</v>
      </c>
      <c r="B294" t="s">
        <v>132</v>
      </c>
      <c r="C294">
        <f>COUNTIFS(AnalizaCzyste[Praca na ocenianej uczelni daje mi duże szanse rozwoju.],B294,AnalizaCzyste[Czy jesteś aktualnie pracownikiem administracyjnym uczelni wyższej?],"*"&amp;"Tak"&amp;"*")</f>
        <v>0</v>
      </c>
      <c r="D294">
        <f t="shared" si="81"/>
        <v>0</v>
      </c>
    </row>
    <row r="295" spans="1:7" x14ac:dyDescent="0.45">
      <c r="B295" s="20" t="s">
        <v>2351</v>
      </c>
      <c r="C295" s="29">
        <f>SUM(C287:C294)</f>
        <v>4</v>
      </c>
      <c r="D295" s="44">
        <f>SUM(D287:D293)/C296</f>
        <v>6.75</v>
      </c>
      <c r="E295" s="20" t="s">
        <v>2353</v>
      </c>
      <c r="F295" s="44">
        <f>SUM(F287:F294)/(C296-1)</f>
        <v>0.25</v>
      </c>
      <c r="G295" s="20" t="s">
        <v>2349</v>
      </c>
    </row>
    <row r="296" spans="1:7" x14ac:dyDescent="0.45">
      <c r="B296" s="20" t="s">
        <v>2352</v>
      </c>
      <c r="C296">
        <f>C295-C294</f>
        <v>4</v>
      </c>
      <c r="D296" s="33">
        <f>D295/7</f>
        <v>0.9642857142857143</v>
      </c>
      <c r="F296" s="44">
        <f>F295^(1/2)</f>
        <v>0.5</v>
      </c>
      <c r="G296" t="s">
        <v>2404</v>
      </c>
    </row>
    <row r="297" spans="1:7" x14ac:dyDescent="0.45">
      <c r="B297" s="20"/>
      <c r="D297" s="33"/>
      <c r="F297" s="44"/>
    </row>
    <row r="298" spans="1:7" x14ac:dyDescent="0.45">
      <c r="A298" s="29" t="s">
        <v>2378</v>
      </c>
      <c r="C298" t="s">
        <v>2348</v>
      </c>
      <c r="E298" s="20" t="s">
        <v>2362</v>
      </c>
      <c r="F298" s="20" t="s">
        <v>2363</v>
      </c>
    </row>
    <row r="299" spans="1:7" x14ac:dyDescent="0.45">
      <c r="A299">
        <v>7</v>
      </c>
      <c r="B299" t="s">
        <v>169</v>
      </c>
      <c r="C299">
        <f>COUNTIFS(AnalizaCzyste[Wartość wykształcenia zdobywanego przez studentów ocenianej uczelni jest wysoka.],B299,AnalizaCzyste[Czy jesteś aktualnie pracownikiem administracyjnym uczelni wyższej?],"*"&amp;"Tak"&amp;"*")</f>
        <v>2</v>
      </c>
      <c r="D299">
        <f>PRODUCT(A299,C299)</f>
        <v>14</v>
      </c>
      <c r="E299" s="44">
        <f>(A299-$D$307)^2</f>
        <v>0.25</v>
      </c>
      <c r="F299">
        <f>PRODUCT(C299,E299)</f>
        <v>0.5</v>
      </c>
    </row>
    <row r="300" spans="1:7" x14ac:dyDescent="0.45">
      <c r="A300">
        <v>6</v>
      </c>
      <c r="B300" t="s">
        <v>150</v>
      </c>
      <c r="C300">
        <f>COUNTIFS(AnalizaCzyste[Wartość wykształcenia zdobywanego przez studentów ocenianej uczelni jest wysoka.],B300,AnalizaCzyste[Czy jesteś aktualnie pracownikiem administracyjnym uczelni wyższej?],"*"&amp;"Tak"&amp;"*")</f>
        <v>2</v>
      </c>
      <c r="D300">
        <f t="shared" ref="D300:D306" si="84">PRODUCT(A300,C300)</f>
        <v>12</v>
      </c>
      <c r="E300" s="44">
        <f t="shared" ref="E300:E305" si="85">(A300-$D$307)^2</f>
        <v>0.25</v>
      </c>
      <c r="F300">
        <f t="shared" ref="F300:F305" si="86">PRODUCT(C300,E300)</f>
        <v>0.5</v>
      </c>
    </row>
    <row r="301" spans="1:7" x14ac:dyDescent="0.45">
      <c r="A301">
        <v>5</v>
      </c>
      <c r="B301" t="s">
        <v>162</v>
      </c>
      <c r="C301">
        <f>COUNTIFS(AnalizaCzyste[Wartość wykształcenia zdobywanego przez studentów ocenianej uczelni jest wysoka.],B301,AnalizaCzyste[Czy jesteś aktualnie pracownikiem administracyjnym uczelni wyższej?],"*"&amp;"Tak"&amp;"*")</f>
        <v>0</v>
      </c>
      <c r="D301">
        <f t="shared" si="84"/>
        <v>0</v>
      </c>
      <c r="E301" s="44">
        <f t="shared" si="85"/>
        <v>2.25</v>
      </c>
      <c r="F301">
        <f t="shared" si="86"/>
        <v>0</v>
      </c>
    </row>
    <row r="302" spans="1:7" x14ac:dyDescent="0.45">
      <c r="A302">
        <v>4</v>
      </c>
      <c r="B302" t="s">
        <v>151</v>
      </c>
      <c r="C302">
        <f>COUNTIFS(AnalizaCzyste[Wartość wykształcenia zdobywanego przez studentów ocenianej uczelni jest wysoka.],B302,AnalizaCzyste[Czy jesteś aktualnie pracownikiem administracyjnym uczelni wyższej?],"*"&amp;"Tak"&amp;"*")</f>
        <v>0</v>
      </c>
      <c r="D302">
        <f t="shared" si="84"/>
        <v>0</v>
      </c>
      <c r="E302" s="44">
        <f t="shared" si="85"/>
        <v>6.25</v>
      </c>
      <c r="F302">
        <f t="shared" si="86"/>
        <v>0</v>
      </c>
    </row>
    <row r="303" spans="1:7" x14ac:dyDescent="0.45">
      <c r="A303">
        <v>3</v>
      </c>
      <c r="B303" t="s">
        <v>128</v>
      </c>
      <c r="C303">
        <f>COUNTIFS(AnalizaCzyste[Wartość wykształcenia zdobywanego przez studentów ocenianej uczelni jest wysoka.],B303,AnalizaCzyste[Czy jesteś aktualnie pracownikiem administracyjnym uczelni wyższej?],"*"&amp;"Tak"&amp;"*")</f>
        <v>0</v>
      </c>
      <c r="D303">
        <f t="shared" si="84"/>
        <v>0</v>
      </c>
      <c r="E303" s="44">
        <f t="shared" si="85"/>
        <v>12.25</v>
      </c>
      <c r="F303">
        <f t="shared" si="86"/>
        <v>0</v>
      </c>
    </row>
    <row r="304" spans="1:7" x14ac:dyDescent="0.45">
      <c r="A304">
        <v>2</v>
      </c>
      <c r="B304" t="s">
        <v>236</v>
      </c>
      <c r="C304">
        <f>COUNTIFS(AnalizaCzyste[Wartość wykształcenia zdobywanego przez studentów ocenianej uczelni jest wysoka.],B304,AnalizaCzyste[Czy jesteś aktualnie pracownikiem administracyjnym uczelni wyższej?],"*"&amp;"Tak"&amp;"*")</f>
        <v>0</v>
      </c>
      <c r="D304">
        <f t="shared" si="84"/>
        <v>0</v>
      </c>
      <c r="E304" s="44">
        <f t="shared" si="85"/>
        <v>20.25</v>
      </c>
      <c r="F304">
        <f t="shared" si="86"/>
        <v>0</v>
      </c>
    </row>
    <row r="305" spans="1:7" x14ac:dyDescent="0.45">
      <c r="A305">
        <v>1</v>
      </c>
      <c r="B305" t="s">
        <v>129</v>
      </c>
      <c r="C305">
        <f>COUNTIFS(AnalizaCzyste[Wartość wykształcenia zdobywanego przez studentów ocenianej uczelni jest wysoka.],B305,AnalizaCzyste[Czy jesteś aktualnie pracownikiem administracyjnym uczelni wyższej?],"*"&amp;"Tak"&amp;"*")</f>
        <v>0</v>
      </c>
      <c r="D305">
        <f t="shared" si="84"/>
        <v>0</v>
      </c>
      <c r="E305" s="44">
        <f t="shared" si="85"/>
        <v>30.25</v>
      </c>
      <c r="F305">
        <f t="shared" si="86"/>
        <v>0</v>
      </c>
    </row>
    <row r="306" spans="1:7" x14ac:dyDescent="0.45">
      <c r="A306" t="s">
        <v>2329</v>
      </c>
      <c r="B306" t="s">
        <v>132</v>
      </c>
      <c r="C306">
        <f>COUNTIFS(AnalizaCzyste[Wartość wykształcenia zdobywanego przez studentów ocenianej uczelni jest wysoka.],B306,AnalizaCzyste[Czy jesteś aktualnie pracownikiem administracyjnym uczelni wyższej?],"*"&amp;"Tak"&amp;"*")</f>
        <v>0</v>
      </c>
      <c r="D306">
        <f t="shared" si="84"/>
        <v>0</v>
      </c>
    </row>
    <row r="307" spans="1:7" x14ac:dyDescent="0.45">
      <c r="B307" s="20" t="s">
        <v>2351</v>
      </c>
      <c r="C307" s="29">
        <f>SUM(C299:C306)</f>
        <v>4</v>
      </c>
      <c r="D307" s="44">
        <f>SUM(D299:D305)/C308</f>
        <v>6.5</v>
      </c>
      <c r="E307" s="20" t="s">
        <v>2353</v>
      </c>
      <c r="F307" s="44">
        <f>SUM(F299:F306)/(C308-1)</f>
        <v>0.33333333333333331</v>
      </c>
      <c r="G307" s="20" t="s">
        <v>2349</v>
      </c>
    </row>
    <row r="308" spans="1:7" x14ac:dyDescent="0.45">
      <c r="B308" s="20" t="s">
        <v>2352</v>
      </c>
      <c r="C308">
        <f>C307-C306</f>
        <v>4</v>
      </c>
      <c r="D308" s="33">
        <f>D307/7</f>
        <v>0.9285714285714286</v>
      </c>
      <c r="F308" s="44">
        <f>F307^(1/2)</f>
        <v>0.57735026918962573</v>
      </c>
      <c r="G308" t="s">
        <v>2404</v>
      </c>
    </row>
    <row r="309" spans="1:7" x14ac:dyDescent="0.45">
      <c r="B309" s="20"/>
      <c r="D309" s="33"/>
      <c r="F309" s="44"/>
    </row>
    <row r="310" spans="1:7" x14ac:dyDescent="0.45">
      <c r="A310" s="29" t="s">
        <v>2378</v>
      </c>
      <c r="C310" t="s">
        <v>2348</v>
      </c>
      <c r="E310" s="20" t="s">
        <v>2362</v>
      </c>
      <c r="F310" s="20" t="s">
        <v>2363</v>
      </c>
    </row>
    <row r="311" spans="1:7" x14ac:dyDescent="0.45">
      <c r="A311">
        <v>7</v>
      </c>
      <c r="B311" t="s">
        <v>169</v>
      </c>
      <c r="C311">
        <f>COUNTIFS(AnalizaCzyste[Zdobyte na ocenianej uczelni wykształcenie ma pozytywny wpływ na zwiększenie zarobków absolwentów.],B311,AnalizaCzyste[Czy jesteś aktualnie pracownikiem administracyjnym uczelni wyższej?],"*"&amp;"Tak"&amp;"*")</f>
        <v>2</v>
      </c>
      <c r="D311">
        <f>PRODUCT(A311,C311)</f>
        <v>14</v>
      </c>
      <c r="E311" s="44">
        <f>(A311-$D$319)^2</f>
        <v>0.25</v>
      </c>
      <c r="F311">
        <f>PRODUCT(C311,E311)</f>
        <v>0.5</v>
      </c>
    </row>
    <row r="312" spans="1:7" x14ac:dyDescent="0.45">
      <c r="A312">
        <v>6</v>
      </c>
      <c r="B312" t="s">
        <v>150</v>
      </c>
      <c r="C312">
        <f>COUNTIFS(AnalizaCzyste[Zdobyte na ocenianej uczelni wykształcenie ma pozytywny wpływ na zwiększenie zarobków absolwentów.],B312,AnalizaCzyste[Czy jesteś aktualnie pracownikiem administracyjnym uczelni wyższej?],"*"&amp;"Tak"&amp;"*")</f>
        <v>2</v>
      </c>
      <c r="D312">
        <f t="shared" ref="D312:D318" si="87">PRODUCT(A312,C312)</f>
        <v>12</v>
      </c>
      <c r="E312" s="44">
        <f t="shared" ref="E312:E317" si="88">(A312-$D$319)^2</f>
        <v>0.25</v>
      </c>
      <c r="F312">
        <f t="shared" ref="F312:F317" si="89">PRODUCT(C312,E312)</f>
        <v>0.5</v>
      </c>
    </row>
    <row r="313" spans="1:7" x14ac:dyDescent="0.45">
      <c r="A313">
        <v>5</v>
      </c>
      <c r="B313" t="s">
        <v>162</v>
      </c>
      <c r="C313">
        <f>COUNTIFS(AnalizaCzyste[Zdobyte na ocenianej uczelni wykształcenie ma pozytywny wpływ na zwiększenie zarobków absolwentów.],B313,AnalizaCzyste[Czy jesteś aktualnie pracownikiem administracyjnym uczelni wyższej?],"*"&amp;"Tak"&amp;"*")</f>
        <v>0</v>
      </c>
      <c r="D313">
        <f t="shared" si="87"/>
        <v>0</v>
      </c>
      <c r="E313" s="44">
        <f t="shared" si="88"/>
        <v>2.25</v>
      </c>
      <c r="F313">
        <f t="shared" si="89"/>
        <v>0</v>
      </c>
    </row>
    <row r="314" spans="1:7" x14ac:dyDescent="0.45">
      <c r="A314">
        <v>4</v>
      </c>
      <c r="B314" t="s">
        <v>151</v>
      </c>
      <c r="C314">
        <f>COUNTIFS(AnalizaCzyste[Zdobyte na ocenianej uczelni wykształcenie ma pozytywny wpływ na zwiększenie zarobków absolwentów.],B314,AnalizaCzyste[Czy jesteś aktualnie pracownikiem administracyjnym uczelni wyższej?],"*"&amp;"Tak"&amp;"*")</f>
        <v>0</v>
      </c>
      <c r="D314">
        <f t="shared" si="87"/>
        <v>0</v>
      </c>
      <c r="E314" s="44">
        <f t="shared" si="88"/>
        <v>6.25</v>
      </c>
      <c r="F314">
        <f t="shared" si="89"/>
        <v>0</v>
      </c>
    </row>
    <row r="315" spans="1:7" x14ac:dyDescent="0.45">
      <c r="A315">
        <v>3</v>
      </c>
      <c r="B315" t="s">
        <v>128</v>
      </c>
      <c r="C315">
        <f>COUNTIFS(AnalizaCzyste[Zdobyte na ocenianej uczelni wykształcenie ma pozytywny wpływ na zwiększenie zarobków absolwentów.],B315,AnalizaCzyste[Czy jesteś aktualnie pracownikiem administracyjnym uczelni wyższej?],"*"&amp;"Tak"&amp;"*")</f>
        <v>0</v>
      </c>
      <c r="D315">
        <f t="shared" si="87"/>
        <v>0</v>
      </c>
      <c r="E315" s="44">
        <f t="shared" si="88"/>
        <v>12.25</v>
      </c>
      <c r="F315">
        <f t="shared" si="89"/>
        <v>0</v>
      </c>
    </row>
    <row r="316" spans="1:7" x14ac:dyDescent="0.45">
      <c r="A316">
        <v>2</v>
      </c>
      <c r="B316" t="s">
        <v>236</v>
      </c>
      <c r="C316">
        <f>COUNTIFS(AnalizaCzyste[Zdobyte na ocenianej uczelni wykształcenie ma pozytywny wpływ na zwiększenie zarobków absolwentów.],B316,AnalizaCzyste[Czy jesteś aktualnie pracownikiem administracyjnym uczelni wyższej?],"*"&amp;"Tak"&amp;"*")</f>
        <v>0</v>
      </c>
      <c r="D316">
        <f t="shared" si="87"/>
        <v>0</v>
      </c>
      <c r="E316" s="44">
        <f t="shared" si="88"/>
        <v>20.25</v>
      </c>
      <c r="F316">
        <f t="shared" si="89"/>
        <v>0</v>
      </c>
    </row>
    <row r="317" spans="1:7" x14ac:dyDescent="0.45">
      <c r="A317">
        <v>1</v>
      </c>
      <c r="B317" t="s">
        <v>129</v>
      </c>
      <c r="C317">
        <f>COUNTIFS(AnalizaCzyste[Zdobyte na ocenianej uczelni wykształcenie ma pozytywny wpływ na zwiększenie zarobków absolwentów.],B317,AnalizaCzyste[Czy jesteś aktualnie pracownikiem administracyjnym uczelni wyższej?],"*"&amp;"Tak"&amp;"*")</f>
        <v>0</v>
      </c>
      <c r="D317">
        <f t="shared" si="87"/>
        <v>0</v>
      </c>
      <c r="E317" s="44">
        <f t="shared" si="88"/>
        <v>30.25</v>
      </c>
      <c r="F317">
        <f t="shared" si="89"/>
        <v>0</v>
      </c>
    </row>
    <row r="318" spans="1:7" x14ac:dyDescent="0.45">
      <c r="A318" t="s">
        <v>2329</v>
      </c>
      <c r="B318" t="s">
        <v>132</v>
      </c>
      <c r="C318">
        <f>COUNTIFS(AnalizaCzyste[Zdobyte na ocenianej uczelni wykształcenie ma pozytywny wpływ na zwiększenie zarobków absolwentów.],B318,AnalizaCzyste[Czy jesteś aktualnie pracownikiem administracyjnym uczelni wyższej?],"*"&amp;"Tak"&amp;"*")</f>
        <v>0</v>
      </c>
      <c r="D318">
        <f t="shared" si="87"/>
        <v>0</v>
      </c>
    </row>
    <row r="319" spans="1:7" x14ac:dyDescent="0.45">
      <c r="B319" s="20" t="s">
        <v>2351</v>
      </c>
      <c r="C319" s="29">
        <f>SUM(C311:C318)</f>
        <v>4</v>
      </c>
      <c r="D319" s="44">
        <f>SUM(D311:D317)/C320</f>
        <v>6.5</v>
      </c>
      <c r="E319" s="20" t="s">
        <v>2353</v>
      </c>
      <c r="F319" s="44">
        <f>SUM(F311:F318)/(C320-1)</f>
        <v>0.33333333333333331</v>
      </c>
      <c r="G319" s="20" t="s">
        <v>2349</v>
      </c>
    </row>
    <row r="320" spans="1:7" x14ac:dyDescent="0.45">
      <c r="B320" s="20" t="s">
        <v>2352</v>
      </c>
      <c r="C320">
        <f>C319-C318</f>
        <v>4</v>
      </c>
      <c r="D320" s="33">
        <f>D319/7</f>
        <v>0.9285714285714286</v>
      </c>
      <c r="F320" s="44">
        <f>F319^(1/2)</f>
        <v>0.57735026918962573</v>
      </c>
      <c r="G320" t="s">
        <v>2404</v>
      </c>
    </row>
    <row r="322" spans="1:15" x14ac:dyDescent="0.45">
      <c r="A322" s="29" t="s">
        <v>2356</v>
      </c>
      <c r="C322" t="s">
        <v>2348</v>
      </c>
      <c r="E322" s="20" t="s">
        <v>2362</v>
      </c>
      <c r="F322" s="20" t="s">
        <v>2363</v>
      </c>
      <c r="G322" s="20" t="s">
        <v>2430</v>
      </c>
      <c r="H322" s="20" t="s">
        <v>2418</v>
      </c>
      <c r="I322" s="20" t="s">
        <v>2419</v>
      </c>
      <c r="J322" s="20" t="s">
        <v>2420</v>
      </c>
      <c r="K322" s="20" t="s">
        <v>2421</v>
      </c>
      <c r="L322" s="20" t="s">
        <v>2422</v>
      </c>
      <c r="M322" s="20" t="s">
        <v>2423</v>
      </c>
      <c r="N322" s="20" t="s">
        <v>2424</v>
      </c>
    </row>
    <row r="323" spans="1:15" x14ac:dyDescent="0.45">
      <c r="A323">
        <v>7</v>
      </c>
      <c r="B323" t="s">
        <v>169</v>
      </c>
      <c r="C323">
        <f>COUNTIFS(AnalizaCzyste[Moja satysfakcja z pracy na ocenianej uczelni jest wysoka.42],B323,AnalizaCzyste[Czy jesteś aktualnie pracownikiem naukowym lub dydaktycznym uczelni wyższej?],"*"&amp;"Tak"&amp;"*")</f>
        <v>5</v>
      </c>
      <c r="D323">
        <f>PRODUCT(A323,C323)</f>
        <v>35</v>
      </c>
      <c r="E323" s="44">
        <f>(A323-$D$331)^2</f>
        <v>0.49000000000000027</v>
      </c>
      <c r="F323">
        <f>PRODUCT(C323,E323)</f>
        <v>2.4500000000000015</v>
      </c>
      <c r="G323" s="44">
        <f>VLOOKUP(A323,TabeleGrup!$C$45:$D$51,2,0)</f>
        <v>6.9999999999999991</v>
      </c>
      <c r="H323" s="44">
        <f>(G323-$D$331)/$F$332</f>
        <v>0.85026514668786091</v>
      </c>
      <c r="I323" s="44">
        <f>NORMDIST(H323,0,1,1)</f>
        <v>0.80241115534308094</v>
      </c>
      <c r="J323" s="44">
        <f>I323-I324</f>
        <v>0.3780997244510198</v>
      </c>
      <c r="K323" s="44">
        <f>$C$332*J323</f>
        <v>3.780997244510198</v>
      </c>
      <c r="L323" s="44">
        <f>C323-K323</f>
        <v>1.219002755489802</v>
      </c>
      <c r="M323" s="44">
        <f>L323^2</f>
        <v>1.4859677178917299</v>
      </c>
      <c r="N323" s="44">
        <f>M323/K323</f>
        <v>0.39300946861288355</v>
      </c>
    </row>
    <row r="324" spans="1:15" x14ac:dyDescent="0.45">
      <c r="A324">
        <v>6</v>
      </c>
      <c r="B324" t="s">
        <v>150</v>
      </c>
      <c r="C324">
        <f>COUNTIFS(AnalizaCzyste[Moja satysfakcja z pracy na ocenianej uczelni jest wysoka.42],B324,AnalizaCzyste[Czy jesteś aktualnie pracownikiem naukowym lub dydaktycznym uczelni wyższej?],"*"&amp;"Tak"&amp;"*")</f>
        <v>3</v>
      </c>
      <c r="D324">
        <f t="shared" ref="D324:D330" si="90">PRODUCT(A324,C324)</f>
        <v>18</v>
      </c>
      <c r="E324" s="44">
        <f t="shared" ref="E324:E329" si="91">(A324-$D$331)^2</f>
        <v>8.99999999999999E-2</v>
      </c>
      <c r="F324">
        <f t="shared" ref="F324:F329" si="92">PRODUCT(C324,E324)</f>
        <v>0.26999999999999968</v>
      </c>
      <c r="G324" s="44">
        <f>VLOOKUP(A324,TabeleGrup!$C$45:$D$51,2,0)</f>
        <v>6.1428571428571423</v>
      </c>
      <c r="H324" s="44">
        <f t="shared" ref="H324:H329" si="93">(G324-$D$331)/$F$332</f>
        <v>-0.19087584925645917</v>
      </c>
      <c r="I324" s="44">
        <f t="shared" ref="I324:I329" si="94">NORMDIST(H324,0,1,1)</f>
        <v>0.42431143089206114</v>
      </c>
      <c r="J324" s="44">
        <f t="shared" ref="J324:J329" si="95">I324-I325</f>
        <v>0.31534003506177699</v>
      </c>
      <c r="K324" s="44">
        <f t="shared" ref="K324:K329" si="96">$C$332*J324</f>
        <v>3.1534003506177699</v>
      </c>
      <c r="L324" s="44">
        <f t="shared" ref="L324:L329" si="97">C324-K324</f>
        <v>-0.15340035061776991</v>
      </c>
      <c r="M324" s="44">
        <f t="shared" ref="M324:M329" si="98">L324^2</f>
        <v>2.3531667569654743E-2</v>
      </c>
      <c r="N324" s="44">
        <f t="shared" ref="N324:N329" si="99">M324/K324</f>
        <v>7.4623152639165368E-3</v>
      </c>
    </row>
    <row r="325" spans="1:15" x14ac:dyDescent="0.45">
      <c r="A325">
        <v>5</v>
      </c>
      <c r="B325" t="s">
        <v>162</v>
      </c>
      <c r="C325">
        <f>COUNTIFS(AnalizaCzyste[Moja satysfakcja z pracy na ocenianej uczelni jest wysoka.42],B325,AnalizaCzyste[Czy jesteś aktualnie pracownikiem naukowym lub dydaktycznym uczelni wyższej?],"*"&amp;"Tak"&amp;"*")</f>
        <v>2</v>
      </c>
      <c r="D325">
        <f t="shared" si="90"/>
        <v>10</v>
      </c>
      <c r="E325" s="44">
        <f t="shared" si="91"/>
        <v>1.6899999999999995</v>
      </c>
      <c r="F325">
        <f t="shared" si="92"/>
        <v>3.379999999999999</v>
      </c>
      <c r="G325" s="44">
        <f>VLOOKUP(A325,TabeleGrup!$C$45:$D$51,2,0)</f>
        <v>5.2857142857142856</v>
      </c>
      <c r="H325" s="44">
        <f t="shared" si="93"/>
        <v>-1.2320168452007794</v>
      </c>
      <c r="I325" s="44">
        <f t="shared" si="94"/>
        <v>0.10897139583028417</v>
      </c>
      <c r="J325" s="44">
        <f t="shared" si="95"/>
        <v>9.7463060908031821E-2</v>
      </c>
      <c r="K325" s="44">
        <f t="shared" si="96"/>
        <v>0.97463060908031818</v>
      </c>
      <c r="L325" s="44">
        <f t="shared" si="97"/>
        <v>1.0253693909196819</v>
      </c>
      <c r="M325" s="44">
        <f t="shared" si="98"/>
        <v>1.0513823878349995</v>
      </c>
      <c r="N325" s="44">
        <f t="shared" si="99"/>
        <v>1.0787496083537802</v>
      </c>
    </row>
    <row r="326" spans="1:15" x14ac:dyDescent="0.45">
      <c r="A326">
        <v>4</v>
      </c>
      <c r="B326" t="s">
        <v>151</v>
      </c>
      <c r="C326">
        <f>COUNTIFS(AnalizaCzyste[Moja satysfakcja z pracy na ocenianej uczelni jest wysoka.42],B326,AnalizaCzyste[Czy jesteś aktualnie pracownikiem naukowym lub dydaktycznym uczelni wyższej?],"*"&amp;"Tak"&amp;"*")</f>
        <v>0</v>
      </c>
      <c r="D326">
        <f t="shared" si="90"/>
        <v>0</v>
      </c>
      <c r="E326" s="44">
        <f t="shared" si="91"/>
        <v>5.2899999999999991</v>
      </c>
      <c r="F326">
        <f t="shared" si="92"/>
        <v>0</v>
      </c>
      <c r="G326" s="44">
        <f>VLOOKUP(A326,TabeleGrup!$C$45:$D$51,2,0)</f>
        <v>4.4285714285714288</v>
      </c>
      <c r="H326" s="44">
        <f t="shared" si="93"/>
        <v>-2.2731578411450992</v>
      </c>
      <c r="I326" s="44">
        <f t="shared" si="94"/>
        <v>1.1508334922252355E-2</v>
      </c>
      <c r="J326" s="44">
        <f t="shared" si="95"/>
        <v>1.104896862086366E-2</v>
      </c>
      <c r="K326" s="44">
        <f t="shared" si="96"/>
        <v>0.1104896862086366</v>
      </c>
      <c r="L326" s="44">
        <f t="shared" si="97"/>
        <v>-0.1104896862086366</v>
      </c>
      <c r="M326" s="44">
        <f t="shared" si="98"/>
        <v>1.220797075848298E-2</v>
      </c>
      <c r="N326" s="44">
        <f t="shared" si="99"/>
        <v>0.1104896862086366</v>
      </c>
    </row>
    <row r="327" spans="1:15" x14ac:dyDescent="0.45">
      <c r="A327">
        <v>3</v>
      </c>
      <c r="B327" t="s">
        <v>128</v>
      </c>
      <c r="C327">
        <f>COUNTIFS(AnalizaCzyste[Moja satysfakcja z pracy na ocenianej uczelni jest wysoka.42],B327,AnalizaCzyste[Czy jesteś aktualnie pracownikiem naukowym lub dydaktycznym uczelni wyższej?],"*"&amp;"Tak"&amp;"*")</f>
        <v>0</v>
      </c>
      <c r="D327">
        <f t="shared" si="90"/>
        <v>0</v>
      </c>
      <c r="E327" s="44">
        <f t="shared" si="91"/>
        <v>10.889999999999999</v>
      </c>
      <c r="F327">
        <f t="shared" si="92"/>
        <v>0</v>
      </c>
      <c r="G327" s="44">
        <f>VLOOKUP(A327,TabeleGrup!$C$45:$D$51,2,0)</f>
        <v>3.5714285714285716</v>
      </c>
      <c r="H327" s="44">
        <f t="shared" si="93"/>
        <v>-3.31429883708942</v>
      </c>
      <c r="I327" s="44">
        <f t="shared" si="94"/>
        <v>4.593663013886945E-4</v>
      </c>
      <c r="J327" s="44">
        <f t="shared" si="95"/>
        <v>4.5272630181776986E-4</v>
      </c>
      <c r="K327" s="44">
        <f t="shared" si="96"/>
        <v>4.527263018177699E-3</v>
      </c>
      <c r="L327" s="44">
        <f t="shared" si="97"/>
        <v>-4.527263018177699E-3</v>
      </c>
      <c r="M327" s="44">
        <f t="shared" si="98"/>
        <v>2.049611043575945E-5</v>
      </c>
      <c r="N327" s="44">
        <f t="shared" si="99"/>
        <v>4.527263018177699E-3</v>
      </c>
    </row>
    <row r="328" spans="1:15" x14ac:dyDescent="0.45">
      <c r="A328">
        <v>2</v>
      </c>
      <c r="B328" t="s">
        <v>236</v>
      </c>
      <c r="C328">
        <f>COUNTIFS(AnalizaCzyste[Moja satysfakcja z pracy na ocenianej uczelni jest wysoka.42],B328,AnalizaCzyste[Czy jesteś aktualnie pracownikiem naukowym lub dydaktycznym uczelni wyższej?],"*"&amp;"Tak"&amp;"*")</f>
        <v>0</v>
      </c>
      <c r="D328">
        <f t="shared" si="90"/>
        <v>0</v>
      </c>
      <c r="E328" s="44">
        <f t="shared" si="91"/>
        <v>18.489999999999998</v>
      </c>
      <c r="F328">
        <f t="shared" si="92"/>
        <v>0</v>
      </c>
      <c r="G328" s="44">
        <f>VLOOKUP(A328,TabeleGrup!$C$45:$D$51,2,0)</f>
        <v>2.7142857142857144</v>
      </c>
      <c r="H328" s="44">
        <f t="shared" si="93"/>
        <v>-4.3554398330337412</v>
      </c>
      <c r="I328" s="44">
        <f t="shared" si="94"/>
        <v>6.6399995709246278E-6</v>
      </c>
      <c r="J328" s="44">
        <f t="shared" si="95"/>
        <v>6.6060381609071658E-6</v>
      </c>
      <c r="K328" s="44">
        <f t="shared" si="96"/>
        <v>6.6060381609071655E-5</v>
      </c>
      <c r="L328" s="44">
        <f t="shared" si="97"/>
        <v>-6.6060381609071655E-5</v>
      </c>
      <c r="M328" s="44">
        <f t="shared" si="98"/>
        <v>4.3639740183361724E-9</v>
      </c>
      <c r="N328" s="44">
        <f t="shared" si="99"/>
        <v>6.6060381609071655E-5</v>
      </c>
    </row>
    <row r="329" spans="1:15" x14ac:dyDescent="0.45">
      <c r="A329">
        <v>1</v>
      </c>
      <c r="B329" t="s">
        <v>129</v>
      </c>
      <c r="C329">
        <f>COUNTIFS(AnalizaCzyste[Moja satysfakcja z pracy na ocenianej uczelni jest wysoka.42],B329,AnalizaCzyste[Czy jesteś aktualnie pracownikiem naukowym lub dydaktycznym uczelni wyższej?],"*"&amp;"Tak"&amp;"*")</f>
        <v>0</v>
      </c>
      <c r="D329">
        <f t="shared" si="90"/>
        <v>0</v>
      </c>
      <c r="E329" s="44">
        <f t="shared" si="91"/>
        <v>28.09</v>
      </c>
      <c r="F329">
        <f t="shared" si="92"/>
        <v>0</v>
      </c>
      <c r="G329" s="44">
        <f>VLOOKUP(A329,TabeleGrup!$C$45:$D$51,2,0)</f>
        <v>1.8571428571428572</v>
      </c>
      <c r="H329" s="44">
        <f t="shared" si="93"/>
        <v>-5.3965808289780623</v>
      </c>
      <c r="I329" s="44">
        <f t="shared" si="94"/>
        <v>3.3961410017462233E-8</v>
      </c>
      <c r="J329" s="44">
        <f t="shared" si="95"/>
        <v>3.3961410017462233E-8</v>
      </c>
      <c r="K329" s="44">
        <f t="shared" si="96"/>
        <v>3.3961410017462231E-7</v>
      </c>
      <c r="L329" s="44">
        <f t="shared" si="97"/>
        <v>-3.3961410017462231E-7</v>
      </c>
      <c r="M329" s="44">
        <f t="shared" si="98"/>
        <v>1.153377370374184E-13</v>
      </c>
      <c r="N329" s="44">
        <f t="shared" si="99"/>
        <v>3.3961410017462231E-7</v>
      </c>
      <c r="O329" s="20" t="s">
        <v>2425</v>
      </c>
    </row>
    <row r="330" spans="1:15" x14ac:dyDescent="0.45">
      <c r="A330" t="s">
        <v>2329</v>
      </c>
      <c r="B330" t="s">
        <v>132</v>
      </c>
      <c r="C330">
        <f>COUNTIFS(AnalizaCzyste[Moja satysfakcja z pracy na ocenianej uczelni jest wysoka.42],B330,AnalizaCzyste[Czy jesteś aktualnie pracownikiem naukowym lub dydaktycznym uczelni wyższej?],"*"&amp;"Tak"&amp;"*")</f>
        <v>0</v>
      </c>
      <c r="D330">
        <f t="shared" si="90"/>
        <v>0</v>
      </c>
      <c r="J330" s="47">
        <f>SUM(J323:J329)</f>
        <v>0.80241115534308105</v>
      </c>
      <c r="K330" s="47">
        <f>SUM(K323:K329)</f>
        <v>8.0241115534308101</v>
      </c>
      <c r="M330" s="20" t="s">
        <v>2426</v>
      </c>
      <c r="N330" s="48">
        <f>SUM(N323:N329)</f>
        <v>1.594304741453104</v>
      </c>
      <c r="O330">
        <f>CHIINV(I333,7-3)</f>
        <v>9.4877290367811575</v>
      </c>
    </row>
    <row r="331" spans="1:15" x14ac:dyDescent="0.45">
      <c r="B331" s="20" t="s">
        <v>2351</v>
      </c>
      <c r="C331" s="29">
        <f>SUM(C323:C330)</f>
        <v>10</v>
      </c>
      <c r="D331" s="44">
        <f>SUM(D323:D329)/C332</f>
        <v>6.3</v>
      </c>
      <c r="E331" s="20" t="s">
        <v>2353</v>
      </c>
      <c r="F331" s="44">
        <f>SUM(F323:F330)/(C332-1)</f>
        <v>0.6777777777777777</v>
      </c>
      <c r="H331" s="20" t="s">
        <v>2405</v>
      </c>
      <c r="N331" s="20" t="s">
        <v>2428</v>
      </c>
    </row>
    <row r="332" spans="1:15" x14ac:dyDescent="0.45">
      <c r="B332" s="20" t="s">
        <v>2352</v>
      </c>
      <c r="C332">
        <f>C331-C330</f>
        <v>10</v>
      </c>
      <c r="D332" s="33">
        <f>D331/7</f>
        <v>0.9</v>
      </c>
      <c r="F332" s="44">
        <f>F331^(1/2)</f>
        <v>0.82327260234856459</v>
      </c>
      <c r="G332" t="s">
        <v>2404</v>
      </c>
    </row>
    <row r="333" spans="1:15" x14ac:dyDescent="0.45">
      <c r="B333" s="20"/>
      <c r="D333" s="51" t="str">
        <f>VLOOKUP(D331,InterpretacjaŚredniej[],2,1)</f>
        <v>zdecydowanie się zgadzam</v>
      </c>
      <c r="E333">
        <f>D331-(K333*F332/SQRT(C332))</f>
        <v>5.7110662584135135</v>
      </c>
      <c r="F333" s="45" t="str">
        <f>"&lt; m &lt;"</f>
        <v>&lt; m &lt;</v>
      </c>
      <c r="G333">
        <f>D331+(K333*F332/SQRT(C332))</f>
        <v>6.8889337415864862</v>
      </c>
      <c r="H333" t="s">
        <v>2407</v>
      </c>
      <c r="I333">
        <v>0.05</v>
      </c>
      <c r="J333" s="20" t="s">
        <v>2417</v>
      </c>
      <c r="K333">
        <f>VLOOKUP($C$332-1,Tabl_tStudenta[],5,0)</f>
        <v>2.2621571627982053</v>
      </c>
    </row>
    <row r="334" spans="1:15" x14ac:dyDescent="0.45">
      <c r="G334" s="42">
        <f>G333-E333</f>
        <v>1.1778674831729727</v>
      </c>
    </row>
    <row r="335" spans="1:15" x14ac:dyDescent="0.45">
      <c r="A335" s="29" t="s">
        <v>2379</v>
      </c>
      <c r="C335" t="s">
        <v>2348</v>
      </c>
      <c r="E335" s="20" t="s">
        <v>2362</v>
      </c>
      <c r="F335" s="20" t="s">
        <v>2363</v>
      </c>
    </row>
    <row r="336" spans="1:15" x14ac:dyDescent="0.45">
      <c r="A336">
        <v>7</v>
      </c>
      <c r="B336" t="s">
        <v>169</v>
      </c>
      <c r="C336">
        <f>COUNTIFS(AnalizaCzyste[Atmosfera w zespole współpracowników jest dobra.43],B336,AnalizaCzyste[Czy jesteś aktualnie pracownikiem naukowym lub dydaktycznym uczelni wyższej?],"*"&amp;"Tak"&amp;"*")</f>
        <v>3</v>
      </c>
      <c r="D336">
        <f>PRODUCT(A336,C336)</f>
        <v>21</v>
      </c>
      <c r="E336" s="44">
        <f>(A336-$D$344)^2</f>
        <v>1.2099999999999993</v>
      </c>
      <c r="F336">
        <f>PRODUCT(C336,E336)</f>
        <v>3.6299999999999981</v>
      </c>
    </row>
    <row r="337" spans="1:7" x14ac:dyDescent="0.45">
      <c r="A337">
        <v>6</v>
      </c>
      <c r="B337" t="s">
        <v>150</v>
      </c>
      <c r="C337">
        <f>COUNTIFS(AnalizaCzyste[Atmosfera w zespole współpracowników jest dobra.43],B337,AnalizaCzyste[Czy jesteś aktualnie pracownikiem naukowym lub dydaktycznym uczelni wyższej?],"*"&amp;"Tak"&amp;"*")</f>
        <v>3</v>
      </c>
      <c r="D337">
        <f t="shared" ref="D337:D343" si="100">PRODUCT(A337,C337)</f>
        <v>18</v>
      </c>
      <c r="E337" s="44">
        <f t="shared" ref="E337:E342" si="101">(A337-$D$344)^2</f>
        <v>9.9999999999999291E-3</v>
      </c>
      <c r="F337">
        <f t="shared" ref="F337:F342" si="102">PRODUCT(C337,E337)</f>
        <v>2.9999999999999787E-2</v>
      </c>
    </row>
    <row r="338" spans="1:7" x14ac:dyDescent="0.45">
      <c r="A338">
        <v>5</v>
      </c>
      <c r="B338" t="s">
        <v>162</v>
      </c>
      <c r="C338">
        <f>COUNTIFS(AnalizaCzyste[Atmosfera w zespole współpracowników jest dobra.43],B338,AnalizaCzyste[Czy jesteś aktualnie pracownikiem naukowym lub dydaktycznym uczelni wyższej?],"*"&amp;"Tak"&amp;"*")</f>
        <v>4</v>
      </c>
      <c r="D338">
        <f t="shared" si="100"/>
        <v>20</v>
      </c>
      <c r="E338" s="44">
        <f t="shared" si="101"/>
        <v>0.81000000000000061</v>
      </c>
      <c r="F338">
        <f t="shared" si="102"/>
        <v>3.2400000000000024</v>
      </c>
    </row>
    <row r="339" spans="1:7" x14ac:dyDescent="0.45">
      <c r="A339">
        <v>4</v>
      </c>
      <c r="B339" t="s">
        <v>151</v>
      </c>
      <c r="C339">
        <f>COUNTIFS(AnalizaCzyste[Atmosfera w zespole współpracowników jest dobra.43],B339,AnalizaCzyste[Czy jesteś aktualnie pracownikiem naukowym lub dydaktycznym uczelni wyższej?],"*"&amp;"Tak"&amp;"*")</f>
        <v>0</v>
      </c>
      <c r="D339">
        <f t="shared" si="100"/>
        <v>0</v>
      </c>
      <c r="E339" s="44">
        <f t="shared" si="101"/>
        <v>3.6100000000000012</v>
      </c>
      <c r="F339">
        <f t="shared" si="102"/>
        <v>0</v>
      </c>
    </row>
    <row r="340" spans="1:7" x14ac:dyDescent="0.45">
      <c r="A340">
        <v>3</v>
      </c>
      <c r="B340" t="s">
        <v>128</v>
      </c>
      <c r="C340">
        <f>COUNTIFS(AnalizaCzyste[Atmosfera w zespole współpracowników jest dobra.43],B340,AnalizaCzyste[Czy jesteś aktualnie pracownikiem naukowym lub dydaktycznym uczelni wyższej?],"*"&amp;"Tak"&amp;"*")</f>
        <v>0</v>
      </c>
      <c r="D340">
        <f t="shared" si="100"/>
        <v>0</v>
      </c>
      <c r="E340" s="44">
        <f t="shared" si="101"/>
        <v>8.4100000000000019</v>
      </c>
      <c r="F340">
        <f t="shared" si="102"/>
        <v>0</v>
      </c>
    </row>
    <row r="341" spans="1:7" x14ac:dyDescent="0.45">
      <c r="A341">
        <v>2</v>
      </c>
      <c r="B341" t="s">
        <v>236</v>
      </c>
      <c r="C341">
        <f>COUNTIFS(AnalizaCzyste[Atmosfera w zespole współpracowników jest dobra.43],B341,AnalizaCzyste[Czy jesteś aktualnie pracownikiem naukowym lub dydaktycznym uczelni wyższej?],"*"&amp;"Tak"&amp;"*")</f>
        <v>0</v>
      </c>
      <c r="D341">
        <f t="shared" si="100"/>
        <v>0</v>
      </c>
      <c r="E341" s="44">
        <f t="shared" si="101"/>
        <v>15.210000000000003</v>
      </c>
      <c r="F341">
        <f t="shared" si="102"/>
        <v>0</v>
      </c>
    </row>
    <row r="342" spans="1:7" x14ac:dyDescent="0.45">
      <c r="A342">
        <v>1</v>
      </c>
      <c r="B342" t="s">
        <v>129</v>
      </c>
      <c r="C342">
        <f>COUNTIFS(AnalizaCzyste[Atmosfera w zespole współpracowników jest dobra.43],B342,AnalizaCzyste[Czy jesteś aktualnie pracownikiem naukowym lub dydaktycznym uczelni wyższej?],"*"&amp;"Tak"&amp;"*")</f>
        <v>0</v>
      </c>
      <c r="D342">
        <f t="shared" si="100"/>
        <v>0</v>
      </c>
      <c r="E342" s="44">
        <f t="shared" si="101"/>
        <v>24.010000000000005</v>
      </c>
      <c r="F342">
        <f t="shared" si="102"/>
        <v>0</v>
      </c>
    </row>
    <row r="343" spans="1:7" x14ac:dyDescent="0.45">
      <c r="A343" t="s">
        <v>2329</v>
      </c>
      <c r="B343" t="s">
        <v>132</v>
      </c>
      <c r="C343">
        <f>COUNTIFS(AnalizaCzyste[Atmosfera w zespole współpracowników jest dobra.43],B343,AnalizaCzyste[Czy jesteś aktualnie pracownikiem naukowym lub dydaktycznym uczelni wyższej?],"*"&amp;"Tak"&amp;"*")</f>
        <v>0</v>
      </c>
      <c r="D343">
        <f t="shared" si="100"/>
        <v>0</v>
      </c>
    </row>
    <row r="344" spans="1:7" x14ac:dyDescent="0.45">
      <c r="B344" s="20" t="s">
        <v>2351</v>
      </c>
      <c r="C344" s="29">
        <f>SUM(C336:C343)</f>
        <v>10</v>
      </c>
      <c r="D344" s="44">
        <f>SUM(D336:D342)/C345</f>
        <v>5.9</v>
      </c>
      <c r="E344" s="20" t="s">
        <v>2353</v>
      </c>
      <c r="F344" s="44">
        <f>SUM(F336:F343)/(C345-1)</f>
        <v>0.76666666666666672</v>
      </c>
      <c r="G344" s="20" t="s">
        <v>2349</v>
      </c>
    </row>
    <row r="345" spans="1:7" x14ac:dyDescent="0.45">
      <c r="B345" s="20" t="s">
        <v>2352</v>
      </c>
      <c r="C345">
        <f>C344-C343</f>
        <v>10</v>
      </c>
      <c r="D345" s="33">
        <f>D344/7</f>
        <v>0.84285714285714286</v>
      </c>
      <c r="F345" s="44">
        <f>F344^(1/2)</f>
        <v>0.87559503577091313</v>
      </c>
      <c r="G345" t="s">
        <v>2404</v>
      </c>
    </row>
    <row r="347" spans="1:7" x14ac:dyDescent="0.45">
      <c r="A347" s="29" t="s">
        <v>2380</v>
      </c>
      <c r="C347" t="s">
        <v>2348</v>
      </c>
      <c r="E347" s="20" t="s">
        <v>2362</v>
      </c>
      <c r="F347" s="20" t="s">
        <v>2363</v>
      </c>
    </row>
    <row r="348" spans="1:7" x14ac:dyDescent="0.45">
      <c r="A348">
        <v>7</v>
      </c>
      <c r="B348" t="s">
        <v>169</v>
      </c>
      <c r="C348">
        <f>COUNTIFS(AnalizaCzyste[Moje zarobki są satysfakcjonujące.44],B348,AnalizaCzyste[Czy jesteś aktualnie pracownikiem naukowym lub dydaktycznym uczelni wyższej?],"*"&amp;"Tak"&amp;"*")</f>
        <v>3</v>
      </c>
      <c r="D348">
        <f>PRODUCT(A348,C348)</f>
        <v>21</v>
      </c>
      <c r="E348" s="44">
        <f>(A348-$D$356)^2</f>
        <v>1.6899999999999995</v>
      </c>
      <c r="F348">
        <f>PRODUCT(C348,E348)</f>
        <v>5.0699999999999985</v>
      </c>
    </row>
    <row r="349" spans="1:7" x14ac:dyDescent="0.45">
      <c r="A349">
        <v>6</v>
      </c>
      <c r="B349" t="s">
        <v>150</v>
      </c>
      <c r="C349">
        <f>COUNTIFS(AnalizaCzyste[Moje zarobki są satysfakcjonujące.44],B349,AnalizaCzyste[Czy jesteś aktualnie pracownikiem naukowym lub dydaktycznym uczelni wyższej?],"*"&amp;"Tak"&amp;"*")</f>
        <v>4</v>
      </c>
      <c r="D349">
        <f t="shared" ref="D349:D355" si="103">PRODUCT(A349,C349)</f>
        <v>24</v>
      </c>
      <c r="E349" s="44">
        <f t="shared" ref="E349:E354" si="104">(A349-$D$356)^2</f>
        <v>8.99999999999999E-2</v>
      </c>
      <c r="F349">
        <f t="shared" ref="F349:F354" si="105">PRODUCT(C349,E349)</f>
        <v>0.3599999999999996</v>
      </c>
    </row>
    <row r="350" spans="1:7" x14ac:dyDescent="0.45">
      <c r="A350">
        <v>5</v>
      </c>
      <c r="B350" t="s">
        <v>162</v>
      </c>
      <c r="C350">
        <f>COUNTIFS(AnalizaCzyste[Moje zarobki są satysfakcjonujące.44],B350,AnalizaCzyste[Czy jesteś aktualnie pracownikiem naukowym lub dydaktycznym uczelni wyższej?],"*"&amp;"Tak"&amp;"*")</f>
        <v>1</v>
      </c>
      <c r="D350">
        <f t="shared" si="103"/>
        <v>5</v>
      </c>
      <c r="E350" s="44">
        <f t="shared" si="104"/>
        <v>0.49000000000000027</v>
      </c>
      <c r="F350">
        <f t="shared" si="105"/>
        <v>0.49000000000000027</v>
      </c>
    </row>
    <row r="351" spans="1:7" x14ac:dyDescent="0.45">
      <c r="A351">
        <v>4</v>
      </c>
      <c r="B351" t="s">
        <v>151</v>
      </c>
      <c r="C351">
        <f>COUNTIFS(AnalizaCzyste[Moje zarobki są satysfakcjonujące.44],B351,AnalizaCzyste[Czy jesteś aktualnie pracownikiem naukowym lub dydaktycznym uczelni wyższej?],"*"&amp;"Tak"&amp;"*")</f>
        <v>1</v>
      </c>
      <c r="D351">
        <f t="shared" si="103"/>
        <v>4</v>
      </c>
      <c r="E351" s="44">
        <f t="shared" si="104"/>
        <v>2.8900000000000006</v>
      </c>
      <c r="F351">
        <f t="shared" si="105"/>
        <v>2.8900000000000006</v>
      </c>
    </row>
    <row r="352" spans="1:7" x14ac:dyDescent="0.45">
      <c r="A352">
        <v>3</v>
      </c>
      <c r="B352" t="s">
        <v>128</v>
      </c>
      <c r="C352">
        <f>COUNTIFS(AnalizaCzyste[Moje zarobki są satysfakcjonujące.44],B352,AnalizaCzyste[Czy jesteś aktualnie pracownikiem naukowym lub dydaktycznym uczelni wyższej?],"*"&amp;"Tak"&amp;"*")</f>
        <v>1</v>
      </c>
      <c r="D352">
        <f t="shared" si="103"/>
        <v>3</v>
      </c>
      <c r="E352" s="44">
        <f t="shared" si="104"/>
        <v>7.2900000000000009</v>
      </c>
      <c r="F352">
        <f t="shared" si="105"/>
        <v>7.2900000000000009</v>
      </c>
    </row>
    <row r="353" spans="1:7" x14ac:dyDescent="0.45">
      <c r="A353">
        <v>2</v>
      </c>
      <c r="B353" t="s">
        <v>236</v>
      </c>
      <c r="C353">
        <f>COUNTIFS(AnalizaCzyste[Moje zarobki są satysfakcjonujące.44],B353,AnalizaCzyste[Czy jesteś aktualnie pracownikiem naukowym lub dydaktycznym uczelni wyższej?],"*"&amp;"Tak"&amp;"*")</f>
        <v>0</v>
      </c>
      <c r="D353">
        <f t="shared" si="103"/>
        <v>0</v>
      </c>
      <c r="E353" s="44">
        <f t="shared" si="104"/>
        <v>13.690000000000001</v>
      </c>
      <c r="F353">
        <f t="shared" si="105"/>
        <v>0</v>
      </c>
    </row>
    <row r="354" spans="1:7" x14ac:dyDescent="0.45">
      <c r="A354">
        <v>1</v>
      </c>
      <c r="B354" t="s">
        <v>129</v>
      </c>
      <c r="C354">
        <f>COUNTIFS(AnalizaCzyste[Moje zarobki są satysfakcjonujące.44],B354,AnalizaCzyste[Czy jesteś aktualnie pracownikiem naukowym lub dydaktycznym uczelni wyższej?],"*"&amp;"Tak"&amp;"*")</f>
        <v>0</v>
      </c>
      <c r="D354">
        <f t="shared" si="103"/>
        <v>0</v>
      </c>
      <c r="E354" s="44">
        <f t="shared" si="104"/>
        <v>22.090000000000003</v>
      </c>
      <c r="F354">
        <f t="shared" si="105"/>
        <v>0</v>
      </c>
    </row>
    <row r="355" spans="1:7" x14ac:dyDescent="0.45">
      <c r="A355" t="s">
        <v>2329</v>
      </c>
      <c r="B355" t="s">
        <v>132</v>
      </c>
      <c r="C355">
        <f>COUNTIFS(AnalizaCzyste[Moje zarobki są satysfakcjonujące.44],B355,AnalizaCzyste[Czy jesteś aktualnie pracownikiem naukowym lub dydaktycznym uczelni wyższej?],"*"&amp;"Tak"&amp;"*")</f>
        <v>0</v>
      </c>
      <c r="D355">
        <f t="shared" si="103"/>
        <v>0</v>
      </c>
    </row>
    <row r="356" spans="1:7" x14ac:dyDescent="0.45">
      <c r="B356" s="20" t="s">
        <v>2351</v>
      </c>
      <c r="C356" s="29">
        <f>SUM(C348:C355)</f>
        <v>10</v>
      </c>
      <c r="D356" s="44">
        <f>SUM(D348:D354)/C357</f>
        <v>5.7</v>
      </c>
      <c r="E356" s="20" t="s">
        <v>2353</v>
      </c>
      <c r="F356" s="44">
        <f>SUM(F348:F355)/(C357-1)</f>
        <v>1.788888888888889</v>
      </c>
      <c r="G356" s="20" t="s">
        <v>2349</v>
      </c>
    </row>
    <row r="357" spans="1:7" x14ac:dyDescent="0.45">
      <c r="B357" s="20" t="s">
        <v>2352</v>
      </c>
      <c r="C357">
        <f>C356-C355</f>
        <v>10</v>
      </c>
      <c r="D357" s="33">
        <f>D356/7</f>
        <v>0.81428571428571428</v>
      </c>
      <c r="F357" s="44">
        <f>F356^(1/2)</f>
        <v>1.3374935098492586</v>
      </c>
      <c r="G357" t="s">
        <v>2404</v>
      </c>
    </row>
    <row r="358" spans="1:7" x14ac:dyDescent="0.45">
      <c r="B358" s="20"/>
      <c r="D358" s="33"/>
      <c r="F358" s="44"/>
    </row>
    <row r="359" spans="1:7" x14ac:dyDescent="0.45">
      <c r="A359" s="29" t="s">
        <v>2381</v>
      </c>
      <c r="C359" t="s">
        <v>2348</v>
      </c>
      <c r="E359" s="20" t="s">
        <v>2362</v>
      </c>
      <c r="F359" s="20" t="s">
        <v>2363</v>
      </c>
    </row>
    <row r="360" spans="1:7" x14ac:dyDescent="0.45">
      <c r="A360">
        <v>7</v>
      </c>
      <c r="B360" t="s">
        <v>169</v>
      </c>
      <c r="C360">
        <f>COUNTIFS(AnalizaCzyste[Praca na ocenianej uczelni daje mi duże szanse rozwoju.45],B360,AnalizaCzyste[Czy jesteś aktualnie pracownikiem naukowym lub dydaktycznym uczelni wyższej?],"*"&amp;"Tak"&amp;"*")</f>
        <v>4</v>
      </c>
      <c r="D360">
        <f>PRODUCT(A360,C360)</f>
        <v>28</v>
      </c>
      <c r="E360" s="44">
        <f>(A360-$D$368)^2</f>
        <v>0.81000000000000061</v>
      </c>
      <c r="F360">
        <f>PRODUCT(C360,E360)</f>
        <v>3.2400000000000024</v>
      </c>
    </row>
    <row r="361" spans="1:7" x14ac:dyDescent="0.45">
      <c r="A361">
        <v>6</v>
      </c>
      <c r="B361" t="s">
        <v>150</v>
      </c>
      <c r="C361">
        <f>COUNTIFS(AnalizaCzyste[Praca na ocenianej uczelni daje mi duże szanse rozwoju.45],B361,AnalizaCzyste[Czy jesteś aktualnie pracownikiem naukowym lub dydaktycznym uczelni wyższej?],"*"&amp;"Tak"&amp;"*")</f>
        <v>4</v>
      </c>
      <c r="D361">
        <f t="shared" ref="D361:D367" si="106">PRODUCT(A361,C361)</f>
        <v>24</v>
      </c>
      <c r="E361" s="44">
        <f t="shared" ref="E361:E366" si="107">(A361-$D$368)^2</f>
        <v>9.9999999999999291E-3</v>
      </c>
      <c r="F361">
        <f t="shared" ref="F361:F366" si="108">PRODUCT(C361,E361)</f>
        <v>3.9999999999999716E-2</v>
      </c>
    </row>
    <row r="362" spans="1:7" x14ac:dyDescent="0.45">
      <c r="A362">
        <v>5</v>
      </c>
      <c r="B362" t="s">
        <v>162</v>
      </c>
      <c r="C362">
        <f>COUNTIFS(AnalizaCzyste[Praca na ocenianej uczelni daje mi duże szanse rozwoju.45],B362,AnalizaCzyste[Czy jesteś aktualnie pracownikiem naukowym lub dydaktycznym uczelni wyższej?],"*"&amp;"Tak"&amp;"*")</f>
        <v>1</v>
      </c>
      <c r="D362">
        <f t="shared" si="106"/>
        <v>5</v>
      </c>
      <c r="E362" s="44">
        <f t="shared" si="107"/>
        <v>1.2099999999999993</v>
      </c>
      <c r="F362">
        <f t="shared" si="108"/>
        <v>1.2099999999999993</v>
      </c>
    </row>
    <row r="363" spans="1:7" x14ac:dyDescent="0.45">
      <c r="A363">
        <v>4</v>
      </c>
      <c r="B363" t="s">
        <v>151</v>
      </c>
      <c r="C363">
        <f>COUNTIFS(AnalizaCzyste[Praca na ocenianej uczelni daje mi duże szanse rozwoju.45],B363,AnalizaCzyste[Czy jesteś aktualnie pracownikiem naukowym lub dydaktycznym uczelni wyższej?],"*"&amp;"Tak"&amp;"*")</f>
        <v>1</v>
      </c>
      <c r="D363">
        <f t="shared" si="106"/>
        <v>4</v>
      </c>
      <c r="E363" s="44">
        <f t="shared" si="107"/>
        <v>4.4099999999999984</v>
      </c>
      <c r="F363">
        <f t="shared" si="108"/>
        <v>4.4099999999999984</v>
      </c>
    </row>
    <row r="364" spans="1:7" x14ac:dyDescent="0.45">
      <c r="A364">
        <v>3</v>
      </c>
      <c r="B364" t="s">
        <v>128</v>
      </c>
      <c r="C364">
        <f>COUNTIFS(AnalizaCzyste[Praca na ocenianej uczelni daje mi duże szanse rozwoju.45],B364,AnalizaCzyste[Czy jesteś aktualnie pracownikiem naukowym lub dydaktycznym uczelni wyższej?],"*"&amp;"Tak"&amp;"*")</f>
        <v>0</v>
      </c>
      <c r="D364">
        <f t="shared" si="106"/>
        <v>0</v>
      </c>
      <c r="E364" s="44">
        <f t="shared" si="107"/>
        <v>9.6099999999999977</v>
      </c>
      <c r="F364">
        <f t="shared" si="108"/>
        <v>0</v>
      </c>
    </row>
    <row r="365" spans="1:7" x14ac:dyDescent="0.45">
      <c r="A365">
        <v>2</v>
      </c>
      <c r="B365" t="s">
        <v>236</v>
      </c>
      <c r="C365">
        <f>COUNTIFS(AnalizaCzyste[Praca na ocenianej uczelni daje mi duże szanse rozwoju.45],B365,AnalizaCzyste[Czy jesteś aktualnie pracownikiem naukowym lub dydaktycznym uczelni wyższej?],"*"&amp;"Tak"&amp;"*")</f>
        <v>0</v>
      </c>
      <c r="D365">
        <f t="shared" si="106"/>
        <v>0</v>
      </c>
      <c r="E365" s="44">
        <f t="shared" si="107"/>
        <v>16.809999999999999</v>
      </c>
      <c r="F365">
        <f t="shared" si="108"/>
        <v>0</v>
      </c>
    </row>
    <row r="366" spans="1:7" x14ac:dyDescent="0.45">
      <c r="A366">
        <v>1</v>
      </c>
      <c r="B366" t="s">
        <v>129</v>
      </c>
      <c r="C366">
        <f>COUNTIFS(AnalizaCzyste[Praca na ocenianej uczelni daje mi duże szanse rozwoju.45],B366,AnalizaCzyste[Czy jesteś aktualnie pracownikiem naukowym lub dydaktycznym uczelni wyższej?],"*"&amp;"Tak"&amp;"*")</f>
        <v>0</v>
      </c>
      <c r="D366">
        <f t="shared" si="106"/>
        <v>0</v>
      </c>
      <c r="E366" s="44">
        <f t="shared" si="107"/>
        <v>26.009999999999998</v>
      </c>
      <c r="F366">
        <f t="shared" si="108"/>
        <v>0</v>
      </c>
    </row>
    <row r="367" spans="1:7" x14ac:dyDescent="0.45">
      <c r="A367" t="s">
        <v>2329</v>
      </c>
      <c r="B367" t="s">
        <v>132</v>
      </c>
      <c r="C367">
        <f>COUNTIFS(AnalizaCzyste[Praca na ocenianej uczelni daje mi duże szanse rozwoju.45],B367,AnalizaCzyste[Czy jesteś aktualnie pracownikiem naukowym lub dydaktycznym uczelni wyższej?],"*"&amp;"Tak"&amp;"*")</f>
        <v>0</v>
      </c>
      <c r="D367">
        <f t="shared" si="106"/>
        <v>0</v>
      </c>
    </row>
    <row r="368" spans="1:7" x14ac:dyDescent="0.45">
      <c r="B368" s="20" t="s">
        <v>2351</v>
      </c>
      <c r="C368" s="29">
        <f>SUM(C360:C367)</f>
        <v>10</v>
      </c>
      <c r="D368" s="44">
        <f>SUM(D360:D366)/C369</f>
        <v>6.1</v>
      </c>
      <c r="E368" s="20" t="s">
        <v>2353</v>
      </c>
      <c r="F368" s="44">
        <f>SUM(F360:F367)/(C369-1)</f>
        <v>0.98888888888888871</v>
      </c>
      <c r="G368" s="20" t="s">
        <v>2349</v>
      </c>
    </row>
    <row r="369" spans="1:7" x14ac:dyDescent="0.45">
      <c r="B369" s="20" t="s">
        <v>2352</v>
      </c>
      <c r="C369">
        <f>C368-C367</f>
        <v>10</v>
      </c>
      <c r="D369" s="33">
        <f>D368/7</f>
        <v>0.87142857142857133</v>
      </c>
      <c r="F369" s="44">
        <f>F368^(1/2)</f>
        <v>0.99442892601175314</v>
      </c>
      <c r="G369" t="s">
        <v>2404</v>
      </c>
    </row>
    <row r="370" spans="1:7" x14ac:dyDescent="0.45">
      <c r="B370" s="20"/>
      <c r="D370" s="33"/>
      <c r="F370" s="44"/>
    </row>
    <row r="371" spans="1:7" x14ac:dyDescent="0.45">
      <c r="A371" s="29" t="s">
        <v>2382</v>
      </c>
      <c r="C371" t="s">
        <v>2348</v>
      </c>
      <c r="E371" s="20" t="s">
        <v>2362</v>
      </c>
      <c r="F371" s="20" t="s">
        <v>2363</v>
      </c>
    </row>
    <row r="372" spans="1:7" x14ac:dyDescent="0.45">
      <c r="A372">
        <v>7</v>
      </c>
      <c r="B372" t="s">
        <v>169</v>
      </c>
      <c r="C372">
        <f>COUNTIFS(AnalizaCzyste[Wartość wykształcenia zdobywanego przez studentów ocenianej uczelni jest wysoka.46],B372,AnalizaCzyste[Czy jesteś aktualnie pracownikiem naukowym lub dydaktycznym uczelni wyższej?],"*"&amp;"Tak"&amp;"*")</f>
        <v>3</v>
      </c>
      <c r="D372">
        <f>PRODUCT(A372,C372)</f>
        <v>21</v>
      </c>
      <c r="E372" s="44">
        <f>(A372-$D$380)^2</f>
        <v>1.6899999999999995</v>
      </c>
      <c r="F372">
        <f>PRODUCT(C372,E372)</f>
        <v>5.0699999999999985</v>
      </c>
    </row>
    <row r="373" spans="1:7" x14ac:dyDescent="0.45">
      <c r="A373">
        <v>6</v>
      </c>
      <c r="B373" t="s">
        <v>150</v>
      </c>
      <c r="C373">
        <f>COUNTIFS(AnalizaCzyste[Wartość wykształcenia zdobywanego przez studentów ocenianej uczelni jest wysoka.46],B373,AnalizaCzyste[Czy jesteś aktualnie pracownikiem naukowym lub dydaktycznym uczelni wyższej?],"*"&amp;"Tak"&amp;"*")</f>
        <v>4</v>
      </c>
      <c r="D373">
        <f t="shared" ref="D373:D379" si="109">PRODUCT(A373,C373)</f>
        <v>24</v>
      </c>
      <c r="E373" s="44">
        <f t="shared" ref="E373:E378" si="110">(A373-$D$380)^2</f>
        <v>8.99999999999999E-2</v>
      </c>
      <c r="F373">
        <f t="shared" ref="F373:F378" si="111">PRODUCT(C373,E373)</f>
        <v>0.3599999999999996</v>
      </c>
    </row>
    <row r="374" spans="1:7" x14ac:dyDescent="0.45">
      <c r="A374">
        <v>5</v>
      </c>
      <c r="B374" t="s">
        <v>162</v>
      </c>
      <c r="C374">
        <f>COUNTIFS(AnalizaCzyste[Wartość wykształcenia zdobywanego przez studentów ocenianej uczelni jest wysoka.46],B374,AnalizaCzyste[Czy jesteś aktualnie pracownikiem naukowym lub dydaktycznym uczelni wyższej?],"*"&amp;"Tak"&amp;"*")</f>
        <v>1</v>
      </c>
      <c r="D374">
        <f t="shared" si="109"/>
        <v>5</v>
      </c>
      <c r="E374" s="44">
        <f t="shared" si="110"/>
        <v>0.49000000000000027</v>
      </c>
      <c r="F374">
        <f t="shared" si="111"/>
        <v>0.49000000000000027</v>
      </c>
    </row>
    <row r="375" spans="1:7" x14ac:dyDescent="0.45">
      <c r="A375">
        <v>4</v>
      </c>
      <c r="B375" t="s">
        <v>151</v>
      </c>
      <c r="C375">
        <f>COUNTIFS(AnalizaCzyste[Wartość wykształcenia zdobywanego przez studentów ocenianej uczelni jest wysoka.46],B375,AnalizaCzyste[Czy jesteś aktualnie pracownikiem naukowym lub dydaktycznym uczelni wyższej?],"*"&amp;"Tak"&amp;"*")</f>
        <v>1</v>
      </c>
      <c r="D375">
        <f t="shared" si="109"/>
        <v>4</v>
      </c>
      <c r="E375" s="44">
        <f t="shared" si="110"/>
        <v>2.8900000000000006</v>
      </c>
      <c r="F375">
        <f t="shared" si="111"/>
        <v>2.8900000000000006</v>
      </c>
    </row>
    <row r="376" spans="1:7" x14ac:dyDescent="0.45">
      <c r="A376">
        <v>3</v>
      </c>
      <c r="B376" t="s">
        <v>128</v>
      </c>
      <c r="C376">
        <f>COUNTIFS(AnalizaCzyste[Wartość wykształcenia zdobywanego przez studentów ocenianej uczelni jest wysoka.46],B376,AnalizaCzyste[Czy jesteś aktualnie pracownikiem naukowym lub dydaktycznym uczelni wyższej?],"*"&amp;"Tak"&amp;"*")</f>
        <v>1</v>
      </c>
      <c r="D376">
        <f t="shared" si="109"/>
        <v>3</v>
      </c>
      <c r="E376" s="44">
        <f t="shared" si="110"/>
        <v>7.2900000000000009</v>
      </c>
      <c r="F376">
        <f t="shared" si="111"/>
        <v>7.2900000000000009</v>
      </c>
    </row>
    <row r="377" spans="1:7" x14ac:dyDescent="0.45">
      <c r="A377">
        <v>2</v>
      </c>
      <c r="B377" t="s">
        <v>236</v>
      </c>
      <c r="C377">
        <f>COUNTIFS(AnalizaCzyste[Wartość wykształcenia zdobywanego przez studentów ocenianej uczelni jest wysoka.46],B377,AnalizaCzyste[Czy jesteś aktualnie pracownikiem naukowym lub dydaktycznym uczelni wyższej?],"*"&amp;"Tak"&amp;"*")</f>
        <v>0</v>
      </c>
      <c r="D377">
        <f t="shared" si="109"/>
        <v>0</v>
      </c>
      <c r="E377" s="44">
        <f t="shared" si="110"/>
        <v>13.690000000000001</v>
      </c>
      <c r="F377">
        <f t="shared" si="111"/>
        <v>0</v>
      </c>
    </row>
    <row r="378" spans="1:7" x14ac:dyDescent="0.45">
      <c r="A378">
        <v>1</v>
      </c>
      <c r="B378" t="s">
        <v>129</v>
      </c>
      <c r="C378">
        <f>COUNTIFS(AnalizaCzyste[Wartość wykształcenia zdobywanego przez studentów ocenianej uczelni jest wysoka.46],B378,AnalizaCzyste[Czy jesteś aktualnie pracownikiem naukowym lub dydaktycznym uczelni wyższej?],"*"&amp;"Tak"&amp;"*")</f>
        <v>0</v>
      </c>
      <c r="D378">
        <f t="shared" si="109"/>
        <v>0</v>
      </c>
      <c r="E378" s="44">
        <f t="shared" si="110"/>
        <v>22.090000000000003</v>
      </c>
      <c r="F378">
        <f t="shared" si="111"/>
        <v>0</v>
      </c>
    </row>
    <row r="379" spans="1:7" x14ac:dyDescent="0.45">
      <c r="A379" t="s">
        <v>2329</v>
      </c>
      <c r="B379" t="s">
        <v>132</v>
      </c>
      <c r="C379">
        <f>COUNTIFS(AnalizaCzyste[Wartość wykształcenia zdobywanego przez studentów ocenianej uczelni jest wysoka.46],B379,AnalizaCzyste[Czy jesteś aktualnie pracownikiem naukowym lub dydaktycznym uczelni wyższej?],"*"&amp;"Tak"&amp;"*")</f>
        <v>0</v>
      </c>
      <c r="D379">
        <f t="shared" si="109"/>
        <v>0</v>
      </c>
    </row>
    <row r="380" spans="1:7" x14ac:dyDescent="0.45">
      <c r="B380" s="20" t="s">
        <v>2351</v>
      </c>
      <c r="C380" s="29">
        <f>SUM(C372:C379)</f>
        <v>10</v>
      </c>
      <c r="D380" s="44">
        <f>SUM(D372:D378)/C381</f>
        <v>5.7</v>
      </c>
      <c r="E380" s="20" t="s">
        <v>2353</v>
      </c>
      <c r="F380" s="44">
        <f>SUM(F372:F379)/(C381-1)</f>
        <v>1.788888888888889</v>
      </c>
      <c r="G380" s="20" t="s">
        <v>2349</v>
      </c>
    </row>
    <row r="381" spans="1:7" x14ac:dyDescent="0.45">
      <c r="B381" s="20" t="s">
        <v>2352</v>
      </c>
      <c r="C381">
        <f>C380-C379</f>
        <v>10</v>
      </c>
      <c r="D381" s="33">
        <f>D380/7</f>
        <v>0.81428571428571428</v>
      </c>
      <c r="F381" s="44">
        <f>F380^(1/2)</f>
        <v>1.3374935098492586</v>
      </c>
      <c r="G381" t="s">
        <v>2404</v>
      </c>
    </row>
    <row r="382" spans="1:7" x14ac:dyDescent="0.45">
      <c r="B382" s="20"/>
      <c r="D382" s="33"/>
      <c r="F382" s="44"/>
    </row>
    <row r="383" spans="1:7" x14ac:dyDescent="0.45">
      <c r="A383" s="29" t="s">
        <v>2383</v>
      </c>
      <c r="C383" t="s">
        <v>2348</v>
      </c>
      <c r="E383" s="20" t="s">
        <v>2362</v>
      </c>
      <c r="F383" s="20" t="s">
        <v>2363</v>
      </c>
    </row>
    <row r="384" spans="1:7" x14ac:dyDescent="0.45">
      <c r="A384">
        <v>7</v>
      </c>
      <c r="B384" t="s">
        <v>169</v>
      </c>
      <c r="C384">
        <f>COUNTIFS(AnalizaCzyste[Zdobyte na ocenianej uczelni wykształcenie ma pozytywny wpływ na zwiększenie zarobków absolwentów.47],B384,AnalizaCzyste[Czy jesteś aktualnie pracownikiem naukowym lub dydaktycznym uczelni wyższej?],"*"&amp;"Tak"&amp;"*")</f>
        <v>3</v>
      </c>
      <c r="D384">
        <f>PRODUCT(A384,C384)</f>
        <v>21</v>
      </c>
      <c r="E384" s="44">
        <f>(A384-$D$392)^2</f>
        <v>1.9600000000000011</v>
      </c>
      <c r="F384">
        <f>PRODUCT(C384,E384)</f>
        <v>5.8800000000000034</v>
      </c>
    </row>
    <row r="385" spans="1:7" x14ac:dyDescent="0.45">
      <c r="A385">
        <v>6</v>
      </c>
      <c r="B385" t="s">
        <v>150</v>
      </c>
      <c r="C385">
        <f>COUNTIFS(AnalizaCzyste[Zdobyte na ocenianej uczelni wykształcenie ma pozytywny wpływ na zwiększenie zarobków absolwentów.47],B385,AnalizaCzyste[Czy jesteś aktualnie pracownikiem naukowym lub dydaktycznym uczelni wyższej?],"*"&amp;"Tak"&amp;"*")</f>
        <v>3</v>
      </c>
      <c r="D385">
        <f t="shared" ref="D385:D391" si="112">PRODUCT(A385,C385)</f>
        <v>18</v>
      </c>
      <c r="E385" s="44">
        <f t="shared" ref="E385:E390" si="113">(A385-$D$392)^2</f>
        <v>0.16000000000000028</v>
      </c>
      <c r="F385">
        <f t="shared" ref="F385:F390" si="114">PRODUCT(C385,E385)</f>
        <v>0.48000000000000087</v>
      </c>
    </row>
    <row r="386" spans="1:7" x14ac:dyDescent="0.45">
      <c r="A386">
        <v>5</v>
      </c>
      <c r="B386" t="s">
        <v>162</v>
      </c>
      <c r="C386">
        <f>COUNTIFS(AnalizaCzyste[Zdobyte na ocenianej uczelni wykształcenie ma pozytywny wpływ na zwiększenie zarobków absolwentów.47],B386,AnalizaCzyste[Czy jesteś aktualnie pracownikiem naukowym lub dydaktycznym uczelni wyższej?],"*"&amp;"Tak"&amp;"*")</f>
        <v>2</v>
      </c>
      <c r="D386">
        <f t="shared" si="112"/>
        <v>10</v>
      </c>
      <c r="E386" s="44">
        <f t="shared" si="113"/>
        <v>0.3599999999999996</v>
      </c>
      <c r="F386">
        <f t="shared" si="114"/>
        <v>0.7199999999999992</v>
      </c>
    </row>
    <row r="387" spans="1:7" x14ac:dyDescent="0.45">
      <c r="A387">
        <v>4</v>
      </c>
      <c r="B387" t="s">
        <v>151</v>
      </c>
      <c r="C387">
        <f>COUNTIFS(AnalizaCzyste[Zdobyte na ocenianej uczelni wykształcenie ma pozytywny wpływ na zwiększenie zarobków absolwentów.47],B387,AnalizaCzyste[Czy jesteś aktualnie pracownikiem naukowym lub dydaktycznym uczelni wyższej?],"*"&amp;"Tak"&amp;"*")</f>
        <v>1</v>
      </c>
      <c r="D387">
        <f t="shared" si="112"/>
        <v>4</v>
      </c>
      <c r="E387" s="44">
        <f t="shared" si="113"/>
        <v>2.5599999999999987</v>
      </c>
      <c r="F387">
        <f t="shared" si="114"/>
        <v>2.5599999999999987</v>
      </c>
    </row>
    <row r="388" spans="1:7" x14ac:dyDescent="0.45">
      <c r="A388">
        <v>3</v>
      </c>
      <c r="B388" t="s">
        <v>128</v>
      </c>
      <c r="C388">
        <f>COUNTIFS(AnalizaCzyste[Zdobyte na ocenianej uczelni wykształcenie ma pozytywny wpływ na zwiększenie zarobków absolwentów.47],B388,AnalizaCzyste[Czy jesteś aktualnie pracownikiem naukowym lub dydaktycznym uczelni wyższej?],"*"&amp;"Tak"&amp;"*")</f>
        <v>1</v>
      </c>
      <c r="D388">
        <f t="shared" si="112"/>
        <v>3</v>
      </c>
      <c r="E388" s="44">
        <f t="shared" si="113"/>
        <v>6.759999999999998</v>
      </c>
      <c r="F388">
        <f t="shared" si="114"/>
        <v>6.759999999999998</v>
      </c>
    </row>
    <row r="389" spans="1:7" x14ac:dyDescent="0.45">
      <c r="A389">
        <v>2</v>
      </c>
      <c r="B389" t="s">
        <v>236</v>
      </c>
      <c r="C389">
        <f>COUNTIFS(AnalizaCzyste[Zdobyte na ocenianej uczelni wykształcenie ma pozytywny wpływ na zwiększenie zarobków absolwentów.47],B389,AnalizaCzyste[Czy jesteś aktualnie pracownikiem naukowym lub dydaktycznym uczelni wyższej?],"*"&amp;"Tak"&amp;"*")</f>
        <v>0</v>
      </c>
      <c r="D389">
        <f t="shared" si="112"/>
        <v>0</v>
      </c>
      <c r="E389" s="44">
        <f t="shared" si="113"/>
        <v>12.959999999999997</v>
      </c>
      <c r="F389">
        <f t="shared" si="114"/>
        <v>0</v>
      </c>
    </row>
    <row r="390" spans="1:7" x14ac:dyDescent="0.45">
      <c r="A390">
        <v>1</v>
      </c>
      <c r="B390" t="s">
        <v>129</v>
      </c>
      <c r="C390">
        <f>COUNTIFS(AnalizaCzyste[Zdobyte na ocenianej uczelni wykształcenie ma pozytywny wpływ na zwiększenie zarobków absolwentów.47],B390,AnalizaCzyste[Czy jesteś aktualnie pracownikiem naukowym lub dydaktycznym uczelni wyższej?],"*"&amp;"Tak"&amp;"*")</f>
        <v>0</v>
      </c>
      <c r="D390">
        <f t="shared" si="112"/>
        <v>0</v>
      </c>
      <c r="E390" s="44">
        <f t="shared" si="113"/>
        <v>21.159999999999997</v>
      </c>
      <c r="F390">
        <f t="shared" si="114"/>
        <v>0</v>
      </c>
    </row>
    <row r="391" spans="1:7" x14ac:dyDescent="0.45">
      <c r="A391" t="s">
        <v>2329</v>
      </c>
      <c r="B391" t="s">
        <v>132</v>
      </c>
      <c r="C391">
        <f>COUNTIFS(AnalizaCzyste[Zdobyte na ocenianej uczelni wykształcenie ma pozytywny wpływ na zwiększenie zarobków absolwentów.47],B391,AnalizaCzyste[Czy jesteś aktualnie pracownikiem naukowym lub dydaktycznym uczelni wyższej?],"*"&amp;"Tak"&amp;"*")</f>
        <v>0</v>
      </c>
      <c r="D391">
        <f t="shared" si="112"/>
        <v>0</v>
      </c>
    </row>
    <row r="392" spans="1:7" x14ac:dyDescent="0.45">
      <c r="B392" s="20" t="s">
        <v>2351</v>
      </c>
      <c r="C392" s="29">
        <f>SUM(C384:C391)</f>
        <v>10</v>
      </c>
      <c r="D392" s="44">
        <f>SUM(D384:D390)/C393</f>
        <v>5.6</v>
      </c>
      <c r="E392" s="20" t="s">
        <v>2353</v>
      </c>
      <c r="F392" s="44">
        <f>SUM(F384:F391)/(C393-1)</f>
        <v>1.822222222222222</v>
      </c>
      <c r="G392" s="20" t="s">
        <v>2349</v>
      </c>
    </row>
    <row r="393" spans="1:7" x14ac:dyDescent="0.45">
      <c r="B393" s="20" t="s">
        <v>2352</v>
      </c>
      <c r="C393">
        <f>C392-C391</f>
        <v>10</v>
      </c>
      <c r="D393" s="33">
        <f>D392/7</f>
        <v>0.79999999999999993</v>
      </c>
      <c r="F393" s="44">
        <f>F392^(1/2)</f>
        <v>1.3498971154211057</v>
      </c>
      <c r="G393" t="s">
        <v>2404</v>
      </c>
    </row>
    <row r="394" spans="1:7" x14ac:dyDescent="0.45">
      <c r="B394" s="20"/>
      <c r="D394" s="33"/>
      <c r="F394" s="44"/>
    </row>
    <row r="395" spans="1:7" x14ac:dyDescent="0.45">
      <c r="A395" s="29" t="s">
        <v>2384</v>
      </c>
      <c r="C395" t="s">
        <v>2348</v>
      </c>
      <c r="E395" s="20" t="s">
        <v>2362</v>
      </c>
      <c r="F395" s="20" t="s">
        <v>2363</v>
      </c>
    </row>
    <row r="396" spans="1:7" x14ac:dyDescent="0.45">
      <c r="A396">
        <v>7</v>
      </c>
      <c r="B396" t="s">
        <v>169</v>
      </c>
      <c r="C396">
        <f>COUNTIFS(AnalizaCzyste[Ogólny poziom mojej satysfakcji z jakości usług edukacyjnych ocenianej uczelni jest wysoki.],B396,AnalizaCzyste[Czy jesteś przedstawicielem władz uczelni z grupy rektorów, prorektorów, dziekanów, prodziekanów, członków senatu lub członków rady uczelni?],"*"&amp;"Tak"&amp;"*")</f>
        <v>1</v>
      </c>
      <c r="D396">
        <f>PRODUCT(A396,C396)</f>
        <v>7</v>
      </c>
      <c r="E396" s="44">
        <f>(A396-$D$404)^2</f>
        <v>1.4400000000000004</v>
      </c>
      <c r="F396">
        <f>PRODUCT(C396,E396)</f>
        <v>1.4400000000000004</v>
      </c>
    </row>
    <row r="397" spans="1:7" x14ac:dyDescent="0.45">
      <c r="A397">
        <v>6</v>
      </c>
      <c r="B397" t="s">
        <v>150</v>
      </c>
      <c r="C397">
        <f>COUNTIFS(AnalizaCzyste[Ogólny poziom mojej satysfakcji z jakości usług edukacyjnych ocenianej uczelni jest wysoki.],B397,AnalizaCzyste[Czy jesteś przedstawicielem władz uczelni z grupy rektorów, prorektorów, dziekanów, prodziekanów, członków senatu lub członków rady uczelni?],"*"&amp;"Tak"&amp;"*")</f>
        <v>2</v>
      </c>
      <c r="D397">
        <f t="shared" ref="D397:D403" si="115">PRODUCT(A397,C397)</f>
        <v>12</v>
      </c>
      <c r="E397" s="44">
        <f t="shared" ref="E397:E402" si="116">(A397-$D$404)^2</f>
        <v>4.000000000000007E-2</v>
      </c>
      <c r="F397">
        <f t="shared" ref="F397:F402" si="117">PRODUCT(C397,E397)</f>
        <v>8.000000000000014E-2</v>
      </c>
    </row>
    <row r="398" spans="1:7" x14ac:dyDescent="0.45">
      <c r="A398">
        <v>5</v>
      </c>
      <c r="B398" t="s">
        <v>162</v>
      </c>
      <c r="C398">
        <f>COUNTIFS(AnalizaCzyste[Ogólny poziom mojej satysfakcji z jakości usług edukacyjnych ocenianej uczelni jest wysoki.],B398,AnalizaCzyste[Czy jesteś przedstawicielem władz uczelni z grupy rektorów, prorektorów, dziekanów, prodziekanów, członków senatu lub członków rady uczelni?],"*"&amp;"Tak"&amp;"*")</f>
        <v>2</v>
      </c>
      <c r="D398">
        <f t="shared" si="115"/>
        <v>10</v>
      </c>
      <c r="E398" s="44">
        <f t="shared" si="116"/>
        <v>0.63999999999999968</v>
      </c>
      <c r="F398">
        <f t="shared" si="117"/>
        <v>1.2799999999999994</v>
      </c>
    </row>
    <row r="399" spans="1:7" x14ac:dyDescent="0.45">
      <c r="A399">
        <v>4</v>
      </c>
      <c r="B399" t="s">
        <v>151</v>
      </c>
      <c r="C399">
        <f>COUNTIFS(AnalizaCzyste[Ogólny poziom mojej satysfakcji z jakości usług edukacyjnych ocenianej uczelni jest wysoki.],B399,AnalizaCzyste[Czy jesteś przedstawicielem władz uczelni z grupy rektorów, prorektorów, dziekanów, prodziekanów, członków senatu lub członków rady uczelni?],"*"&amp;"Tak"&amp;"*")</f>
        <v>0</v>
      </c>
      <c r="D399">
        <f t="shared" si="115"/>
        <v>0</v>
      </c>
      <c r="E399" s="44">
        <f t="shared" si="116"/>
        <v>3.2399999999999993</v>
      </c>
      <c r="F399">
        <f t="shared" si="117"/>
        <v>0</v>
      </c>
    </row>
    <row r="400" spans="1:7" x14ac:dyDescent="0.45">
      <c r="A400">
        <v>3</v>
      </c>
      <c r="B400" t="s">
        <v>128</v>
      </c>
      <c r="C400">
        <f>COUNTIFS(AnalizaCzyste[Ogólny poziom mojej satysfakcji z jakości usług edukacyjnych ocenianej uczelni jest wysoki.],B400,AnalizaCzyste[Czy jesteś przedstawicielem władz uczelni z grupy rektorów, prorektorów, dziekanów, prodziekanów, członków senatu lub członków rady uczelni?],"*"&amp;"Tak"&amp;"*")</f>
        <v>0</v>
      </c>
      <c r="D400">
        <f t="shared" si="115"/>
        <v>0</v>
      </c>
      <c r="E400" s="44">
        <f t="shared" si="116"/>
        <v>7.839999999999999</v>
      </c>
      <c r="F400">
        <f t="shared" si="117"/>
        <v>0</v>
      </c>
    </row>
    <row r="401" spans="1:11" x14ac:dyDescent="0.45">
      <c r="A401">
        <v>2</v>
      </c>
      <c r="B401" t="s">
        <v>236</v>
      </c>
      <c r="C401">
        <f>COUNTIFS(AnalizaCzyste[Ogólny poziom mojej satysfakcji z jakości usług edukacyjnych ocenianej uczelni jest wysoki.],B401,AnalizaCzyste[Czy jesteś przedstawicielem władz uczelni z grupy rektorów, prorektorów, dziekanów, prodziekanów, członków senatu lub członków rady uczelni?],"*"&amp;"Tak"&amp;"*")</f>
        <v>0</v>
      </c>
      <c r="D401">
        <f t="shared" si="115"/>
        <v>0</v>
      </c>
      <c r="E401" s="44">
        <f t="shared" si="116"/>
        <v>14.44</v>
      </c>
      <c r="F401">
        <f t="shared" si="117"/>
        <v>0</v>
      </c>
    </row>
    <row r="402" spans="1:11" x14ac:dyDescent="0.45">
      <c r="A402">
        <v>1</v>
      </c>
      <c r="B402" t="s">
        <v>129</v>
      </c>
      <c r="C402">
        <f>COUNTIFS(AnalizaCzyste[Ogólny poziom mojej satysfakcji z jakości usług edukacyjnych ocenianej uczelni jest wysoki.],B402,AnalizaCzyste[Czy jesteś przedstawicielem władz uczelni z grupy rektorów, prorektorów, dziekanów, prodziekanów, członków senatu lub członków rady uczelni?],"*"&amp;"Tak"&amp;"*")</f>
        <v>0</v>
      </c>
      <c r="D402">
        <f t="shared" si="115"/>
        <v>0</v>
      </c>
      <c r="E402" s="44">
        <f t="shared" si="116"/>
        <v>23.04</v>
      </c>
      <c r="F402">
        <f t="shared" si="117"/>
        <v>0</v>
      </c>
    </row>
    <row r="403" spans="1:11" x14ac:dyDescent="0.45">
      <c r="A403" t="s">
        <v>2329</v>
      </c>
      <c r="B403" t="s">
        <v>132</v>
      </c>
      <c r="C403">
        <f>COUNTIFS(AnalizaCzyste[Ogólny poziom mojej satysfakcji z jakości usług edukacyjnych ocenianej uczelni jest wysoki.],B403,AnalizaCzyste[Czy jesteś przedstawicielem władz uczelni z grupy rektorów, prorektorów, dziekanów, prodziekanów, członków senatu lub członków rady uczelni?],"*"&amp;"Tak"&amp;"*")</f>
        <v>0</v>
      </c>
      <c r="D403">
        <f t="shared" si="115"/>
        <v>0</v>
      </c>
    </row>
    <row r="404" spans="1:11" x14ac:dyDescent="0.45">
      <c r="B404" s="20" t="s">
        <v>2351</v>
      </c>
      <c r="C404" s="29">
        <f>SUM(C396:C403)</f>
        <v>5</v>
      </c>
      <c r="D404" s="44">
        <f>SUM(D396:D402)/C405</f>
        <v>5.8</v>
      </c>
      <c r="E404" s="20" t="s">
        <v>2353</v>
      </c>
      <c r="F404" s="44">
        <f>SUM(F396:F403)/(C405-1)</f>
        <v>0.7</v>
      </c>
      <c r="G404" s="20" t="s">
        <v>2349</v>
      </c>
    </row>
    <row r="405" spans="1:11" x14ac:dyDescent="0.45">
      <c r="B405" s="20" t="s">
        <v>2352</v>
      </c>
      <c r="C405">
        <f>C404-C403</f>
        <v>5</v>
      </c>
      <c r="D405" s="33">
        <f>D404/7</f>
        <v>0.82857142857142851</v>
      </c>
      <c r="F405" s="44">
        <f>F404^(1/2)</f>
        <v>0.83666002653407556</v>
      </c>
      <c r="G405" t="s">
        <v>2404</v>
      </c>
    </row>
    <row r="406" spans="1:11" x14ac:dyDescent="0.45">
      <c r="B406" s="20"/>
      <c r="D406" s="51" t="str">
        <f>VLOOKUP(D404,InterpretacjaŚredniej[],2,1)</f>
        <v>zgadzam się</v>
      </c>
      <c r="E406">
        <f>D404-(K406*F405/SQRT(C405))</f>
        <v>4.7611493663164319</v>
      </c>
      <c r="F406" s="45" t="str">
        <f>"&lt; m &lt;"</f>
        <v>&lt; m &lt;</v>
      </c>
      <c r="G406">
        <f>D404+(K406*F405/SQRT(C405))</f>
        <v>6.8388506336835677</v>
      </c>
      <c r="H406" t="s">
        <v>2407</v>
      </c>
      <c r="I406">
        <v>0.05</v>
      </c>
      <c r="J406" s="20" t="s">
        <v>2417</v>
      </c>
      <c r="K406">
        <f>VLOOKUP($C$405-1,Tabl_tStudenta[],5,0)</f>
        <v>2.7764451051977934</v>
      </c>
    </row>
    <row r="407" spans="1:11" x14ac:dyDescent="0.45">
      <c r="B407" s="20"/>
      <c r="D407" s="33"/>
      <c r="F407" s="44"/>
      <c r="G407" s="42">
        <f>G406-E406</f>
        <v>2.0777012673671358</v>
      </c>
    </row>
    <row r="408" spans="1:11" x14ac:dyDescent="0.45">
      <c r="A408" s="29" t="s">
        <v>2357</v>
      </c>
      <c r="C408" t="s">
        <v>2348</v>
      </c>
      <c r="E408" s="20" t="s">
        <v>2362</v>
      </c>
      <c r="F408" s="20" t="s">
        <v>2363</v>
      </c>
    </row>
    <row r="409" spans="1:11" x14ac:dyDescent="0.45">
      <c r="A409">
        <v>7</v>
      </c>
      <c r="B409" t="s">
        <v>169</v>
      </c>
      <c r="C409">
        <f>COUNTIFS(AnalizaCzyste[Efekty działań ocenianej uczelni na rzesz jakości edukacji są dobre],B409,AnalizaCzyste[Czy jesteś przedstawicielem władz uczelni z grupy rektorów, prorektorów, dziekanów, prodziekanów, członków senatu lub członków rady uczelni?],"*"&amp;"Tak"&amp;"*")</f>
        <v>1</v>
      </c>
      <c r="D409">
        <f>PRODUCT(A409,C409)</f>
        <v>7</v>
      </c>
      <c r="E409" s="44">
        <f>(A409-$D$417)^2</f>
        <v>1.4400000000000004</v>
      </c>
      <c r="F409">
        <f>PRODUCT(C409,E409)</f>
        <v>1.4400000000000004</v>
      </c>
    </row>
    <row r="410" spans="1:11" x14ac:dyDescent="0.45">
      <c r="A410">
        <v>6</v>
      </c>
      <c r="B410" t="s">
        <v>150</v>
      </c>
      <c r="C410">
        <f>COUNTIFS(AnalizaCzyste[Efekty działań ocenianej uczelni na rzesz jakości edukacji są dobre],B410,AnalizaCzyste[Czy jesteś przedstawicielem władz uczelni z grupy rektorów, prorektorów, dziekanów, prodziekanów, członków senatu lub członków rady uczelni?],"*"&amp;"Tak"&amp;"*")</f>
        <v>2</v>
      </c>
      <c r="D410">
        <f t="shared" ref="D410:D416" si="118">PRODUCT(A410,C410)</f>
        <v>12</v>
      </c>
      <c r="E410" s="44">
        <f t="shared" ref="E410:E415" si="119">(A410-$D$417)^2</f>
        <v>4.000000000000007E-2</v>
      </c>
      <c r="F410">
        <f t="shared" ref="F410:F415" si="120">PRODUCT(C410,E410)</f>
        <v>8.000000000000014E-2</v>
      </c>
    </row>
    <row r="411" spans="1:11" x14ac:dyDescent="0.45">
      <c r="A411">
        <v>5</v>
      </c>
      <c r="B411" t="s">
        <v>162</v>
      </c>
      <c r="C411">
        <f>COUNTIFS(AnalizaCzyste[Efekty działań ocenianej uczelni na rzesz jakości edukacji są dobre],B411,AnalizaCzyste[Czy jesteś przedstawicielem władz uczelni z grupy rektorów, prorektorów, dziekanów, prodziekanów, członków senatu lub członków rady uczelni?],"*"&amp;"Tak"&amp;"*")</f>
        <v>2</v>
      </c>
      <c r="D411">
        <f t="shared" si="118"/>
        <v>10</v>
      </c>
      <c r="E411" s="44">
        <f t="shared" si="119"/>
        <v>0.63999999999999968</v>
      </c>
      <c r="F411">
        <f t="shared" si="120"/>
        <v>1.2799999999999994</v>
      </c>
    </row>
    <row r="412" spans="1:11" x14ac:dyDescent="0.45">
      <c r="A412">
        <v>4</v>
      </c>
      <c r="B412" t="s">
        <v>151</v>
      </c>
      <c r="C412">
        <f>COUNTIFS(AnalizaCzyste[Efekty działań ocenianej uczelni na rzesz jakości edukacji są dobre],B412,AnalizaCzyste[Czy jesteś przedstawicielem władz uczelni z grupy rektorów, prorektorów, dziekanów, prodziekanów, członków senatu lub członków rady uczelni?],"*"&amp;"Tak"&amp;"*")</f>
        <v>0</v>
      </c>
      <c r="D412">
        <f t="shared" si="118"/>
        <v>0</v>
      </c>
      <c r="E412" s="44">
        <f t="shared" si="119"/>
        <v>3.2399999999999993</v>
      </c>
      <c r="F412">
        <f t="shared" si="120"/>
        <v>0</v>
      </c>
    </row>
    <row r="413" spans="1:11" x14ac:dyDescent="0.45">
      <c r="A413">
        <v>3</v>
      </c>
      <c r="B413" t="s">
        <v>128</v>
      </c>
      <c r="C413">
        <f>COUNTIFS(AnalizaCzyste[Efekty działań ocenianej uczelni na rzesz jakości edukacji są dobre],B413,AnalizaCzyste[Czy jesteś przedstawicielem władz uczelni z grupy rektorów, prorektorów, dziekanów, prodziekanów, członków senatu lub członków rady uczelni?],"*"&amp;"Tak"&amp;"*")</f>
        <v>0</v>
      </c>
      <c r="D413">
        <f t="shared" si="118"/>
        <v>0</v>
      </c>
      <c r="E413" s="44">
        <f t="shared" si="119"/>
        <v>7.839999999999999</v>
      </c>
      <c r="F413">
        <f t="shared" si="120"/>
        <v>0</v>
      </c>
    </row>
    <row r="414" spans="1:11" x14ac:dyDescent="0.45">
      <c r="A414">
        <v>2</v>
      </c>
      <c r="B414" t="s">
        <v>236</v>
      </c>
      <c r="C414">
        <f>COUNTIFS(AnalizaCzyste[Efekty działań ocenianej uczelni na rzesz jakości edukacji są dobre],B414,AnalizaCzyste[Czy jesteś przedstawicielem władz uczelni z grupy rektorów, prorektorów, dziekanów, prodziekanów, członków senatu lub członków rady uczelni?],"*"&amp;"Tak"&amp;"*")</f>
        <v>0</v>
      </c>
      <c r="D414">
        <f t="shared" si="118"/>
        <v>0</v>
      </c>
      <c r="E414" s="44">
        <f t="shared" si="119"/>
        <v>14.44</v>
      </c>
      <c r="F414">
        <f t="shared" si="120"/>
        <v>0</v>
      </c>
    </row>
    <row r="415" spans="1:11" x14ac:dyDescent="0.45">
      <c r="A415">
        <v>1</v>
      </c>
      <c r="B415" t="s">
        <v>129</v>
      </c>
      <c r="C415">
        <f>COUNTIFS(AnalizaCzyste[Efekty działań ocenianej uczelni na rzesz jakości edukacji są dobre],B415,AnalizaCzyste[Czy jesteś przedstawicielem władz uczelni z grupy rektorów, prorektorów, dziekanów, prodziekanów, członków senatu lub członków rady uczelni?],"*"&amp;"Tak"&amp;"*")</f>
        <v>0</v>
      </c>
      <c r="D415">
        <f t="shared" si="118"/>
        <v>0</v>
      </c>
      <c r="E415" s="44">
        <f t="shared" si="119"/>
        <v>23.04</v>
      </c>
      <c r="F415">
        <f t="shared" si="120"/>
        <v>0</v>
      </c>
    </row>
    <row r="416" spans="1:11" x14ac:dyDescent="0.45">
      <c r="A416" t="s">
        <v>2329</v>
      </c>
      <c r="B416" t="s">
        <v>132</v>
      </c>
      <c r="C416">
        <f>COUNTIFS(AnalizaCzyste[Efekty działań ocenianej uczelni na rzesz jakości edukacji są dobre],B416,AnalizaCzyste[Czy jesteś przedstawicielem władz uczelni z grupy rektorów, prorektorów, dziekanów, prodziekanów, członków senatu lub członków rady uczelni?],"*"&amp;"Tak"&amp;"*")</f>
        <v>0</v>
      </c>
      <c r="D416">
        <f t="shared" si="118"/>
        <v>0</v>
      </c>
    </row>
    <row r="417" spans="1:7" x14ac:dyDescent="0.45">
      <c r="B417" s="20" t="s">
        <v>2351</v>
      </c>
      <c r="C417" s="29">
        <f>SUM(C409:C416)</f>
        <v>5</v>
      </c>
      <c r="D417" s="44">
        <f>SUM(D409:D415)/C418</f>
        <v>5.8</v>
      </c>
      <c r="E417" s="20" t="s">
        <v>2353</v>
      </c>
      <c r="F417" s="44">
        <f>SUM(F409:F416)/(C418-1)</f>
        <v>0.7</v>
      </c>
      <c r="G417" s="20" t="s">
        <v>2349</v>
      </c>
    </row>
    <row r="418" spans="1:7" x14ac:dyDescent="0.45">
      <c r="B418" s="20" t="s">
        <v>2352</v>
      </c>
      <c r="C418">
        <f>C417-C416</f>
        <v>5</v>
      </c>
      <c r="D418" s="33">
        <f>D417/7</f>
        <v>0.82857142857142851</v>
      </c>
      <c r="F418" s="44">
        <f>F417^(1/2)</f>
        <v>0.83666002653407556</v>
      </c>
      <c r="G418" t="s">
        <v>2404</v>
      </c>
    </row>
    <row r="419" spans="1:7" x14ac:dyDescent="0.45">
      <c r="B419" s="20"/>
      <c r="D419" s="33"/>
      <c r="F419" s="44"/>
    </row>
    <row r="420" spans="1:7" x14ac:dyDescent="0.45">
      <c r="A420" s="29" t="s">
        <v>2385</v>
      </c>
      <c r="C420" t="s">
        <v>2348</v>
      </c>
      <c r="E420" s="20" t="s">
        <v>2362</v>
      </c>
      <c r="F420" s="20" t="s">
        <v>2363</v>
      </c>
    </row>
    <row r="421" spans="1:7" x14ac:dyDescent="0.45">
      <c r="A421">
        <v>7</v>
      </c>
      <c r="B421" t="s">
        <v>169</v>
      </c>
      <c r="C421">
        <f>COUNTIFS(AnalizaCzyste[Wartość wykształcenia zdobywanego przez studentów na ocenianej uczelni jest wysoka.],B421,AnalizaCzyste[Czy jesteś przedstawicielem władz uczelni z grupy rektorów, prorektorów, dziekanów, prodziekanów, członków senatu lub członków rady uczelni?],"*"&amp;"Tak"&amp;"*")</f>
        <v>1</v>
      </c>
      <c r="D421">
        <f>PRODUCT(A421,C421)</f>
        <v>7</v>
      </c>
      <c r="E421" s="44">
        <f>(A421-$D$429)^2</f>
        <v>1</v>
      </c>
      <c r="F421">
        <f>PRODUCT(C421,E421)</f>
        <v>1</v>
      </c>
    </row>
    <row r="422" spans="1:7" x14ac:dyDescent="0.45">
      <c r="A422">
        <v>6</v>
      </c>
      <c r="B422" t="s">
        <v>150</v>
      </c>
      <c r="C422">
        <f>COUNTIFS(AnalizaCzyste[Wartość wykształcenia zdobywanego przez studentów na ocenianej uczelni jest wysoka.],B422,AnalizaCzyste[Czy jesteś przedstawicielem władz uczelni z grupy rektorów, prorektorów, dziekanów, prodziekanów, członków senatu lub członków rady uczelni?],"*"&amp;"Tak"&amp;"*")</f>
        <v>3</v>
      </c>
      <c r="D422">
        <f t="shared" ref="D422:D428" si="121">PRODUCT(A422,C422)</f>
        <v>18</v>
      </c>
      <c r="E422" s="44">
        <f t="shared" ref="E422:E427" si="122">(A422-$D$429)^2</f>
        <v>0</v>
      </c>
      <c r="F422">
        <f t="shared" ref="F422:F427" si="123">PRODUCT(C422,E422)</f>
        <v>0</v>
      </c>
    </row>
    <row r="423" spans="1:7" x14ac:dyDescent="0.45">
      <c r="A423">
        <v>5</v>
      </c>
      <c r="B423" t="s">
        <v>162</v>
      </c>
      <c r="C423">
        <f>COUNTIFS(AnalizaCzyste[Wartość wykształcenia zdobywanego przez studentów na ocenianej uczelni jest wysoka.],B423,AnalizaCzyste[Czy jesteś przedstawicielem władz uczelni z grupy rektorów, prorektorów, dziekanów, prodziekanów, członków senatu lub członków rady uczelni?],"*"&amp;"Tak"&amp;"*")</f>
        <v>1</v>
      </c>
      <c r="D423">
        <f t="shared" si="121"/>
        <v>5</v>
      </c>
      <c r="E423" s="44">
        <f t="shared" si="122"/>
        <v>1</v>
      </c>
      <c r="F423">
        <f t="shared" si="123"/>
        <v>1</v>
      </c>
    </row>
    <row r="424" spans="1:7" x14ac:dyDescent="0.45">
      <c r="A424">
        <v>4</v>
      </c>
      <c r="B424" t="s">
        <v>151</v>
      </c>
      <c r="C424">
        <f>COUNTIFS(AnalizaCzyste[Wartość wykształcenia zdobywanego przez studentów na ocenianej uczelni jest wysoka.],B424,AnalizaCzyste[Czy jesteś przedstawicielem władz uczelni z grupy rektorów, prorektorów, dziekanów, prodziekanów, członków senatu lub członków rady uczelni?],"*"&amp;"Tak"&amp;"*")</f>
        <v>0</v>
      </c>
      <c r="D424">
        <f t="shared" si="121"/>
        <v>0</v>
      </c>
      <c r="E424" s="44">
        <f t="shared" si="122"/>
        <v>4</v>
      </c>
      <c r="F424">
        <f t="shared" si="123"/>
        <v>0</v>
      </c>
    </row>
    <row r="425" spans="1:7" x14ac:dyDescent="0.45">
      <c r="A425">
        <v>3</v>
      </c>
      <c r="B425" t="s">
        <v>128</v>
      </c>
      <c r="C425">
        <f>COUNTIFS(AnalizaCzyste[Wartość wykształcenia zdobywanego przez studentów na ocenianej uczelni jest wysoka.],B425,AnalizaCzyste[Czy jesteś przedstawicielem władz uczelni z grupy rektorów, prorektorów, dziekanów, prodziekanów, członków senatu lub członków rady uczelni?],"*"&amp;"Tak"&amp;"*")</f>
        <v>0</v>
      </c>
      <c r="D425">
        <f t="shared" si="121"/>
        <v>0</v>
      </c>
      <c r="E425" s="44">
        <f t="shared" si="122"/>
        <v>9</v>
      </c>
      <c r="F425">
        <f t="shared" si="123"/>
        <v>0</v>
      </c>
    </row>
    <row r="426" spans="1:7" x14ac:dyDescent="0.45">
      <c r="A426">
        <v>2</v>
      </c>
      <c r="B426" t="s">
        <v>236</v>
      </c>
      <c r="C426">
        <f>COUNTIFS(AnalizaCzyste[Wartość wykształcenia zdobywanego przez studentów na ocenianej uczelni jest wysoka.],B426,AnalizaCzyste[Czy jesteś przedstawicielem władz uczelni z grupy rektorów, prorektorów, dziekanów, prodziekanów, członków senatu lub członków rady uczelni?],"*"&amp;"Tak"&amp;"*")</f>
        <v>0</v>
      </c>
      <c r="D426">
        <f t="shared" si="121"/>
        <v>0</v>
      </c>
      <c r="E426" s="44">
        <f t="shared" si="122"/>
        <v>16</v>
      </c>
      <c r="F426">
        <f t="shared" si="123"/>
        <v>0</v>
      </c>
    </row>
    <row r="427" spans="1:7" x14ac:dyDescent="0.45">
      <c r="A427">
        <v>1</v>
      </c>
      <c r="B427" t="s">
        <v>129</v>
      </c>
      <c r="C427">
        <f>COUNTIFS(AnalizaCzyste[Wartość wykształcenia zdobywanego przez studentów na ocenianej uczelni jest wysoka.],B427,AnalizaCzyste[Czy jesteś przedstawicielem władz uczelni z grupy rektorów, prorektorów, dziekanów, prodziekanów, członków senatu lub członków rady uczelni?],"*"&amp;"Tak"&amp;"*")</f>
        <v>0</v>
      </c>
      <c r="D427">
        <f t="shared" si="121"/>
        <v>0</v>
      </c>
      <c r="E427" s="44">
        <f t="shared" si="122"/>
        <v>25</v>
      </c>
      <c r="F427">
        <f t="shared" si="123"/>
        <v>0</v>
      </c>
    </row>
    <row r="428" spans="1:7" x14ac:dyDescent="0.45">
      <c r="A428" t="s">
        <v>2329</v>
      </c>
      <c r="B428" t="s">
        <v>132</v>
      </c>
      <c r="C428">
        <f>COUNTIFS(AnalizaCzyste[Wartość wykształcenia zdobywanego przez studentów na ocenianej uczelni jest wysoka.],B428,AnalizaCzyste[Czy jesteś przedstawicielem władz uczelni z grupy rektorów, prorektorów, dziekanów, prodziekanów, członków senatu lub członków rady uczelni?],"*"&amp;"Tak"&amp;"*")</f>
        <v>0</v>
      </c>
      <c r="D428">
        <f t="shared" si="121"/>
        <v>0</v>
      </c>
    </row>
    <row r="429" spans="1:7" x14ac:dyDescent="0.45">
      <c r="B429" s="20" t="s">
        <v>2351</v>
      </c>
      <c r="C429" s="29">
        <f>SUM(C421:C428)</f>
        <v>5</v>
      </c>
      <c r="D429" s="44">
        <f>SUM(D421:D427)/C430</f>
        <v>6</v>
      </c>
      <c r="E429" s="20" t="s">
        <v>2353</v>
      </c>
      <c r="F429" s="44">
        <f>SUM(F421:F428)/(C430-1)</f>
        <v>0.5</v>
      </c>
      <c r="G429" s="20" t="s">
        <v>2349</v>
      </c>
    </row>
    <row r="430" spans="1:7" x14ac:dyDescent="0.45">
      <c r="B430" s="20" t="s">
        <v>2352</v>
      </c>
      <c r="C430">
        <f>C429-C428</f>
        <v>5</v>
      </c>
      <c r="D430" s="33">
        <f>D429/7</f>
        <v>0.8571428571428571</v>
      </c>
      <c r="F430" s="44">
        <f>F429^(1/2)</f>
        <v>0.70710678118654757</v>
      </c>
      <c r="G430" t="s">
        <v>2404</v>
      </c>
    </row>
    <row r="431" spans="1:7" x14ac:dyDescent="0.45">
      <c r="B431" s="20"/>
      <c r="D431" s="33"/>
      <c r="F431" s="44"/>
    </row>
    <row r="432" spans="1:7" x14ac:dyDescent="0.45">
      <c r="A432" s="29" t="s">
        <v>2386</v>
      </c>
      <c r="C432" t="s">
        <v>2348</v>
      </c>
      <c r="E432" s="20" t="s">
        <v>2362</v>
      </c>
      <c r="F432" s="20" t="s">
        <v>2363</v>
      </c>
    </row>
    <row r="433" spans="1:7" x14ac:dyDescent="0.45">
      <c r="A433">
        <v>7</v>
      </c>
      <c r="B433" t="s">
        <v>169</v>
      </c>
      <c r="C433">
        <f>COUNTIFS(AnalizaCzyste[Zdobyte przez studentów ocenianej uczelni wykształcenie miało/ma pozytywny wpływ na ich zarobki.],B433,AnalizaCzyste[Czy jesteś przedstawicielem władz uczelni z grupy rektorów, prorektorów, dziekanów, prodziekanów, członków senatu lub członków rady uczelni?],"*"&amp;"Tak"&amp;"*")</f>
        <v>1</v>
      </c>
      <c r="D433">
        <f>PRODUCT(A433,C433)</f>
        <v>7</v>
      </c>
      <c r="E433" s="44">
        <f>(A433-$D$441)^2</f>
        <v>1.9600000000000011</v>
      </c>
      <c r="F433">
        <f>PRODUCT(C433,E433)</f>
        <v>1.9600000000000011</v>
      </c>
    </row>
    <row r="434" spans="1:7" x14ac:dyDescent="0.45">
      <c r="A434">
        <v>6</v>
      </c>
      <c r="B434" t="s">
        <v>150</v>
      </c>
      <c r="C434">
        <f>COUNTIFS(AnalizaCzyste[Zdobyte przez studentów ocenianej uczelni wykształcenie miało/ma pozytywny wpływ na ich zarobki.],B434,AnalizaCzyste[Czy jesteś przedstawicielem władz uczelni z grupy rektorów, prorektorów, dziekanów, prodziekanów, członków senatu lub członków rady uczelni?],"*"&amp;"Tak"&amp;"*")</f>
        <v>2</v>
      </c>
      <c r="D434">
        <f t="shared" ref="D434:D440" si="124">PRODUCT(A434,C434)</f>
        <v>12</v>
      </c>
      <c r="E434" s="44">
        <f t="shared" ref="E434:E439" si="125">(A434-$D$441)^2</f>
        <v>0.16000000000000028</v>
      </c>
      <c r="F434">
        <f t="shared" ref="F434:F439" si="126">PRODUCT(C434,E434)</f>
        <v>0.32000000000000056</v>
      </c>
    </row>
    <row r="435" spans="1:7" x14ac:dyDescent="0.45">
      <c r="A435">
        <v>5</v>
      </c>
      <c r="B435" t="s">
        <v>162</v>
      </c>
      <c r="C435">
        <f>COUNTIFS(AnalizaCzyste[Zdobyte przez studentów ocenianej uczelni wykształcenie miało/ma pozytywny wpływ na ich zarobki.],B435,AnalizaCzyste[Czy jesteś przedstawicielem władz uczelni z grupy rektorów, prorektorów, dziekanów, prodziekanów, członków senatu lub członków rady uczelni?],"*"&amp;"Tak"&amp;"*")</f>
        <v>1</v>
      </c>
      <c r="D435">
        <f t="shared" si="124"/>
        <v>5</v>
      </c>
      <c r="E435" s="44">
        <f t="shared" si="125"/>
        <v>0.3599999999999996</v>
      </c>
      <c r="F435">
        <f t="shared" si="126"/>
        <v>0.3599999999999996</v>
      </c>
    </row>
    <row r="436" spans="1:7" x14ac:dyDescent="0.45">
      <c r="A436">
        <v>4</v>
      </c>
      <c r="B436" t="s">
        <v>151</v>
      </c>
      <c r="C436">
        <f>COUNTIFS(AnalizaCzyste[Zdobyte przez studentów ocenianej uczelni wykształcenie miało/ma pozytywny wpływ na ich zarobki.],B436,AnalizaCzyste[Czy jesteś przedstawicielem władz uczelni z grupy rektorów, prorektorów, dziekanów, prodziekanów, członków senatu lub członków rady uczelni?],"*"&amp;"Tak"&amp;"*")</f>
        <v>1</v>
      </c>
      <c r="D436">
        <f t="shared" si="124"/>
        <v>4</v>
      </c>
      <c r="E436" s="44">
        <f t="shared" si="125"/>
        <v>2.5599999999999987</v>
      </c>
      <c r="F436">
        <f t="shared" si="126"/>
        <v>2.5599999999999987</v>
      </c>
    </row>
    <row r="437" spans="1:7" x14ac:dyDescent="0.45">
      <c r="A437">
        <v>3</v>
      </c>
      <c r="B437" t="s">
        <v>128</v>
      </c>
      <c r="C437">
        <f>COUNTIFS(AnalizaCzyste[Zdobyte przez studentów ocenianej uczelni wykształcenie miało/ma pozytywny wpływ na ich zarobki.],B437,AnalizaCzyste[Czy jesteś przedstawicielem władz uczelni z grupy rektorów, prorektorów, dziekanów, prodziekanów, członków senatu lub członków rady uczelni?],"*"&amp;"Tak"&amp;"*")</f>
        <v>0</v>
      </c>
      <c r="D437">
        <f t="shared" si="124"/>
        <v>0</v>
      </c>
      <c r="E437" s="44">
        <f t="shared" si="125"/>
        <v>6.759999999999998</v>
      </c>
      <c r="F437">
        <f t="shared" si="126"/>
        <v>0</v>
      </c>
    </row>
    <row r="438" spans="1:7" x14ac:dyDescent="0.45">
      <c r="A438">
        <v>2</v>
      </c>
      <c r="B438" t="s">
        <v>236</v>
      </c>
      <c r="C438">
        <f>COUNTIFS(AnalizaCzyste[Zdobyte przez studentów ocenianej uczelni wykształcenie miało/ma pozytywny wpływ na ich zarobki.],B438,AnalizaCzyste[Czy jesteś przedstawicielem władz uczelni z grupy rektorów, prorektorów, dziekanów, prodziekanów, członków senatu lub członków rady uczelni?],"*"&amp;"Tak"&amp;"*")</f>
        <v>0</v>
      </c>
      <c r="D438">
        <f t="shared" si="124"/>
        <v>0</v>
      </c>
      <c r="E438" s="44">
        <f t="shared" si="125"/>
        <v>12.959999999999997</v>
      </c>
      <c r="F438">
        <f t="shared" si="126"/>
        <v>0</v>
      </c>
    </row>
    <row r="439" spans="1:7" x14ac:dyDescent="0.45">
      <c r="A439">
        <v>1</v>
      </c>
      <c r="B439" t="s">
        <v>129</v>
      </c>
      <c r="C439">
        <f>COUNTIFS(AnalizaCzyste[Zdobyte przez studentów ocenianej uczelni wykształcenie miało/ma pozytywny wpływ na ich zarobki.],B439,AnalizaCzyste[Czy jesteś przedstawicielem władz uczelni z grupy rektorów, prorektorów, dziekanów, prodziekanów, członków senatu lub członków rady uczelni?],"*"&amp;"Tak"&amp;"*")</f>
        <v>0</v>
      </c>
      <c r="D439">
        <f t="shared" si="124"/>
        <v>0</v>
      </c>
      <c r="E439" s="44">
        <f t="shared" si="125"/>
        <v>21.159999999999997</v>
      </c>
      <c r="F439">
        <f t="shared" si="126"/>
        <v>0</v>
      </c>
    </row>
    <row r="440" spans="1:7" x14ac:dyDescent="0.45">
      <c r="A440" t="s">
        <v>2329</v>
      </c>
      <c r="B440" t="s">
        <v>132</v>
      </c>
      <c r="C440">
        <f>COUNTIFS(AnalizaCzyste[Zdobyte przez studentów ocenianej uczelni wykształcenie miało/ma pozytywny wpływ na ich zarobki.],B440,AnalizaCzyste[Czy jesteś przedstawicielem władz uczelni z grupy rektorów, prorektorów, dziekanów, prodziekanów, członków senatu lub członków rady uczelni?],"*"&amp;"Tak"&amp;"*")</f>
        <v>0</v>
      </c>
      <c r="D440">
        <f t="shared" si="124"/>
        <v>0</v>
      </c>
    </row>
    <row r="441" spans="1:7" x14ac:dyDescent="0.45">
      <c r="B441" s="20" t="s">
        <v>2351</v>
      </c>
      <c r="C441" s="29">
        <f>SUM(C433:C440)</f>
        <v>5</v>
      </c>
      <c r="D441" s="44">
        <f>SUM(D433:D439)/C442</f>
        <v>5.6</v>
      </c>
      <c r="E441" s="20" t="s">
        <v>2353</v>
      </c>
      <c r="F441" s="44">
        <f>SUM(F433:F440)/(C442-1)</f>
        <v>1.2999999999999998</v>
      </c>
      <c r="G441" s="20" t="s">
        <v>2349</v>
      </c>
    </row>
    <row r="442" spans="1:7" x14ac:dyDescent="0.45">
      <c r="B442" s="20" t="s">
        <v>2352</v>
      </c>
      <c r="C442">
        <f>C441-C440</f>
        <v>5</v>
      </c>
      <c r="D442" s="33">
        <f>D441/7</f>
        <v>0.79999999999999993</v>
      </c>
      <c r="F442" s="44">
        <f>F441^(1/2)</f>
        <v>1.1401754250991378</v>
      </c>
      <c r="G442" t="s">
        <v>2404</v>
      </c>
    </row>
    <row r="443" spans="1:7" x14ac:dyDescent="0.45">
      <c r="B443" s="20"/>
      <c r="D443" s="33"/>
      <c r="F443" s="44"/>
    </row>
    <row r="444" spans="1:7" x14ac:dyDescent="0.45">
      <c r="A444" s="29" t="s">
        <v>2387</v>
      </c>
      <c r="C444" t="s">
        <v>2348</v>
      </c>
      <c r="E444" s="20" t="s">
        <v>2362</v>
      </c>
      <c r="F444" s="20" t="s">
        <v>2363</v>
      </c>
    </row>
    <row r="445" spans="1:7" x14ac:dyDescent="0.45">
      <c r="A445">
        <v>7</v>
      </c>
      <c r="B445" t="s">
        <v>169</v>
      </c>
      <c r="C445">
        <f>COUNTIFS(AnalizaCzyste[Efekty działań ocenianej uczelni na rzecz jakości edukacji mają dobry wpływ na rozwój regionu.],B445,AnalizaCzyste[Czy jesteś przedstawicielem władz uczelni z grupy rektorów, prorektorów, dziekanów, prodziekanów, członków senatu lub członków rady uczelni?],"*"&amp;"Tak"&amp;"*")</f>
        <v>1</v>
      </c>
      <c r="D445">
        <f>PRODUCT(A445,C445)</f>
        <v>7</v>
      </c>
      <c r="E445" s="44">
        <f>(A445-$D$453)^2</f>
        <v>1.5625</v>
      </c>
      <c r="F445">
        <f>PRODUCT(C445,E445)</f>
        <v>1.5625</v>
      </c>
    </row>
    <row r="446" spans="1:7" x14ac:dyDescent="0.45">
      <c r="A446">
        <v>6</v>
      </c>
      <c r="B446" t="s">
        <v>150</v>
      </c>
      <c r="C446">
        <f>COUNTIFS(AnalizaCzyste[Efekty działań ocenianej uczelni na rzecz jakości edukacji mają dobry wpływ na rozwój regionu.],B446,AnalizaCzyste[Czy jesteś przedstawicielem władz uczelni z grupy rektorów, prorektorów, dziekanów, prodziekanów, członków senatu lub członków rady uczelni?],"*"&amp;"Tak"&amp;"*")</f>
        <v>2</v>
      </c>
      <c r="D446">
        <f t="shared" ref="D446:D452" si="127">PRODUCT(A446,C446)</f>
        <v>12</v>
      </c>
      <c r="E446" s="44">
        <f t="shared" ref="E446:E451" si="128">(A446-$D$453)^2</f>
        <v>6.25E-2</v>
      </c>
      <c r="F446">
        <f t="shared" ref="F446:F451" si="129">PRODUCT(C446,E446)</f>
        <v>0.125</v>
      </c>
    </row>
    <row r="447" spans="1:7" x14ac:dyDescent="0.45">
      <c r="A447">
        <v>5</v>
      </c>
      <c r="B447" t="s">
        <v>162</v>
      </c>
      <c r="C447">
        <f>COUNTIFS(AnalizaCzyste[Efekty działań ocenianej uczelni na rzecz jakości edukacji mają dobry wpływ na rozwój regionu.],B447,AnalizaCzyste[Czy jesteś przedstawicielem władz uczelni z grupy rektorów, prorektorów, dziekanów, prodziekanów, członków senatu lub członków rady uczelni?],"*"&amp;"Tak"&amp;"*")</f>
        <v>0</v>
      </c>
      <c r="D447">
        <f t="shared" si="127"/>
        <v>0</v>
      </c>
      <c r="E447" s="44">
        <f t="shared" si="128"/>
        <v>0.5625</v>
      </c>
      <c r="F447">
        <f t="shared" si="129"/>
        <v>0</v>
      </c>
    </row>
    <row r="448" spans="1:7" x14ac:dyDescent="0.45">
      <c r="A448">
        <v>4</v>
      </c>
      <c r="B448" t="s">
        <v>151</v>
      </c>
      <c r="C448">
        <f>COUNTIFS(AnalizaCzyste[Efekty działań ocenianej uczelni na rzecz jakości edukacji mają dobry wpływ na rozwój regionu.],B448,AnalizaCzyste[Czy jesteś przedstawicielem władz uczelni z grupy rektorów, prorektorów, dziekanów, prodziekanów, członków senatu lub członków rady uczelni?],"*"&amp;"Tak"&amp;"*")</f>
        <v>1</v>
      </c>
      <c r="D448">
        <f t="shared" si="127"/>
        <v>4</v>
      </c>
      <c r="E448" s="44">
        <f t="shared" si="128"/>
        <v>3.0625</v>
      </c>
      <c r="F448">
        <f t="shared" si="129"/>
        <v>3.0625</v>
      </c>
    </row>
    <row r="449" spans="1:7" x14ac:dyDescent="0.45">
      <c r="A449">
        <v>3</v>
      </c>
      <c r="B449" t="s">
        <v>128</v>
      </c>
      <c r="C449">
        <f>COUNTIFS(AnalizaCzyste[Efekty działań ocenianej uczelni na rzecz jakości edukacji mają dobry wpływ na rozwój regionu.],B449,AnalizaCzyste[Czy jesteś przedstawicielem władz uczelni z grupy rektorów, prorektorów, dziekanów, prodziekanów, członków senatu lub członków rady uczelni?],"*"&amp;"Tak"&amp;"*")</f>
        <v>0</v>
      </c>
      <c r="D449">
        <f t="shared" si="127"/>
        <v>0</v>
      </c>
      <c r="E449" s="44">
        <f t="shared" si="128"/>
        <v>7.5625</v>
      </c>
      <c r="F449">
        <f t="shared" si="129"/>
        <v>0</v>
      </c>
    </row>
    <row r="450" spans="1:7" x14ac:dyDescent="0.45">
      <c r="A450">
        <v>2</v>
      </c>
      <c r="B450" t="s">
        <v>236</v>
      </c>
      <c r="C450">
        <f>COUNTIFS(AnalizaCzyste[Efekty działań ocenianej uczelni na rzecz jakości edukacji mają dobry wpływ na rozwój regionu.],B450,AnalizaCzyste[Czy jesteś przedstawicielem władz uczelni z grupy rektorów, prorektorów, dziekanów, prodziekanów, członków senatu lub członków rady uczelni?],"*"&amp;"Tak"&amp;"*")</f>
        <v>0</v>
      </c>
      <c r="D450">
        <f t="shared" si="127"/>
        <v>0</v>
      </c>
      <c r="E450" s="44">
        <f t="shared" si="128"/>
        <v>14.0625</v>
      </c>
      <c r="F450">
        <f t="shared" si="129"/>
        <v>0</v>
      </c>
    </row>
    <row r="451" spans="1:7" x14ac:dyDescent="0.45">
      <c r="A451">
        <v>1</v>
      </c>
      <c r="B451" t="s">
        <v>129</v>
      </c>
      <c r="C451">
        <f>COUNTIFS(AnalizaCzyste[Efekty działań ocenianej uczelni na rzecz jakości edukacji mają dobry wpływ na rozwój regionu.],B451,AnalizaCzyste[Czy jesteś przedstawicielem władz uczelni z grupy rektorów, prorektorów, dziekanów, prodziekanów, członków senatu lub członków rady uczelni?],"*"&amp;"Tak"&amp;"*")</f>
        <v>0</v>
      </c>
      <c r="D451">
        <f t="shared" si="127"/>
        <v>0</v>
      </c>
      <c r="E451" s="44">
        <f t="shared" si="128"/>
        <v>22.5625</v>
      </c>
      <c r="F451">
        <f t="shared" si="129"/>
        <v>0</v>
      </c>
    </row>
    <row r="452" spans="1:7" x14ac:dyDescent="0.45">
      <c r="A452" t="s">
        <v>2329</v>
      </c>
      <c r="B452" t="s">
        <v>132</v>
      </c>
      <c r="C452">
        <f>COUNTIFS(AnalizaCzyste[Efekty działań ocenianej uczelni na rzecz jakości edukacji mają dobry wpływ na rozwój regionu.],B452,AnalizaCzyste[Czy jesteś przedstawicielem władz uczelni z grupy rektorów, prorektorów, dziekanów, prodziekanów, członków senatu lub członków rady uczelni?],"*"&amp;"Tak"&amp;"*")</f>
        <v>1</v>
      </c>
      <c r="D452">
        <f t="shared" si="127"/>
        <v>1</v>
      </c>
    </row>
    <row r="453" spans="1:7" x14ac:dyDescent="0.45">
      <c r="B453" s="20" t="s">
        <v>2351</v>
      </c>
      <c r="C453" s="29">
        <f>SUM(C445:C452)</f>
        <v>5</v>
      </c>
      <c r="D453" s="44">
        <f>SUM(D445:D451)/C454</f>
        <v>5.75</v>
      </c>
      <c r="E453" s="20" t="s">
        <v>2353</v>
      </c>
      <c r="F453" s="44">
        <f>SUM(F445:F452)/(C454-1)</f>
        <v>1.5833333333333333</v>
      </c>
      <c r="G453" s="20" t="s">
        <v>2349</v>
      </c>
    </row>
    <row r="454" spans="1:7" x14ac:dyDescent="0.45">
      <c r="B454" s="20" t="s">
        <v>2352</v>
      </c>
      <c r="C454">
        <f>C453-C452</f>
        <v>4</v>
      </c>
      <c r="D454" s="33">
        <f>D453/7</f>
        <v>0.8214285714285714</v>
      </c>
      <c r="F454" s="44">
        <f>F453^(1/2)</f>
        <v>1.2583057392117916</v>
      </c>
      <c r="G454" t="s">
        <v>2404</v>
      </c>
    </row>
    <row r="455" spans="1:7" x14ac:dyDescent="0.45">
      <c r="B455" s="20"/>
      <c r="D455" s="33"/>
      <c r="F455" s="44"/>
    </row>
    <row r="456" spans="1:7" x14ac:dyDescent="0.45">
      <c r="A456" s="29" t="s">
        <v>2388</v>
      </c>
      <c r="C456" t="s">
        <v>2348</v>
      </c>
      <c r="E456" s="20" t="s">
        <v>2362</v>
      </c>
      <c r="F456" s="20" t="s">
        <v>2363</v>
      </c>
    </row>
    <row r="457" spans="1:7" x14ac:dyDescent="0.45">
      <c r="A457">
        <v>7</v>
      </c>
      <c r="B457" t="s">
        <v>169</v>
      </c>
      <c r="C457">
        <f>COUNTIFS(AnalizaCzyste[Efekty działań ocenianej uczelni na rzecz jakości edukacji mają dobry wpływ na rozwój Polski.],B457,AnalizaCzyste[Czy jesteś przedstawicielem władz uczelni z grupy rektorów, prorektorów, dziekanów, prodziekanów, członków senatu lub członków rady uczelni?],"*"&amp;"Tak"&amp;"*")</f>
        <v>1</v>
      </c>
      <c r="D457">
        <f>PRODUCT(A457,C457)</f>
        <v>7</v>
      </c>
      <c r="E457" s="44">
        <f>(A457-$D$465)^2</f>
        <v>1.5625</v>
      </c>
      <c r="F457">
        <f>PRODUCT(C457,E457)</f>
        <v>1.5625</v>
      </c>
    </row>
    <row r="458" spans="1:7" x14ac:dyDescent="0.45">
      <c r="A458">
        <v>6</v>
      </c>
      <c r="B458" t="s">
        <v>150</v>
      </c>
      <c r="C458">
        <f>COUNTIFS(AnalizaCzyste[Efekty działań ocenianej uczelni na rzecz jakości edukacji mają dobry wpływ na rozwój Polski.],B458,AnalizaCzyste[Czy jesteś przedstawicielem władz uczelni z grupy rektorów, prorektorów, dziekanów, prodziekanów, członków senatu lub członków rady uczelni?],"*"&amp;"Tak"&amp;"*")</f>
        <v>1</v>
      </c>
      <c r="D458">
        <f t="shared" ref="D458:D464" si="130">PRODUCT(A458,C458)</f>
        <v>6</v>
      </c>
      <c r="E458" s="44">
        <f t="shared" ref="E458:E463" si="131">(A458-$D$465)^2</f>
        <v>6.25E-2</v>
      </c>
      <c r="F458">
        <f t="shared" ref="F458:F463" si="132">PRODUCT(C458,E458)</f>
        <v>6.25E-2</v>
      </c>
    </row>
    <row r="459" spans="1:7" x14ac:dyDescent="0.45">
      <c r="A459">
        <v>5</v>
      </c>
      <c r="B459" t="s">
        <v>162</v>
      </c>
      <c r="C459">
        <f>COUNTIFS(AnalizaCzyste[Efekty działań ocenianej uczelni na rzecz jakości edukacji mają dobry wpływ na rozwój Polski.],B459,AnalizaCzyste[Czy jesteś przedstawicielem władz uczelni z grupy rektorów, prorektorów, dziekanów, prodziekanów, członków senatu lub członków rady uczelni?],"*"&amp;"Tak"&amp;"*")</f>
        <v>2</v>
      </c>
      <c r="D459">
        <f t="shared" si="130"/>
        <v>10</v>
      </c>
      <c r="E459" s="44">
        <f t="shared" si="131"/>
        <v>0.5625</v>
      </c>
      <c r="F459">
        <f t="shared" si="132"/>
        <v>1.125</v>
      </c>
    </row>
    <row r="460" spans="1:7" x14ac:dyDescent="0.45">
      <c r="A460">
        <v>4</v>
      </c>
      <c r="B460" t="s">
        <v>151</v>
      </c>
      <c r="C460">
        <f>COUNTIFS(AnalizaCzyste[Efekty działań ocenianej uczelni na rzecz jakości edukacji mają dobry wpływ na rozwój Polski.],B460,AnalizaCzyste[Czy jesteś przedstawicielem władz uczelni z grupy rektorów, prorektorów, dziekanów, prodziekanów, członków senatu lub członków rady uczelni?],"*"&amp;"Tak"&amp;"*")</f>
        <v>0</v>
      </c>
      <c r="D460">
        <f t="shared" si="130"/>
        <v>0</v>
      </c>
      <c r="E460" s="44">
        <f t="shared" si="131"/>
        <v>3.0625</v>
      </c>
      <c r="F460">
        <f t="shared" si="132"/>
        <v>0</v>
      </c>
    </row>
    <row r="461" spans="1:7" x14ac:dyDescent="0.45">
      <c r="A461">
        <v>3</v>
      </c>
      <c r="B461" t="s">
        <v>128</v>
      </c>
      <c r="C461">
        <f>COUNTIFS(AnalizaCzyste[Efekty działań ocenianej uczelni na rzecz jakości edukacji mają dobry wpływ na rozwój Polski.],B461,AnalizaCzyste[Czy jesteś przedstawicielem władz uczelni z grupy rektorów, prorektorów, dziekanów, prodziekanów, członków senatu lub członków rady uczelni?],"*"&amp;"Tak"&amp;"*")</f>
        <v>0</v>
      </c>
      <c r="D461">
        <f t="shared" si="130"/>
        <v>0</v>
      </c>
      <c r="E461" s="44">
        <f t="shared" si="131"/>
        <v>7.5625</v>
      </c>
      <c r="F461">
        <f t="shared" si="132"/>
        <v>0</v>
      </c>
    </row>
    <row r="462" spans="1:7" x14ac:dyDescent="0.45">
      <c r="A462">
        <v>2</v>
      </c>
      <c r="B462" t="s">
        <v>236</v>
      </c>
      <c r="C462">
        <f>COUNTIFS(AnalizaCzyste[Efekty działań ocenianej uczelni na rzecz jakości edukacji mają dobry wpływ na rozwój Polski.],B462,AnalizaCzyste[Czy jesteś przedstawicielem władz uczelni z grupy rektorów, prorektorów, dziekanów, prodziekanów, członków senatu lub członków rady uczelni?],"*"&amp;"Tak"&amp;"*")</f>
        <v>0</v>
      </c>
      <c r="D462">
        <f t="shared" si="130"/>
        <v>0</v>
      </c>
      <c r="E462" s="44">
        <f t="shared" si="131"/>
        <v>14.0625</v>
      </c>
      <c r="F462">
        <f t="shared" si="132"/>
        <v>0</v>
      </c>
    </row>
    <row r="463" spans="1:7" x14ac:dyDescent="0.45">
      <c r="A463">
        <v>1</v>
      </c>
      <c r="B463" t="s">
        <v>129</v>
      </c>
      <c r="C463">
        <f>COUNTIFS(AnalizaCzyste[Efekty działań ocenianej uczelni na rzecz jakości edukacji mają dobry wpływ na rozwój Polski.],B463,AnalizaCzyste[Czy jesteś przedstawicielem władz uczelni z grupy rektorów, prorektorów, dziekanów, prodziekanów, członków senatu lub członków rady uczelni?],"*"&amp;"Tak"&amp;"*")</f>
        <v>0</v>
      </c>
      <c r="D463">
        <f t="shared" si="130"/>
        <v>0</v>
      </c>
      <c r="E463" s="44">
        <f t="shared" si="131"/>
        <v>22.5625</v>
      </c>
      <c r="F463">
        <f t="shared" si="132"/>
        <v>0</v>
      </c>
    </row>
    <row r="464" spans="1:7" x14ac:dyDescent="0.45">
      <c r="A464" t="s">
        <v>2329</v>
      </c>
      <c r="B464" t="s">
        <v>132</v>
      </c>
      <c r="C464">
        <f>COUNTIFS(AnalizaCzyste[Efekty działań ocenianej uczelni na rzecz jakości edukacji mają dobry wpływ na rozwój Polski.],B464,AnalizaCzyste[Czy jesteś przedstawicielem władz uczelni z grupy rektorów, prorektorów, dziekanów, prodziekanów, członków senatu lub członków rady uczelni?],"*"&amp;"Tak"&amp;"*")</f>
        <v>1</v>
      </c>
      <c r="D464">
        <f t="shared" si="130"/>
        <v>1</v>
      </c>
    </row>
    <row r="465" spans="1:7" x14ac:dyDescent="0.45">
      <c r="B465" s="20" t="s">
        <v>2351</v>
      </c>
      <c r="C465" s="29">
        <f>SUM(C457:C464)</f>
        <v>5</v>
      </c>
      <c r="D465" s="44">
        <f>SUM(D457:D463)/C466</f>
        <v>5.75</v>
      </c>
      <c r="E465" s="20" t="s">
        <v>2353</v>
      </c>
      <c r="F465" s="44">
        <f>SUM(F457:F464)/(C466-1)</f>
        <v>0.91666666666666663</v>
      </c>
      <c r="G465" s="20" t="s">
        <v>2349</v>
      </c>
    </row>
    <row r="466" spans="1:7" x14ac:dyDescent="0.45">
      <c r="B466" s="20" t="s">
        <v>2352</v>
      </c>
      <c r="C466">
        <f>C465-C464</f>
        <v>4</v>
      </c>
      <c r="D466" s="33">
        <f>D465/7</f>
        <v>0.8214285714285714</v>
      </c>
      <c r="F466" s="44">
        <f>F465^(1/2)</f>
        <v>0.9574271077563381</v>
      </c>
      <c r="G466" t="s">
        <v>2404</v>
      </c>
    </row>
    <row r="467" spans="1:7" x14ac:dyDescent="0.45">
      <c r="B467" s="20"/>
      <c r="D467" s="33"/>
      <c r="F467" s="44"/>
    </row>
    <row r="468" spans="1:7" x14ac:dyDescent="0.45">
      <c r="A468" s="29" t="s">
        <v>2389</v>
      </c>
      <c r="C468" t="s">
        <v>2348</v>
      </c>
      <c r="E468" s="20" t="s">
        <v>2362</v>
      </c>
      <c r="F468" s="20" t="s">
        <v>2363</v>
      </c>
    </row>
    <row r="469" spans="1:7" x14ac:dyDescent="0.45">
      <c r="A469">
        <v>7</v>
      </c>
      <c r="B469" t="s">
        <v>169</v>
      </c>
      <c r="C469">
        <f>COUNTIFS(AnalizaCzyste[Współpraca ocenianej uczelni z biznesem ma pozytywne efekty dla rozwoju regionu / kraju.],B469,AnalizaCzyste[Czy jesteś przedstawicielem władz uczelni z grupy rektorów, prorektorów, dziekanów, prodziekanów, członków senatu lub członków rady uczelni?],"*"&amp;"Tak"&amp;"*")</f>
        <v>2</v>
      </c>
      <c r="D469">
        <f>PRODUCT(A469,C469)</f>
        <v>14</v>
      </c>
      <c r="E469" s="44">
        <f>(A469-$D$477)^2</f>
        <v>1</v>
      </c>
      <c r="F469">
        <f>PRODUCT(C469,E469)</f>
        <v>2</v>
      </c>
    </row>
    <row r="470" spans="1:7" x14ac:dyDescent="0.45">
      <c r="A470">
        <v>6</v>
      </c>
      <c r="B470" t="s">
        <v>150</v>
      </c>
      <c r="C470">
        <f>COUNTIFS(AnalizaCzyste[Współpraca ocenianej uczelni z biznesem ma pozytywne efekty dla rozwoju regionu / kraju.],B470,AnalizaCzyste[Czy jesteś przedstawicielem władz uczelni z grupy rektorów, prorektorów, dziekanów, prodziekanów, członków senatu lub członków rady uczelni?],"*"&amp;"Tak"&amp;"*")</f>
        <v>0</v>
      </c>
      <c r="D470">
        <f t="shared" ref="D470:D476" si="133">PRODUCT(A470,C470)</f>
        <v>0</v>
      </c>
      <c r="E470" s="44">
        <f t="shared" ref="E470:E475" si="134">(A470-$D$477)^2</f>
        <v>0</v>
      </c>
      <c r="F470">
        <f t="shared" ref="F470:F475" si="135">PRODUCT(C470,E470)</f>
        <v>0</v>
      </c>
    </row>
    <row r="471" spans="1:7" x14ac:dyDescent="0.45">
      <c r="A471">
        <v>5</v>
      </c>
      <c r="B471" t="s">
        <v>162</v>
      </c>
      <c r="C471">
        <f>COUNTIFS(AnalizaCzyste[Współpraca ocenianej uczelni z biznesem ma pozytywne efekty dla rozwoju regionu / kraju.],B471,AnalizaCzyste[Czy jesteś przedstawicielem władz uczelni z grupy rektorów, prorektorów, dziekanów, prodziekanów, członków senatu lub członków rady uczelni?],"*"&amp;"Tak"&amp;"*")</f>
        <v>2</v>
      </c>
      <c r="D471">
        <f t="shared" si="133"/>
        <v>10</v>
      </c>
      <c r="E471" s="44">
        <f t="shared" si="134"/>
        <v>1</v>
      </c>
      <c r="F471">
        <f t="shared" si="135"/>
        <v>2</v>
      </c>
    </row>
    <row r="472" spans="1:7" x14ac:dyDescent="0.45">
      <c r="A472">
        <v>4</v>
      </c>
      <c r="B472" t="s">
        <v>151</v>
      </c>
      <c r="C472">
        <f>COUNTIFS(AnalizaCzyste[Współpraca ocenianej uczelni z biznesem ma pozytywne efekty dla rozwoju regionu / kraju.],B472,AnalizaCzyste[Czy jesteś przedstawicielem władz uczelni z grupy rektorów, prorektorów, dziekanów, prodziekanów, członków senatu lub członków rady uczelni?],"*"&amp;"Tak"&amp;"*")</f>
        <v>0</v>
      </c>
      <c r="D472">
        <f t="shared" si="133"/>
        <v>0</v>
      </c>
      <c r="E472" s="44">
        <f t="shared" si="134"/>
        <v>4</v>
      </c>
      <c r="F472">
        <f t="shared" si="135"/>
        <v>0</v>
      </c>
    </row>
    <row r="473" spans="1:7" x14ac:dyDescent="0.45">
      <c r="A473">
        <v>3</v>
      </c>
      <c r="B473" t="s">
        <v>128</v>
      </c>
      <c r="C473">
        <f>COUNTIFS(AnalizaCzyste[Współpraca ocenianej uczelni z biznesem ma pozytywne efekty dla rozwoju regionu / kraju.],B473,AnalizaCzyste[Czy jesteś przedstawicielem władz uczelni z grupy rektorów, prorektorów, dziekanów, prodziekanów, członków senatu lub członków rady uczelni?],"*"&amp;"Tak"&amp;"*")</f>
        <v>0</v>
      </c>
      <c r="D473">
        <f t="shared" si="133"/>
        <v>0</v>
      </c>
      <c r="E473" s="44">
        <f t="shared" si="134"/>
        <v>9</v>
      </c>
      <c r="F473">
        <f t="shared" si="135"/>
        <v>0</v>
      </c>
    </row>
    <row r="474" spans="1:7" x14ac:dyDescent="0.45">
      <c r="A474">
        <v>2</v>
      </c>
      <c r="B474" t="s">
        <v>236</v>
      </c>
      <c r="C474">
        <f>COUNTIFS(AnalizaCzyste[Współpraca ocenianej uczelni z biznesem ma pozytywne efekty dla rozwoju regionu / kraju.],B474,AnalizaCzyste[Czy jesteś przedstawicielem władz uczelni z grupy rektorów, prorektorów, dziekanów, prodziekanów, członków senatu lub członków rady uczelni?],"*"&amp;"Tak"&amp;"*")</f>
        <v>0</v>
      </c>
      <c r="D474">
        <f t="shared" si="133"/>
        <v>0</v>
      </c>
      <c r="E474" s="44">
        <f t="shared" si="134"/>
        <v>16</v>
      </c>
      <c r="F474">
        <f t="shared" si="135"/>
        <v>0</v>
      </c>
    </row>
    <row r="475" spans="1:7" x14ac:dyDescent="0.45">
      <c r="A475">
        <v>1</v>
      </c>
      <c r="B475" t="s">
        <v>129</v>
      </c>
      <c r="C475">
        <f>COUNTIFS(AnalizaCzyste[Współpraca ocenianej uczelni z biznesem ma pozytywne efekty dla rozwoju regionu / kraju.],B475,AnalizaCzyste[Czy jesteś przedstawicielem władz uczelni z grupy rektorów, prorektorów, dziekanów, prodziekanów, członków senatu lub członków rady uczelni?],"*"&amp;"Tak"&amp;"*")</f>
        <v>0</v>
      </c>
      <c r="D475">
        <f t="shared" si="133"/>
        <v>0</v>
      </c>
      <c r="E475" s="44">
        <f t="shared" si="134"/>
        <v>25</v>
      </c>
      <c r="F475">
        <f t="shared" si="135"/>
        <v>0</v>
      </c>
    </row>
    <row r="476" spans="1:7" x14ac:dyDescent="0.45">
      <c r="A476" t="s">
        <v>2329</v>
      </c>
      <c r="B476" t="s">
        <v>132</v>
      </c>
      <c r="C476">
        <f>COUNTIFS(AnalizaCzyste[Współpraca ocenianej uczelni z biznesem ma pozytywne efekty dla rozwoju regionu / kraju.],B476,AnalizaCzyste[Czy jesteś przedstawicielem władz uczelni z grupy rektorów, prorektorów, dziekanów, prodziekanów, członków senatu lub członków rady uczelni?],"*"&amp;"Tak"&amp;"*")</f>
        <v>1</v>
      </c>
      <c r="D476">
        <f t="shared" si="133"/>
        <v>1</v>
      </c>
    </row>
    <row r="477" spans="1:7" x14ac:dyDescent="0.45">
      <c r="B477" s="20" t="s">
        <v>2351</v>
      </c>
      <c r="C477" s="29">
        <f>SUM(C469:C476)</f>
        <v>5</v>
      </c>
      <c r="D477" s="44">
        <f>SUM(D469:D475)/C478</f>
        <v>6</v>
      </c>
      <c r="E477" s="20" t="s">
        <v>2353</v>
      </c>
      <c r="F477" s="44">
        <f>SUM(F469:F476)/(C478-1)</f>
        <v>1.3333333333333333</v>
      </c>
      <c r="G477" s="20" t="s">
        <v>2349</v>
      </c>
    </row>
    <row r="478" spans="1:7" x14ac:dyDescent="0.45">
      <c r="B478" s="20" t="s">
        <v>2352</v>
      </c>
      <c r="C478">
        <f>C477-C476</f>
        <v>4</v>
      </c>
      <c r="D478" s="33">
        <f>D477/7</f>
        <v>0.8571428571428571</v>
      </c>
      <c r="F478" s="44">
        <f>F477^(1/2)</f>
        <v>1.1547005383792515</v>
      </c>
      <c r="G478" t="s">
        <v>2404</v>
      </c>
    </row>
    <row r="479" spans="1:7" x14ac:dyDescent="0.45">
      <c r="B479" s="20"/>
      <c r="D479" s="33"/>
      <c r="F479" s="44"/>
    </row>
    <row r="480" spans="1:7" x14ac:dyDescent="0.45">
      <c r="A480" s="29" t="s">
        <v>2358</v>
      </c>
      <c r="C480" t="s">
        <v>2348</v>
      </c>
      <c r="E480" s="20" t="s">
        <v>2362</v>
      </c>
      <c r="F480" s="20" t="s">
        <v>2363</v>
      </c>
    </row>
    <row r="481" spans="1:20" x14ac:dyDescent="0.45">
      <c r="A481">
        <v>7</v>
      </c>
      <c r="B481" t="s">
        <v>169</v>
      </c>
      <c r="C481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3</v>
      </c>
      <c r="D481">
        <f>PRODUCT(A481,C481)</f>
        <v>21</v>
      </c>
      <c r="E481" s="44">
        <f>(A481-$D$489)^2</f>
        <v>2.0864197530864201</v>
      </c>
      <c r="F481">
        <f>PRODUCT(C481,E481)</f>
        <v>6.2592592592592604</v>
      </c>
    </row>
    <row r="482" spans="1:20" x14ac:dyDescent="0.45">
      <c r="A482">
        <v>6</v>
      </c>
      <c r="B482" t="s">
        <v>150</v>
      </c>
      <c r="C482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1</v>
      </c>
      <c r="D482">
        <f t="shared" ref="D482:D488" si="136">PRODUCT(A482,C482)</f>
        <v>6</v>
      </c>
      <c r="E482" s="44">
        <f t="shared" ref="E482:E487" si="137">(A482-$D$489)^2</f>
        <v>0.19753086419753105</v>
      </c>
      <c r="F482">
        <f t="shared" ref="F482:F487" si="138">PRODUCT(C482,E482)</f>
        <v>0.19753086419753105</v>
      </c>
    </row>
    <row r="483" spans="1:20" x14ac:dyDescent="0.45">
      <c r="A483">
        <v>5</v>
      </c>
      <c r="B483" t="s">
        <v>162</v>
      </c>
      <c r="C483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3</v>
      </c>
      <c r="D483">
        <f t="shared" si="136"/>
        <v>15</v>
      </c>
      <c r="E483" s="44">
        <f t="shared" si="137"/>
        <v>0.30864197530864174</v>
      </c>
      <c r="F483">
        <f t="shared" si="138"/>
        <v>0.92592592592592515</v>
      </c>
    </row>
    <row r="484" spans="1:20" x14ac:dyDescent="0.45">
      <c r="A484">
        <v>4</v>
      </c>
      <c r="B484" t="s">
        <v>151</v>
      </c>
      <c r="C484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84">
        <f t="shared" si="136"/>
        <v>8</v>
      </c>
      <c r="E484" s="44">
        <f t="shared" si="137"/>
        <v>2.4197530864197523</v>
      </c>
      <c r="F484">
        <f t="shared" si="138"/>
        <v>4.8395061728395046</v>
      </c>
    </row>
    <row r="485" spans="1:20" x14ac:dyDescent="0.45">
      <c r="A485">
        <v>3</v>
      </c>
      <c r="B485" t="s">
        <v>128</v>
      </c>
      <c r="C485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85">
        <f t="shared" si="136"/>
        <v>0</v>
      </c>
      <c r="E485" s="44">
        <f t="shared" si="137"/>
        <v>6.530864197530863</v>
      </c>
      <c r="F485">
        <f t="shared" si="138"/>
        <v>0</v>
      </c>
    </row>
    <row r="486" spans="1:20" x14ac:dyDescent="0.45">
      <c r="A486">
        <v>2</v>
      </c>
      <c r="B486" t="s">
        <v>236</v>
      </c>
      <c r="C486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0</v>
      </c>
      <c r="D486">
        <f t="shared" si="136"/>
        <v>0</v>
      </c>
      <c r="E486" s="44">
        <f t="shared" si="137"/>
        <v>12.641975308641975</v>
      </c>
      <c r="F486">
        <f t="shared" si="138"/>
        <v>0</v>
      </c>
    </row>
    <row r="487" spans="1:20" x14ac:dyDescent="0.45">
      <c r="A487">
        <v>1</v>
      </c>
      <c r="B487" t="s">
        <v>129</v>
      </c>
      <c r="C487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87">
        <f t="shared" si="136"/>
        <v>0</v>
      </c>
      <c r="E487" s="44">
        <f t="shared" si="137"/>
        <v>20.753086419753085</v>
      </c>
      <c r="F487">
        <f t="shared" si="138"/>
        <v>0</v>
      </c>
    </row>
    <row r="488" spans="1:20" x14ac:dyDescent="0.45">
      <c r="A488" t="s">
        <v>2329</v>
      </c>
      <c r="B488" t="s">
        <v>132</v>
      </c>
      <c r="C488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0</v>
      </c>
      <c r="D488">
        <f t="shared" si="136"/>
        <v>0</v>
      </c>
    </row>
    <row r="489" spans="1:20" x14ac:dyDescent="0.45">
      <c r="B489" s="20" t="s">
        <v>2351</v>
      </c>
      <c r="C489" s="29">
        <f>SUM(C481:C488)</f>
        <v>9</v>
      </c>
      <c r="D489" s="44">
        <f>SUM(D481:D487)/C490</f>
        <v>5.5555555555555554</v>
      </c>
      <c r="E489" s="20" t="s">
        <v>2353</v>
      </c>
      <c r="F489" s="44">
        <f>SUM(F481:F488)/(C490-1)</f>
        <v>1.5277777777777777</v>
      </c>
      <c r="G489" s="20" t="s">
        <v>2349</v>
      </c>
    </row>
    <row r="490" spans="1:20" x14ac:dyDescent="0.45">
      <c r="B490" s="20" t="s">
        <v>2352</v>
      </c>
      <c r="C490">
        <f>C489-C488</f>
        <v>9</v>
      </c>
      <c r="D490" s="33">
        <f>D489/7</f>
        <v>0.79365079365079361</v>
      </c>
      <c r="F490" s="44">
        <f>F489^(1/2)</f>
        <v>1.2360330811826103</v>
      </c>
      <c r="G490" t="s">
        <v>2404</v>
      </c>
    </row>
    <row r="491" spans="1:20" x14ac:dyDescent="0.45">
      <c r="B491" s="20"/>
      <c r="D491" s="33"/>
      <c r="F491" s="44"/>
    </row>
    <row r="492" spans="1:20" x14ac:dyDescent="0.45">
      <c r="A492" s="29" t="s">
        <v>2358</v>
      </c>
      <c r="C492" s="20" t="s">
        <v>2390</v>
      </c>
      <c r="D492" s="20" t="s">
        <v>2391</v>
      </c>
      <c r="E492" s="20" t="s">
        <v>2392</v>
      </c>
      <c r="F492" s="20" t="s">
        <v>2374</v>
      </c>
      <c r="G492" s="20" t="s">
        <v>2393</v>
      </c>
      <c r="H492" s="20" t="s">
        <v>2394</v>
      </c>
      <c r="I492" s="20" t="s">
        <v>2395</v>
      </c>
      <c r="J492" s="20" t="s">
        <v>2373</v>
      </c>
      <c r="K492" s="20" t="s">
        <v>2362</v>
      </c>
      <c r="L492" s="20" t="s">
        <v>2363</v>
      </c>
      <c r="M492" s="20" t="s">
        <v>2430</v>
      </c>
      <c r="N492" s="20" t="s">
        <v>2418</v>
      </c>
      <c r="O492" s="20" t="s">
        <v>2419</v>
      </c>
      <c r="P492" s="20" t="s">
        <v>2420</v>
      </c>
      <c r="Q492" s="20" t="s">
        <v>2421</v>
      </c>
      <c r="R492" s="20" t="s">
        <v>2422</v>
      </c>
      <c r="S492" s="20" t="s">
        <v>2423</v>
      </c>
      <c r="T492" s="20" t="s">
        <v>2424</v>
      </c>
    </row>
    <row r="493" spans="1:20" x14ac:dyDescent="0.45">
      <c r="A493">
        <v>7</v>
      </c>
      <c r="B493" t="s">
        <v>169</v>
      </c>
      <c r="C493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3</v>
      </c>
      <c r="D493">
        <f>COUNTIFS(AnalizaCzyste[Moja satysfakcja z (efektów) usług edukacyjnych na ocenianej uczelni jest wysoka.14],B481,AnalizaCzyste[Czy jesteś przedstawicielem firmy, w której są zatrudniani absolwenci uczelni wyższych (tytuł licencjata, magistra lub wyższy)?],"*"&amp;"Tak"&amp;"*")</f>
        <v>0</v>
      </c>
      <c r="E493">
        <f>COUNTIFS(AnalizaCzyste[Moja satysfakcja z (efektów) usług edukacyjnych na ocenianej uczelni jest wysoka.21],B481,AnalizaCzyste[Czy jesteś przedstawicielem firmy, w której są zatrudniani absolwenci uczelni wyższych (tytuł licencjata, magistra lub wyższy)?],"*"&amp;"Tak"&amp;"*")</f>
        <v>0</v>
      </c>
      <c r="F493">
        <f>SUM(C493:E493)</f>
        <v>3</v>
      </c>
      <c r="G493">
        <f t="shared" ref="G493:I500" si="139">PRODUCT($A493,C493)</f>
        <v>21</v>
      </c>
      <c r="H493">
        <f t="shared" si="139"/>
        <v>0</v>
      </c>
      <c r="I493">
        <f t="shared" si="139"/>
        <v>0</v>
      </c>
      <c r="J493">
        <f>SUM(G493:I493)</f>
        <v>21</v>
      </c>
      <c r="K493" s="44">
        <f>(A493-$J$501)^2</f>
        <v>2.9834710743801662</v>
      </c>
      <c r="L493">
        <f>PRODUCT(F493,K493)</f>
        <v>8.9504132231404991</v>
      </c>
      <c r="M493" s="44">
        <f>VLOOKUP(A493,TabeleGrup!$C$45:$D$51,2,0)</f>
        <v>6.9999999999999991</v>
      </c>
      <c r="N493">
        <f>(M493-$J$501)/$L$502</f>
        <v>1.2809797386801594</v>
      </c>
      <c r="O493">
        <f>NORMDIST(N493,0,1,1)</f>
        <v>0.89989960856439166</v>
      </c>
      <c r="P493">
        <f>O493-O494</f>
        <v>0.15926419638857636</v>
      </c>
      <c r="Q493">
        <f>$C$502*P493</f>
        <v>1.4333777674971873</v>
      </c>
      <c r="R493">
        <f>C493-Q493</f>
        <v>1.5666222325028127</v>
      </c>
      <c r="S493">
        <f>R493^2</f>
        <v>2.4543052193720971</v>
      </c>
      <c r="T493">
        <f>S493/Q493</f>
        <v>1.7122528861721815</v>
      </c>
    </row>
    <row r="494" spans="1:20" x14ac:dyDescent="0.45">
      <c r="A494">
        <v>6</v>
      </c>
      <c r="B494" t="s">
        <v>150</v>
      </c>
      <c r="C494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1</v>
      </c>
      <c r="D494">
        <f>COUNTIFS(AnalizaCzyste[Moja satysfakcja z (efektów) usług edukacyjnych na ocenianej uczelni jest wysoka.14],B482,AnalizaCzyste[Czy jesteś przedstawicielem firmy, w której są zatrudniani absolwenci uczelni wyższych (tytuł licencjata, magistra lub wyższy)?],"*"&amp;"Tak"&amp;"*")</f>
        <v>0</v>
      </c>
      <c r="E494">
        <f>COUNTIFS(AnalizaCzyste[Moja satysfakcja z (efektów) usług edukacyjnych na ocenianej uczelni jest wysoka.21],B482,AnalizaCzyste[Czy jesteś przedstawicielem firmy, w której są zatrudniani absolwenci uczelni wyższych (tytuł licencjata, magistra lub wyższy)?],"*"&amp;"Tak"&amp;"*")</f>
        <v>0</v>
      </c>
      <c r="F494">
        <f t="shared" ref="F494:F502" si="140">SUM(C494:E494)</f>
        <v>1</v>
      </c>
      <c r="G494">
        <f t="shared" si="139"/>
        <v>6</v>
      </c>
      <c r="H494">
        <f t="shared" si="139"/>
        <v>0</v>
      </c>
      <c r="I494">
        <f t="shared" si="139"/>
        <v>0</v>
      </c>
      <c r="J494">
        <f t="shared" ref="J494:J500" si="141">SUM(G494:I494)</f>
        <v>6</v>
      </c>
      <c r="K494" s="44">
        <f t="shared" ref="K494:K499" si="142">(A494-$J$501)^2</f>
        <v>0.52892561983471109</v>
      </c>
      <c r="L494">
        <f t="shared" ref="L494:L499" si="143">PRODUCT(F494,K494)</f>
        <v>0.52892561983471109</v>
      </c>
      <c r="M494" s="44">
        <f>VLOOKUP(A494,TabeleGrup!$C$45:$D$51,2,0)</f>
        <v>6.1428571428571423</v>
      </c>
      <c r="N494">
        <f t="shared" ref="N494:N499" si="144">(M494-$J$501)/$L$502</f>
        <v>0.64530558264338855</v>
      </c>
      <c r="O494">
        <f t="shared" ref="O494:O499" si="145">NORMDIST(N494,0,1,1)</f>
        <v>0.7406354121758153</v>
      </c>
      <c r="P494">
        <f t="shared" ref="P494:P499" si="146">O494-O495</f>
        <v>0.23679308828707524</v>
      </c>
      <c r="Q494">
        <f t="shared" ref="Q494:Q499" si="147">$C$502*P494</f>
        <v>2.1311377945836769</v>
      </c>
      <c r="R494">
        <f t="shared" ref="R494:R499" si="148">C494-Q494</f>
        <v>-1.1311377945836769</v>
      </c>
      <c r="S494">
        <f t="shared" ref="S494:S499" si="149">R494^2</f>
        <v>1.2794727103356245</v>
      </c>
      <c r="T494">
        <f t="shared" ref="T494:T499" si="150">S494/Q494</f>
        <v>0.60037070976237494</v>
      </c>
    </row>
    <row r="495" spans="1:20" x14ac:dyDescent="0.45">
      <c r="A495">
        <v>5</v>
      </c>
      <c r="B495" t="s">
        <v>162</v>
      </c>
      <c r="C495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3</v>
      </c>
      <c r="D495">
        <f>COUNTIFS(AnalizaCzyste[Moja satysfakcja z (efektów) usług edukacyjnych na ocenianej uczelni jest wysoka.14],B483,AnalizaCzyste[Czy jesteś przedstawicielem firmy, w której są zatrudniani absolwenci uczelni wyższych (tytuł licencjata, magistra lub wyższy)?],"*"&amp;"Tak"&amp;"*")</f>
        <v>1</v>
      </c>
      <c r="E495">
        <f>COUNTIFS(AnalizaCzyste[Moja satysfakcja z (efektów) usług edukacyjnych na ocenianej uczelni jest wysoka.21],B483,AnalizaCzyste[Czy jesteś przedstawicielem firmy, w której są zatrudniani absolwenci uczelni wyższych (tytuł licencjata, magistra lub wyższy)?],"*"&amp;"Tak"&amp;"*")</f>
        <v>0</v>
      </c>
      <c r="F495">
        <f t="shared" si="140"/>
        <v>4</v>
      </c>
      <c r="G495">
        <f t="shared" si="139"/>
        <v>15</v>
      </c>
      <c r="H495">
        <f t="shared" si="139"/>
        <v>5</v>
      </c>
      <c r="I495">
        <f t="shared" si="139"/>
        <v>0</v>
      </c>
      <c r="J495">
        <f t="shared" si="141"/>
        <v>20</v>
      </c>
      <c r="K495" s="44">
        <f t="shared" si="142"/>
        <v>7.4380165289256062E-2</v>
      </c>
      <c r="L495">
        <f t="shared" si="143"/>
        <v>0.29752066115702425</v>
      </c>
      <c r="M495" s="44">
        <f>VLOOKUP(A495,TabeleGrup!$C$45:$D$51,2,0)</f>
        <v>5.2857142857142856</v>
      </c>
      <c r="N495">
        <f t="shared" si="144"/>
        <v>9.6314266066178291E-3</v>
      </c>
      <c r="O495">
        <f t="shared" si="145"/>
        <v>0.50384232388874006</v>
      </c>
      <c r="P495">
        <f t="shared" si="146"/>
        <v>0.23819886640064303</v>
      </c>
      <c r="Q495">
        <f t="shared" si="147"/>
        <v>2.1437897976057871</v>
      </c>
      <c r="R495">
        <f t="shared" si="148"/>
        <v>0.85621020239421286</v>
      </c>
      <c r="S495">
        <f t="shared" si="149"/>
        <v>0.73309591068393898</v>
      </c>
      <c r="T495">
        <f t="shared" si="150"/>
        <v>0.34196258957042813</v>
      </c>
    </row>
    <row r="496" spans="1:20" x14ac:dyDescent="0.45">
      <c r="A496">
        <v>4</v>
      </c>
      <c r="B496" t="s">
        <v>151</v>
      </c>
      <c r="C496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96">
        <f>COUNTIFS(AnalizaCzyste[Moja satysfakcja z (efektów) usług edukacyjnych na ocenianej uczelni jest wysoka.14],B484,AnalizaCzyste[Czy jesteś przedstawicielem firmy, w której są zatrudniani absolwenci uczelni wyższych (tytuł licencjata, magistra lub wyższy)?],"*"&amp;"Tak"&amp;"*")</f>
        <v>0</v>
      </c>
      <c r="E496">
        <f>COUNTIFS(AnalizaCzyste[Moja satysfakcja z (efektów) usług edukacyjnych na ocenianej uczelni jest wysoka.21],B484,AnalizaCzyste[Czy jesteś przedstawicielem firmy, w której są zatrudniani absolwenci uczelni wyższych (tytuł licencjata, magistra lub wyższy)?],"*"&amp;"Tak"&amp;"*")</f>
        <v>0</v>
      </c>
      <c r="F496">
        <f t="shared" si="140"/>
        <v>2</v>
      </c>
      <c r="G496">
        <f t="shared" si="139"/>
        <v>8</v>
      </c>
      <c r="H496">
        <f t="shared" si="139"/>
        <v>0</v>
      </c>
      <c r="I496">
        <f t="shared" si="139"/>
        <v>0</v>
      </c>
      <c r="J496">
        <f t="shared" si="141"/>
        <v>8</v>
      </c>
      <c r="K496" s="44">
        <f t="shared" si="142"/>
        <v>1.6198347107438011</v>
      </c>
      <c r="L496">
        <f t="shared" si="143"/>
        <v>3.2396694214876023</v>
      </c>
      <c r="M496" s="44">
        <f>VLOOKUP(A496,TabeleGrup!$C$45:$D$51,2,0)</f>
        <v>4.4285714285714288</v>
      </c>
      <c r="N496">
        <f t="shared" si="144"/>
        <v>-0.62604272943015293</v>
      </c>
      <c r="O496">
        <f t="shared" si="145"/>
        <v>0.26564345748809703</v>
      </c>
      <c r="P496">
        <f t="shared" si="146"/>
        <v>0.16211811812714513</v>
      </c>
      <c r="Q496">
        <f t="shared" si="147"/>
        <v>1.4590630631443062</v>
      </c>
      <c r="R496">
        <f t="shared" si="148"/>
        <v>0.54093693685569377</v>
      </c>
      <c r="S496">
        <f t="shared" si="149"/>
        <v>0.29261276965482086</v>
      </c>
      <c r="T496">
        <f t="shared" si="150"/>
        <v>0.20054840468940066</v>
      </c>
    </row>
    <row r="497" spans="1:21" x14ac:dyDescent="0.45">
      <c r="A497">
        <v>3</v>
      </c>
      <c r="B497" t="s">
        <v>128</v>
      </c>
      <c r="C497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97">
        <f>COUNTIFS(AnalizaCzyste[Moja satysfakcja z (efektów) usług edukacyjnych na ocenianej uczelni jest wysoka.14],B485,AnalizaCzyste[Czy jesteś przedstawicielem firmy, w której są zatrudniani absolwenci uczelni wyższych (tytuł licencjata, magistra lub wyższy)?],"*"&amp;"Tak"&amp;"*")</f>
        <v>1</v>
      </c>
      <c r="E497">
        <f>COUNTIFS(AnalizaCzyste[Moja satysfakcja z (efektów) usług edukacyjnych na ocenianej uczelni jest wysoka.21],B485,AnalizaCzyste[Czy jesteś przedstawicielem firmy, w której są zatrudniani absolwenci uczelni wyższych (tytuł licencjata, magistra lub wyższy)?],"*"&amp;"Tak"&amp;"*")</f>
        <v>0</v>
      </c>
      <c r="F497">
        <f t="shared" si="140"/>
        <v>1</v>
      </c>
      <c r="G497">
        <f t="shared" si="139"/>
        <v>0</v>
      </c>
      <c r="H497">
        <f t="shared" si="139"/>
        <v>3</v>
      </c>
      <c r="I497">
        <f t="shared" si="139"/>
        <v>0</v>
      </c>
      <c r="J497">
        <f t="shared" si="141"/>
        <v>3</v>
      </c>
      <c r="K497" s="44">
        <f t="shared" si="142"/>
        <v>5.1652892561983457</v>
      </c>
      <c r="L497">
        <f t="shared" si="143"/>
        <v>5.1652892561983457</v>
      </c>
      <c r="M497" s="44">
        <f>VLOOKUP(A497,TabeleGrup!$C$45:$D$51,2,0)</f>
        <v>3.5714285714285716</v>
      </c>
      <c r="N497">
        <f t="shared" si="144"/>
        <v>-1.2617168854669241</v>
      </c>
      <c r="O497">
        <f t="shared" si="145"/>
        <v>0.1035253393609519</v>
      </c>
      <c r="P497">
        <f t="shared" si="146"/>
        <v>7.4637165806890976E-2</v>
      </c>
      <c r="Q497">
        <f t="shared" si="147"/>
        <v>0.67173449226201876</v>
      </c>
      <c r="R497">
        <f t="shared" si="148"/>
        <v>-0.67173449226201876</v>
      </c>
      <c r="S497">
        <f t="shared" si="149"/>
        <v>0.45122722809451216</v>
      </c>
      <c r="T497">
        <f t="shared" si="150"/>
        <v>0.67173449226201876</v>
      </c>
    </row>
    <row r="498" spans="1:21" x14ac:dyDescent="0.45">
      <c r="A498">
        <v>2</v>
      </c>
      <c r="B498" t="s">
        <v>236</v>
      </c>
      <c r="C498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0</v>
      </c>
      <c r="D498">
        <f>COUNTIFS(AnalizaCzyste[Moja satysfakcja z (efektów) usług edukacyjnych na ocenianej uczelni jest wysoka.14],B486,AnalizaCzyste[Czy jesteś przedstawicielem firmy, w której są zatrudniani absolwenci uczelni wyższych (tytuł licencjata, magistra lub wyższy)?],"*"&amp;"Tak"&amp;"*")</f>
        <v>0</v>
      </c>
      <c r="E498">
        <f>COUNTIFS(AnalizaCzyste[Moja satysfakcja z (efektów) usług edukacyjnych na ocenianej uczelni jest wysoka.21],B486,AnalizaCzyste[Czy jesteś przedstawicielem firmy, w której są zatrudniani absolwenci uczelni wyższych (tytuł licencjata, magistra lub wyższy)?],"*"&amp;"Tak"&amp;"*")</f>
        <v>0</v>
      </c>
      <c r="F498">
        <f t="shared" si="140"/>
        <v>0</v>
      </c>
      <c r="G498">
        <f t="shared" si="139"/>
        <v>0</v>
      </c>
      <c r="H498">
        <f t="shared" si="139"/>
        <v>0</v>
      </c>
      <c r="I498">
        <f t="shared" si="139"/>
        <v>0</v>
      </c>
      <c r="J498">
        <f t="shared" si="141"/>
        <v>0</v>
      </c>
      <c r="K498" s="44">
        <f t="shared" si="142"/>
        <v>10.710743801652891</v>
      </c>
      <c r="L498">
        <f t="shared" si="143"/>
        <v>0</v>
      </c>
      <c r="M498" s="44">
        <f>VLOOKUP(A498,TabeleGrup!$C$45:$D$51,2,0)</f>
        <v>2.7142857142857144</v>
      </c>
      <c r="N498">
        <f t="shared" si="144"/>
        <v>-1.8973910415036952</v>
      </c>
      <c r="O498">
        <f t="shared" si="145"/>
        <v>2.8888173554060932E-2</v>
      </c>
      <c r="P498">
        <f t="shared" si="146"/>
        <v>2.3234677555713269E-2</v>
      </c>
      <c r="Q498">
        <f t="shared" si="147"/>
        <v>0.20911209800141942</v>
      </c>
      <c r="R498">
        <f t="shared" si="148"/>
        <v>-0.20911209800141942</v>
      </c>
      <c r="S498">
        <f t="shared" si="149"/>
        <v>4.3727869530555241E-2</v>
      </c>
      <c r="T498">
        <f t="shared" si="150"/>
        <v>0.20911209800141942</v>
      </c>
    </row>
    <row r="499" spans="1:21" x14ac:dyDescent="0.45">
      <c r="A499">
        <v>1</v>
      </c>
      <c r="B499" t="s">
        <v>129</v>
      </c>
      <c r="C499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99">
        <f>COUNTIFS(AnalizaCzyste[Moja satysfakcja z (efektów) usług edukacyjnych na ocenianej uczelni jest wysoka.14],B487,AnalizaCzyste[Czy jesteś przedstawicielem firmy, w której są zatrudniani absolwenci uczelni wyższych (tytuł licencjata, magistra lub wyższy)?],"*"&amp;"Tak"&amp;"*")</f>
        <v>0</v>
      </c>
      <c r="E499">
        <f>COUNTIFS(AnalizaCzyste[Moja satysfakcja z (efektów) usług edukacyjnych na ocenianej uczelni jest wysoka.21],B487,AnalizaCzyste[Czy jesteś przedstawicielem firmy, w której są zatrudniani absolwenci uczelni wyższych (tytuł licencjata, magistra lub wyższy)?],"*"&amp;"Tak"&amp;"*")</f>
        <v>0</v>
      </c>
      <c r="F499">
        <f t="shared" si="140"/>
        <v>0</v>
      </c>
      <c r="G499">
        <f t="shared" si="139"/>
        <v>0</v>
      </c>
      <c r="H499">
        <f t="shared" si="139"/>
        <v>0</v>
      </c>
      <c r="I499">
        <f t="shared" si="139"/>
        <v>0</v>
      </c>
      <c r="J499">
        <f t="shared" si="141"/>
        <v>0</v>
      </c>
      <c r="K499" s="44">
        <f t="shared" si="142"/>
        <v>18.256198347107436</v>
      </c>
      <c r="L499">
        <f t="shared" si="143"/>
        <v>0</v>
      </c>
      <c r="M499" s="44">
        <f>VLOOKUP(A499,TabeleGrup!$C$45:$D$51,2,0)</f>
        <v>1.8571428571428572</v>
      </c>
      <c r="N499">
        <f t="shared" si="144"/>
        <v>-2.5330651975404663</v>
      </c>
      <c r="O499">
        <f t="shared" si="145"/>
        <v>5.6534959983476638E-3</v>
      </c>
      <c r="P499">
        <f t="shared" si="146"/>
        <v>5.6534959983476638E-3</v>
      </c>
      <c r="Q499">
        <f t="shared" si="147"/>
        <v>5.0881463985128973E-2</v>
      </c>
      <c r="R499">
        <f t="shared" si="148"/>
        <v>-5.0881463985128973E-2</v>
      </c>
      <c r="S499">
        <f t="shared" si="149"/>
        <v>2.5889233772699769E-3</v>
      </c>
      <c r="T499">
        <f t="shared" si="150"/>
        <v>5.0881463985128973E-2</v>
      </c>
      <c r="U499" s="20" t="s">
        <v>2425</v>
      </c>
    </row>
    <row r="500" spans="1:21" x14ac:dyDescent="0.45">
      <c r="A500" t="s">
        <v>2329</v>
      </c>
      <c r="B500" t="s">
        <v>132</v>
      </c>
      <c r="C500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0</v>
      </c>
      <c r="D500">
        <f>COUNTIFS(AnalizaCzyste[Moja satysfakcja z (efektów) usług edukacyjnych na ocenianej uczelni jest wysoka.14],B488,AnalizaCzyste[Czy jesteś przedstawicielem firmy, w której są zatrudniani absolwenci uczelni wyższych (tytuł licencjata, magistra lub wyższy)?],"*"&amp;"Tak"&amp;"*")</f>
        <v>0</v>
      </c>
      <c r="E500">
        <f>COUNTIFS(AnalizaCzyste[Moja satysfakcja z (efektów) usług edukacyjnych na ocenianej uczelni jest wysoka.21],B488,AnalizaCzyste[Czy jesteś przedstawicielem firmy, w której są zatrudniani absolwenci uczelni wyższych (tytuł licencjata, magistra lub wyższy)?],"*"&amp;"Tak"&amp;"*")</f>
        <v>0</v>
      </c>
      <c r="F500">
        <f t="shared" si="140"/>
        <v>0</v>
      </c>
      <c r="G500">
        <f t="shared" si="139"/>
        <v>0</v>
      </c>
      <c r="H500">
        <f t="shared" si="139"/>
        <v>0</v>
      </c>
      <c r="I500">
        <f t="shared" si="139"/>
        <v>0</v>
      </c>
      <c r="J500">
        <f t="shared" si="141"/>
        <v>0</v>
      </c>
      <c r="P500" s="47">
        <f>SUM(P493:P499)</f>
        <v>0.89989960856439166</v>
      </c>
      <c r="Q500" s="47">
        <f>SUM(Q493:Q499)</f>
        <v>8.0990964770795255</v>
      </c>
      <c r="S500" s="20" t="s">
        <v>2426</v>
      </c>
      <c r="T500" s="48">
        <f>SUM(T493:T499)</f>
        <v>3.7868626444429525</v>
      </c>
      <c r="U500">
        <f>CHIINV(O503,7-3)</f>
        <v>9.4877290367811575</v>
      </c>
    </row>
    <row r="501" spans="1:21" x14ac:dyDescent="0.45">
      <c r="B501" s="20" t="s">
        <v>2351</v>
      </c>
      <c r="C501" s="29">
        <f>SUM(C493:C500)</f>
        <v>9</v>
      </c>
      <c r="D501" s="29">
        <f>SUM(D493:D500)</f>
        <v>2</v>
      </c>
      <c r="E501" s="29">
        <f>SUM(E493:E500)</f>
        <v>0</v>
      </c>
      <c r="F501" s="29">
        <f t="shared" si="140"/>
        <v>11</v>
      </c>
      <c r="G501" s="44">
        <f>SUM(G493:G500)/$C502</f>
        <v>5.5555555555555554</v>
      </c>
      <c r="H501" s="44">
        <f>SUM(H493:H500)/$C502</f>
        <v>0.88888888888888884</v>
      </c>
      <c r="I501" s="44">
        <f>SUM(I493:I500)/$C502</f>
        <v>0</v>
      </c>
      <c r="J501" s="44">
        <f>SUM(J493:J499)/$F502</f>
        <v>5.2727272727272725</v>
      </c>
      <c r="K501" s="20" t="s">
        <v>2353</v>
      </c>
      <c r="L501" s="44">
        <f>SUM(L493:L500)/(F502-1)</f>
        <v>1.8181818181818183</v>
      </c>
      <c r="M501" s="20" t="s">
        <v>2349</v>
      </c>
      <c r="T501" s="20" t="s">
        <v>2428</v>
      </c>
    </row>
    <row r="502" spans="1:21" x14ac:dyDescent="0.45">
      <c r="B502" s="20" t="s">
        <v>2352</v>
      </c>
      <c r="C502">
        <f>C501-C500</f>
        <v>9</v>
      </c>
      <c r="D502">
        <f>D501-D500</f>
        <v>2</v>
      </c>
      <c r="E502">
        <f>E501-E500</f>
        <v>0</v>
      </c>
      <c r="F502">
        <f t="shared" si="140"/>
        <v>11</v>
      </c>
      <c r="G502" s="33">
        <f>G501/7</f>
        <v>0.79365079365079361</v>
      </c>
      <c r="H502" s="33"/>
      <c r="I502" s="33"/>
      <c r="J502" s="51" t="str">
        <f>VLOOKUP(J501,InterpretacjaŚredniej[],2,1)</f>
        <v>raczej się zgadzam</v>
      </c>
      <c r="L502" s="44">
        <f>L501^(1/2)</f>
        <v>1.3483997249264843</v>
      </c>
      <c r="M502" t="s">
        <v>2404</v>
      </c>
    </row>
    <row r="503" spans="1:21" x14ac:dyDescent="0.45">
      <c r="B503" s="20"/>
      <c r="G503" s="33"/>
      <c r="H503" s="33"/>
      <c r="I503" s="33"/>
      <c r="J503" s="33"/>
      <c r="K503">
        <f>J501-(Q503*L502/SQRT(C502))</f>
        <v>4.2362554921977278</v>
      </c>
      <c r="L503" s="45" t="str">
        <f>"&lt; m &lt;"</f>
        <v>&lt; m &lt;</v>
      </c>
      <c r="M503">
        <f>J501+(Q503*L502/SQRT(C502))</f>
        <v>6.3091990532568172</v>
      </c>
      <c r="N503" t="s">
        <v>2407</v>
      </c>
      <c r="O503">
        <v>0.05</v>
      </c>
      <c r="P503" s="20" t="s">
        <v>2417</v>
      </c>
      <c r="Q503">
        <f>VLOOKUP($C$502-1,Tabl_tStudenta[],5,0)</f>
        <v>2.3060041352041671</v>
      </c>
    </row>
    <row r="504" spans="1:21" x14ac:dyDescent="0.45">
      <c r="B504" s="20"/>
      <c r="D504" s="33"/>
      <c r="F504" s="44"/>
      <c r="M504" s="42">
        <f>M503-K503</f>
        <v>2.0729435610590894</v>
      </c>
    </row>
    <row r="505" spans="1:21" x14ac:dyDescent="0.45">
      <c r="A505" s="29" t="s">
        <v>2396</v>
      </c>
      <c r="C505" s="20" t="s">
        <v>2390</v>
      </c>
      <c r="D505" s="20" t="s">
        <v>2391</v>
      </c>
      <c r="E505" s="20" t="s">
        <v>2392</v>
      </c>
      <c r="F505" s="20" t="s">
        <v>2374</v>
      </c>
      <c r="G505" s="20" t="s">
        <v>2393</v>
      </c>
      <c r="H505" s="20" t="s">
        <v>2394</v>
      </c>
      <c r="I505" s="20" t="s">
        <v>2395</v>
      </c>
      <c r="J505" s="20" t="s">
        <v>2373</v>
      </c>
      <c r="K505" s="20" t="s">
        <v>2362</v>
      </c>
      <c r="L505" s="20" t="s">
        <v>2363</v>
      </c>
    </row>
    <row r="506" spans="1:21" x14ac:dyDescent="0.45">
      <c r="A506">
        <v>7</v>
      </c>
      <c r="B506" t="s">
        <v>169</v>
      </c>
      <c r="C506">
        <f>COUNTIFS(AnalizaCzyste[Kompetencje absolwentów ocenianej uczelni są wysokie.],B493,AnalizaCzyste[Czy jesteś przedstawicielem firmy, w której są zatrudniani absolwenci uczelni wyższych (tytuł licencjata, magistra lub wyższy)?],"*"&amp;"Tak"&amp;"*")</f>
        <v>3</v>
      </c>
      <c r="D506">
        <f>COUNTIFS(AnalizaCzyste[Kompetencje absolwentów ocenianej uczelni są wysokie.15],B493,AnalizaCzyste[Czy jesteś przedstawicielem firmy, w której są zatrudniani absolwenci uczelni wyższych (tytuł licencjata, magistra lub wyższy)?],"*"&amp;"Tak"&amp;"*")</f>
        <v>0</v>
      </c>
      <c r="E506">
        <f>COUNTIFS(AnalizaCzyste[Kompetencje absolwentów ocenianej uczelni są wysokie.22],B493,AnalizaCzyste[Czy jesteś przedstawicielem firmy, w której są zatrudniani absolwenci uczelni wyższych (tytuł licencjata, magistra lub wyższy)?],"*"&amp;"Tak"&amp;"*")</f>
        <v>0</v>
      </c>
      <c r="F506">
        <f>SUM(C506:E506)</f>
        <v>3</v>
      </c>
      <c r="G506">
        <f t="shared" ref="G506:I513" si="151">PRODUCT($A506,C506)</f>
        <v>21</v>
      </c>
      <c r="H506">
        <f t="shared" si="151"/>
        <v>0</v>
      </c>
      <c r="I506">
        <f t="shared" si="151"/>
        <v>0</v>
      </c>
      <c r="J506">
        <f>SUM(G506:I506)</f>
        <v>21</v>
      </c>
      <c r="K506" s="44">
        <f>(A506-$J$514)^2</f>
        <v>2.9834710743801662</v>
      </c>
      <c r="L506">
        <f>PRODUCT(F506,K506)</f>
        <v>8.9504132231404991</v>
      </c>
    </row>
    <row r="507" spans="1:21" x14ac:dyDescent="0.45">
      <c r="A507">
        <v>6</v>
      </c>
      <c r="B507" t="s">
        <v>150</v>
      </c>
      <c r="C507">
        <f>COUNTIFS(AnalizaCzyste[Kompetencje absolwentów ocenianej uczelni są wysokie.],B494,AnalizaCzyste[Czy jesteś przedstawicielem firmy, w której są zatrudniani absolwenci uczelni wyższych (tytuł licencjata, magistra lub wyższy)?],"*"&amp;"Tak"&amp;"*")</f>
        <v>2</v>
      </c>
      <c r="D507">
        <f>COUNTIFS(AnalizaCzyste[Kompetencje absolwentów ocenianej uczelni są wysokie.15],B494,AnalizaCzyste[Czy jesteś przedstawicielem firmy, w której są zatrudniani absolwenci uczelni wyższych (tytuł licencjata, magistra lub wyższy)?],"*"&amp;"Tak"&amp;"*")</f>
        <v>0</v>
      </c>
      <c r="E507">
        <f>COUNTIFS(AnalizaCzyste[Kompetencje absolwentów ocenianej uczelni są wysokie.22],B494,AnalizaCzyste[Czy jesteś przedstawicielem firmy, w której są zatrudniani absolwenci uczelni wyższych (tytuł licencjata, magistra lub wyższy)?],"*"&amp;"Tak"&amp;"*")</f>
        <v>0</v>
      </c>
      <c r="F507">
        <f t="shared" ref="F507:F515" si="152">SUM(C507:E507)</f>
        <v>2</v>
      </c>
      <c r="G507">
        <f t="shared" si="151"/>
        <v>12</v>
      </c>
      <c r="H507">
        <f t="shared" si="151"/>
        <v>0</v>
      </c>
      <c r="I507">
        <f t="shared" si="151"/>
        <v>0</v>
      </c>
      <c r="J507">
        <f t="shared" ref="J507:J513" si="153">SUM(G507:I507)</f>
        <v>12</v>
      </c>
      <c r="K507" s="44">
        <f t="shared" ref="K507:K512" si="154">(A507-$J$514)^2</f>
        <v>0.52892561983471109</v>
      </c>
      <c r="L507">
        <f t="shared" ref="L507:L512" si="155">PRODUCT(F507,K507)</f>
        <v>1.0578512396694222</v>
      </c>
    </row>
    <row r="508" spans="1:21" x14ac:dyDescent="0.45">
      <c r="A508">
        <v>5</v>
      </c>
      <c r="B508" t="s">
        <v>162</v>
      </c>
      <c r="C508">
        <f>COUNTIFS(AnalizaCzyste[Kompetencje absolwentów ocenianej uczelni są wysokie.],B495,AnalizaCzyste[Czy jesteś przedstawicielem firmy, w której są zatrudniani absolwenci uczelni wyższych (tytuł licencjata, magistra lub wyższy)?],"*"&amp;"Tak"&amp;"*")</f>
        <v>2</v>
      </c>
      <c r="D508">
        <f>COUNTIFS(AnalizaCzyste[Kompetencje absolwentów ocenianej uczelni są wysokie.15],B495,AnalizaCzyste[Czy jesteś przedstawicielem firmy, w której są zatrudniani absolwenci uczelni wyższych (tytuł licencjata, magistra lub wyższy)?],"*"&amp;"Tak"&amp;"*")</f>
        <v>1</v>
      </c>
      <c r="E508">
        <f>COUNTIFS(AnalizaCzyste[Kompetencje absolwentów ocenianej uczelni są wysokie.22],B495,AnalizaCzyste[Czy jesteś przedstawicielem firmy, w której są zatrudniani absolwenci uczelni wyższych (tytuł licencjata, magistra lub wyższy)?],"*"&amp;"Tak"&amp;"*")</f>
        <v>0</v>
      </c>
      <c r="F508">
        <f t="shared" si="152"/>
        <v>3</v>
      </c>
      <c r="G508">
        <f t="shared" si="151"/>
        <v>10</v>
      </c>
      <c r="H508">
        <f t="shared" si="151"/>
        <v>5</v>
      </c>
      <c r="I508">
        <f t="shared" si="151"/>
        <v>0</v>
      </c>
      <c r="J508">
        <f t="shared" si="153"/>
        <v>15</v>
      </c>
      <c r="K508" s="44">
        <f t="shared" si="154"/>
        <v>7.4380165289256062E-2</v>
      </c>
      <c r="L508">
        <f t="shared" si="155"/>
        <v>0.22314049586776818</v>
      </c>
    </row>
    <row r="509" spans="1:21" x14ac:dyDescent="0.45">
      <c r="A509">
        <v>4</v>
      </c>
      <c r="B509" t="s">
        <v>151</v>
      </c>
      <c r="C509">
        <f>COUNTIFS(AnalizaCzyste[Kompetencje absolwentów ocenianej uczelni są wysokie.],B496,AnalizaCzyste[Czy jesteś przedstawicielem firmy, w której są zatrudniani absolwenci uczelni wyższych (tytuł licencjata, magistra lub wyższy)?],"*"&amp;"Tak"&amp;"*")</f>
        <v>2</v>
      </c>
      <c r="D509">
        <f>COUNTIFS(AnalizaCzyste[Kompetencje absolwentów ocenianej uczelni są wysokie.15],B496,AnalizaCzyste[Czy jesteś przedstawicielem firmy, w której są zatrudniani absolwenci uczelni wyższych (tytuł licencjata, magistra lub wyższy)?],"*"&amp;"Tak"&amp;"*")</f>
        <v>0</v>
      </c>
      <c r="E509">
        <f>COUNTIFS(AnalizaCzyste[Kompetencje absolwentów ocenianej uczelni są wysokie.22],B496,AnalizaCzyste[Czy jesteś przedstawicielem firmy, w której są zatrudniani absolwenci uczelni wyższych (tytuł licencjata, magistra lub wyższy)?],"*"&amp;"Tak"&amp;"*")</f>
        <v>0</v>
      </c>
      <c r="F509">
        <f t="shared" si="152"/>
        <v>2</v>
      </c>
      <c r="G509">
        <f t="shared" si="151"/>
        <v>8</v>
      </c>
      <c r="H509">
        <f t="shared" si="151"/>
        <v>0</v>
      </c>
      <c r="I509">
        <f t="shared" si="151"/>
        <v>0</v>
      </c>
      <c r="J509">
        <f t="shared" si="153"/>
        <v>8</v>
      </c>
      <c r="K509" s="44">
        <f t="shared" si="154"/>
        <v>1.6198347107438011</v>
      </c>
      <c r="L509">
        <f t="shared" si="155"/>
        <v>3.2396694214876023</v>
      </c>
    </row>
    <row r="510" spans="1:21" x14ac:dyDescent="0.45">
      <c r="A510">
        <v>3</v>
      </c>
      <c r="B510" t="s">
        <v>128</v>
      </c>
      <c r="C510">
        <f>COUNTIFS(AnalizaCzyste[Kompetencje absolwentów ocenianej uczelni są wysokie.],B497,AnalizaCzyste[Czy jesteś przedstawicielem firmy, w której są zatrudniani absolwenci uczelni wyższych (tytuł licencjata, magistra lub wyższy)?],"*"&amp;"Tak"&amp;"*")</f>
        <v>0</v>
      </c>
      <c r="D510">
        <f>COUNTIFS(AnalizaCzyste[Kompetencje absolwentów ocenianej uczelni są wysokie.15],B497,AnalizaCzyste[Czy jesteś przedstawicielem firmy, w której są zatrudniani absolwenci uczelni wyższych (tytuł licencjata, magistra lub wyższy)?],"*"&amp;"Tak"&amp;"*")</f>
        <v>0</v>
      </c>
      <c r="E510">
        <f>COUNTIFS(AnalizaCzyste[Kompetencje absolwentów ocenianej uczelni są wysokie.22],B497,AnalizaCzyste[Czy jesteś przedstawicielem firmy, w której są zatrudniani absolwenci uczelni wyższych (tytuł licencjata, magistra lub wyższy)?],"*"&amp;"Tak"&amp;"*")</f>
        <v>0</v>
      </c>
      <c r="F510">
        <f t="shared" si="152"/>
        <v>0</v>
      </c>
      <c r="G510">
        <f t="shared" si="151"/>
        <v>0</v>
      </c>
      <c r="H510">
        <f t="shared" si="151"/>
        <v>0</v>
      </c>
      <c r="I510">
        <f t="shared" si="151"/>
        <v>0</v>
      </c>
      <c r="J510">
        <f t="shared" si="153"/>
        <v>0</v>
      </c>
      <c r="K510" s="44">
        <f t="shared" si="154"/>
        <v>5.1652892561983457</v>
      </c>
      <c r="L510">
        <f t="shared" si="155"/>
        <v>0</v>
      </c>
    </row>
    <row r="511" spans="1:21" x14ac:dyDescent="0.45">
      <c r="A511">
        <v>2</v>
      </c>
      <c r="B511" t="s">
        <v>236</v>
      </c>
      <c r="C511">
        <f>COUNTIFS(AnalizaCzyste[Kompetencje absolwentów ocenianej uczelni są wysokie.],B498,AnalizaCzyste[Czy jesteś przedstawicielem firmy, w której są zatrudniani absolwenci uczelni wyższych (tytuł licencjata, magistra lub wyższy)?],"*"&amp;"Tak"&amp;"*")</f>
        <v>0</v>
      </c>
      <c r="D511">
        <f>COUNTIFS(AnalizaCzyste[Kompetencje absolwentów ocenianej uczelni są wysokie.15],B498,AnalizaCzyste[Czy jesteś przedstawicielem firmy, w której są zatrudniani absolwenci uczelni wyższych (tytuł licencjata, magistra lub wyższy)?],"*"&amp;"Tak"&amp;"*")</f>
        <v>1</v>
      </c>
      <c r="E511">
        <f>COUNTIFS(AnalizaCzyste[Kompetencje absolwentów ocenianej uczelni są wysokie.22],B498,AnalizaCzyste[Czy jesteś przedstawicielem firmy, w której są zatrudniani absolwenci uczelni wyższych (tytuł licencjata, magistra lub wyższy)?],"*"&amp;"Tak"&amp;"*")</f>
        <v>0</v>
      </c>
      <c r="F511">
        <f t="shared" si="152"/>
        <v>1</v>
      </c>
      <c r="G511">
        <f t="shared" si="151"/>
        <v>0</v>
      </c>
      <c r="H511">
        <f t="shared" si="151"/>
        <v>2</v>
      </c>
      <c r="I511">
        <f t="shared" si="151"/>
        <v>0</v>
      </c>
      <c r="J511">
        <f t="shared" si="153"/>
        <v>2</v>
      </c>
      <c r="K511" s="44">
        <f t="shared" si="154"/>
        <v>10.710743801652891</v>
      </c>
      <c r="L511">
        <f t="shared" si="155"/>
        <v>10.710743801652891</v>
      </c>
    </row>
    <row r="512" spans="1:21" x14ac:dyDescent="0.45">
      <c r="A512">
        <v>1</v>
      </c>
      <c r="B512" t="s">
        <v>129</v>
      </c>
      <c r="C512">
        <f>COUNTIFS(AnalizaCzyste[Kompetencje absolwentów ocenianej uczelni są wysokie.],B499,AnalizaCzyste[Czy jesteś przedstawicielem firmy, w której są zatrudniani absolwenci uczelni wyższych (tytuł licencjata, magistra lub wyższy)?],"*"&amp;"Tak"&amp;"*")</f>
        <v>0</v>
      </c>
      <c r="D512">
        <f>COUNTIFS(AnalizaCzyste[Kompetencje absolwentów ocenianej uczelni są wysokie.15],B499,AnalizaCzyste[Czy jesteś przedstawicielem firmy, w której są zatrudniani absolwenci uczelni wyższych (tytuł licencjata, magistra lub wyższy)?],"*"&amp;"Tak"&amp;"*")</f>
        <v>0</v>
      </c>
      <c r="E512">
        <f>COUNTIFS(AnalizaCzyste[Kompetencje absolwentów ocenianej uczelni są wysokie.22],B499,AnalizaCzyste[Czy jesteś przedstawicielem firmy, w której są zatrudniani absolwenci uczelni wyższych (tytuł licencjata, magistra lub wyższy)?],"*"&amp;"Tak"&amp;"*")</f>
        <v>0</v>
      </c>
      <c r="F512">
        <f t="shared" si="152"/>
        <v>0</v>
      </c>
      <c r="G512">
        <f t="shared" si="151"/>
        <v>0</v>
      </c>
      <c r="H512">
        <f t="shared" si="151"/>
        <v>0</v>
      </c>
      <c r="I512">
        <f t="shared" si="151"/>
        <v>0</v>
      </c>
      <c r="J512">
        <f t="shared" si="153"/>
        <v>0</v>
      </c>
      <c r="K512" s="44">
        <f t="shared" si="154"/>
        <v>18.256198347107436</v>
      </c>
      <c r="L512">
        <f t="shared" si="155"/>
        <v>0</v>
      </c>
    </row>
    <row r="513" spans="1:13" x14ac:dyDescent="0.45">
      <c r="A513" t="s">
        <v>2329</v>
      </c>
      <c r="B513" t="s">
        <v>132</v>
      </c>
      <c r="C513">
        <f>COUNTIFS(AnalizaCzyste[Kompetencje absolwentów ocenianej uczelni są wysokie.],B500,AnalizaCzyste[Czy jesteś przedstawicielem firmy, w której są zatrudniani absolwenci uczelni wyższych (tytuł licencjata, magistra lub wyższy)?],"*"&amp;"Tak"&amp;"*")</f>
        <v>0</v>
      </c>
      <c r="D513">
        <f>COUNTIFS(AnalizaCzyste[Kompetencje absolwentów ocenianej uczelni są wysokie.15],B500,AnalizaCzyste[Czy jesteś przedstawicielem firmy, w której są zatrudniani absolwenci uczelni wyższych (tytuł licencjata, magistra lub wyższy)?],"*"&amp;"Tak"&amp;"*")</f>
        <v>0</v>
      </c>
      <c r="E513">
        <f>COUNTIFS(AnalizaCzyste[Kompetencje absolwentów ocenianej uczelni są wysokie.22],B500,AnalizaCzyste[Czy jesteś przedstawicielem firmy, w której są zatrudniani absolwenci uczelni wyższych (tytuł licencjata, magistra lub wyższy)?],"*"&amp;"Tak"&amp;"*")</f>
        <v>0</v>
      </c>
      <c r="F513">
        <f t="shared" si="152"/>
        <v>0</v>
      </c>
      <c r="G513">
        <f t="shared" si="151"/>
        <v>0</v>
      </c>
      <c r="H513">
        <f t="shared" si="151"/>
        <v>0</v>
      </c>
      <c r="I513">
        <f t="shared" si="151"/>
        <v>0</v>
      </c>
      <c r="J513">
        <f t="shared" si="153"/>
        <v>0</v>
      </c>
    </row>
    <row r="514" spans="1:13" x14ac:dyDescent="0.45">
      <c r="B514" s="20" t="s">
        <v>2351</v>
      </c>
      <c r="C514" s="29">
        <f>SUM(C506:C513)</f>
        <v>9</v>
      </c>
      <c r="D514" s="29">
        <f>SUM(D506:D513)</f>
        <v>2</v>
      </c>
      <c r="E514" s="29">
        <f>SUM(E506:E513)</f>
        <v>0</v>
      </c>
      <c r="F514" s="29">
        <f t="shared" si="152"/>
        <v>11</v>
      </c>
      <c r="G514" s="44">
        <f>SUM(G506:G513)/$C515</f>
        <v>5.666666666666667</v>
      </c>
      <c r="H514" s="44">
        <f>SUM(H506:H513)/$C515</f>
        <v>0.77777777777777779</v>
      </c>
      <c r="I514" s="44">
        <f>SUM(I506:I513)/$C515</f>
        <v>0</v>
      </c>
      <c r="J514" s="44">
        <f>SUM(J506:J512)/$F515</f>
        <v>5.2727272727272725</v>
      </c>
      <c r="K514" s="20" t="s">
        <v>2353</v>
      </c>
      <c r="L514" s="44">
        <f>SUM(L506:L513)/(F515-1)</f>
        <v>2.418181818181818</v>
      </c>
      <c r="M514" s="20" t="s">
        <v>2349</v>
      </c>
    </row>
    <row r="515" spans="1:13" x14ac:dyDescent="0.45">
      <c r="B515" s="20" t="s">
        <v>2352</v>
      </c>
      <c r="C515">
        <f>C514-C513</f>
        <v>9</v>
      </c>
      <c r="D515">
        <f>D514-D513</f>
        <v>2</v>
      </c>
      <c r="E515">
        <f>E514-E513</f>
        <v>0</v>
      </c>
      <c r="F515">
        <f t="shared" si="152"/>
        <v>11</v>
      </c>
      <c r="G515" s="33">
        <f>G514/7</f>
        <v>0.80952380952380953</v>
      </c>
      <c r="H515" s="33"/>
      <c r="I515" s="33"/>
      <c r="J515" s="33"/>
      <c r="L515" s="44">
        <f>L514^(1/2)</f>
        <v>1.5550504230351561</v>
      </c>
      <c r="M515" t="s">
        <v>2404</v>
      </c>
    </row>
    <row r="516" spans="1:13" x14ac:dyDescent="0.45">
      <c r="B516" s="20"/>
      <c r="D516" s="33"/>
      <c r="F516" s="44"/>
    </row>
    <row r="517" spans="1:13" x14ac:dyDescent="0.45">
      <c r="A517" s="29" t="s">
        <v>2397</v>
      </c>
      <c r="C517" s="20" t="s">
        <v>2390</v>
      </c>
      <c r="D517" s="20" t="s">
        <v>2391</v>
      </c>
      <c r="E517" s="20" t="s">
        <v>2392</v>
      </c>
      <c r="F517" s="20" t="s">
        <v>2374</v>
      </c>
      <c r="G517" s="20" t="s">
        <v>2393</v>
      </c>
      <c r="H517" s="20" t="s">
        <v>2394</v>
      </c>
      <c r="I517" s="20" t="s">
        <v>2395</v>
      </c>
      <c r="J517" s="20" t="s">
        <v>2373</v>
      </c>
      <c r="K517" s="20" t="s">
        <v>2362</v>
      </c>
      <c r="L517" s="20" t="s">
        <v>2363</v>
      </c>
    </row>
    <row r="518" spans="1:13" x14ac:dyDescent="0.45">
      <c r="A518">
        <v>7</v>
      </c>
      <c r="B518" t="s">
        <v>169</v>
      </c>
      <c r="C518">
        <f>COUNTIFS(AnalizaCzyste[Zarobki absolwentów ocenianej uczelni zatrudnionych w mojej firmie są wyższe od zarobków absolwentów innych polskich uczelni.],B506,AnalizaCzyste[Czy jesteś przedstawicielem firmy, w której są zatrudniani absolwenci uczelni wyższych (tytuł licencjata, magistra lub wyższy)?],"*"&amp;"Tak"&amp;"*")</f>
        <v>1</v>
      </c>
      <c r="D518">
        <f>COUNTIFS(AnalizaCzyste[Zarobki absolwentów ocenianej uczelni zatrudnionych w mojej firmie są wyższe od zarobków absolwentów innych polskich uczelni.16],B506,AnalizaCzyste[Czy jesteś przedstawicielem firmy, w której są zatrudniani absolwenci uczelni wyższych (tytuł licencjata, magistra lub wyższy)?],"*"&amp;"Tak"&amp;"*")</f>
        <v>0</v>
      </c>
      <c r="E518">
        <f>COUNTIFS(AnalizaCzyste[Zarobki absolwentów ocenianej uczelni zatrudnionych w mojej firmie są wyższe od zarobków absolwentów innych polskich uczelni.23],B506,AnalizaCzyste[Czy jesteś przedstawicielem firmy, w której są zatrudniani absolwenci uczelni wyższych (tytuł licencjata, magistra lub wyższy)?],"*"&amp;"Tak"&amp;"*")</f>
        <v>0</v>
      </c>
      <c r="F518">
        <f>SUM(C518:E518)</f>
        <v>1</v>
      </c>
      <c r="G518">
        <f t="shared" ref="G518:I525" si="156">PRODUCT($A518,C518)</f>
        <v>7</v>
      </c>
      <c r="H518">
        <f t="shared" si="156"/>
        <v>0</v>
      </c>
      <c r="I518">
        <f t="shared" si="156"/>
        <v>0</v>
      </c>
      <c r="J518">
        <f>SUM(G518:I518)</f>
        <v>7</v>
      </c>
      <c r="K518" s="44">
        <f>(A518-$J$526)^2</f>
        <v>12.570247933884298</v>
      </c>
      <c r="L518">
        <f>PRODUCT(F518,K518)</f>
        <v>12.570247933884298</v>
      </c>
    </row>
    <row r="519" spans="1:13" x14ac:dyDescent="0.45">
      <c r="A519">
        <v>6</v>
      </c>
      <c r="B519" t="s">
        <v>150</v>
      </c>
      <c r="C519">
        <f>COUNTIFS(AnalizaCzyste[Zarobki absolwentów ocenianej uczelni zatrudnionych w mojej firmie są wyższe od zarobków absolwentów innych polskich uczelni.],B507,AnalizaCzyste[Czy jesteś przedstawicielem firmy, w której są zatrudniani absolwenci uczelni wyższych (tytuł licencjata, magistra lub wyższy)?],"*"&amp;"Tak"&amp;"*")</f>
        <v>0</v>
      </c>
      <c r="D519">
        <f>COUNTIFS(AnalizaCzyste[Zarobki absolwentów ocenianej uczelni zatrudnionych w mojej firmie są wyższe od zarobków absolwentów innych polskich uczelni.16],B507,AnalizaCzyste[Czy jesteś przedstawicielem firmy, w której są zatrudniani absolwenci uczelni wyższych (tytuł licencjata, magistra lub wyższy)?],"*"&amp;"Tak"&amp;"*")</f>
        <v>0</v>
      </c>
      <c r="E519">
        <f>COUNTIFS(AnalizaCzyste[Zarobki absolwentów ocenianej uczelni zatrudnionych w mojej firmie są wyższe od zarobków absolwentów innych polskich uczelni.23],B507,AnalizaCzyste[Czy jesteś przedstawicielem firmy, w której są zatrudniani absolwenci uczelni wyższych (tytuł licencjata, magistra lub wyższy)?],"*"&amp;"Tak"&amp;"*")</f>
        <v>0</v>
      </c>
      <c r="F519">
        <f t="shared" ref="F519:F527" si="157">SUM(C519:E519)</f>
        <v>0</v>
      </c>
      <c r="G519">
        <f t="shared" si="156"/>
        <v>0</v>
      </c>
      <c r="H519">
        <f t="shared" si="156"/>
        <v>0</v>
      </c>
      <c r="I519">
        <f t="shared" si="156"/>
        <v>0</v>
      </c>
      <c r="J519">
        <f t="shared" ref="J519:J525" si="158">SUM(G519:I519)</f>
        <v>0</v>
      </c>
      <c r="K519" s="44">
        <f t="shared" ref="K519:K524" si="159">(A519-$J$526)^2</f>
        <v>6.4793388429752063</v>
      </c>
      <c r="L519">
        <f t="shared" ref="L519:L524" si="160">PRODUCT(F519,K519)</f>
        <v>0</v>
      </c>
    </row>
    <row r="520" spans="1:13" x14ac:dyDescent="0.45">
      <c r="A520">
        <v>5</v>
      </c>
      <c r="B520" t="s">
        <v>162</v>
      </c>
      <c r="C520">
        <f>COUNTIFS(AnalizaCzyste[Zarobki absolwentów ocenianej uczelni zatrudnionych w mojej firmie są wyższe od zarobków absolwentów innych polskich uczelni.],B508,AnalizaCzyste[Czy jesteś przedstawicielem firmy, w której są zatrudniani absolwenci uczelni wyższych (tytuł licencjata, magistra lub wyższy)?],"*"&amp;"Tak"&amp;"*")</f>
        <v>0</v>
      </c>
      <c r="D520">
        <f>COUNTIFS(AnalizaCzyste[Zarobki absolwentów ocenianej uczelni zatrudnionych w mojej firmie są wyższe od zarobków absolwentów innych polskich uczelni.16],B508,AnalizaCzyste[Czy jesteś przedstawicielem firmy, w której są zatrudniani absolwenci uczelni wyższych (tytuł licencjata, magistra lub wyższy)?],"*"&amp;"Tak"&amp;"*")</f>
        <v>0</v>
      </c>
      <c r="E520">
        <f>COUNTIFS(AnalizaCzyste[Zarobki absolwentów ocenianej uczelni zatrudnionych w mojej firmie są wyższe od zarobków absolwentów innych polskich uczelni.23],B508,AnalizaCzyste[Czy jesteś przedstawicielem firmy, w której są zatrudniani absolwenci uczelni wyższych (tytuł licencjata, magistra lub wyższy)?],"*"&amp;"Tak"&amp;"*")</f>
        <v>0</v>
      </c>
      <c r="F520">
        <f t="shared" si="157"/>
        <v>0</v>
      </c>
      <c r="G520">
        <f t="shared" si="156"/>
        <v>0</v>
      </c>
      <c r="H520">
        <f t="shared" si="156"/>
        <v>0</v>
      </c>
      <c r="I520">
        <f t="shared" si="156"/>
        <v>0</v>
      </c>
      <c r="J520">
        <f t="shared" si="158"/>
        <v>0</v>
      </c>
      <c r="K520" s="44">
        <f t="shared" si="159"/>
        <v>2.3884297520661155</v>
      </c>
      <c r="L520">
        <f t="shared" si="160"/>
        <v>0</v>
      </c>
    </row>
    <row r="521" spans="1:13" x14ac:dyDescent="0.45">
      <c r="A521">
        <v>4</v>
      </c>
      <c r="B521" t="s">
        <v>151</v>
      </c>
      <c r="C521">
        <f>COUNTIFS(AnalizaCzyste[Zarobki absolwentów ocenianej uczelni zatrudnionych w mojej firmie są wyższe od zarobków absolwentów innych polskich uczelni.],B509,AnalizaCzyste[Czy jesteś przedstawicielem firmy, w której są zatrudniani absolwenci uczelni wyższych (tytuł licencjata, magistra lub wyższy)?],"*"&amp;"Tak"&amp;"*")</f>
        <v>4</v>
      </c>
      <c r="D521">
        <f>COUNTIFS(AnalizaCzyste[Zarobki absolwentów ocenianej uczelni zatrudnionych w mojej firmie są wyższe od zarobków absolwentów innych polskich uczelni.16],B509,AnalizaCzyste[Czy jesteś przedstawicielem firmy, w której są zatrudniani absolwenci uczelni wyższych (tytuł licencjata, magistra lub wyższy)?],"*"&amp;"Tak"&amp;"*")</f>
        <v>1</v>
      </c>
      <c r="E521">
        <f>COUNTIFS(AnalizaCzyste[Zarobki absolwentów ocenianej uczelni zatrudnionych w mojej firmie są wyższe od zarobków absolwentów innych polskich uczelni.23],B509,AnalizaCzyste[Czy jesteś przedstawicielem firmy, w której są zatrudniani absolwenci uczelni wyższych (tytuł licencjata, magistra lub wyższy)?],"*"&amp;"Tak"&amp;"*")</f>
        <v>0</v>
      </c>
      <c r="F521">
        <f t="shared" si="157"/>
        <v>5</v>
      </c>
      <c r="G521">
        <f t="shared" si="156"/>
        <v>16</v>
      </c>
      <c r="H521">
        <f t="shared" si="156"/>
        <v>4</v>
      </c>
      <c r="I521">
        <f t="shared" si="156"/>
        <v>0</v>
      </c>
      <c r="J521">
        <f t="shared" si="158"/>
        <v>20</v>
      </c>
      <c r="K521" s="44">
        <f t="shared" si="159"/>
        <v>0.29752066115702475</v>
      </c>
      <c r="L521">
        <f t="shared" si="160"/>
        <v>1.4876033057851237</v>
      </c>
    </row>
    <row r="522" spans="1:13" x14ac:dyDescent="0.45">
      <c r="A522">
        <v>3</v>
      </c>
      <c r="B522" t="s">
        <v>128</v>
      </c>
      <c r="C522">
        <f>COUNTIFS(AnalizaCzyste[Zarobki absolwentów ocenianej uczelni zatrudnionych w mojej firmie są wyższe od zarobków absolwentów innych polskich uczelni.],B510,AnalizaCzyste[Czy jesteś przedstawicielem firmy, w której są zatrudniani absolwenci uczelni wyższych (tytuł licencjata, magistra lub wyższy)?],"*"&amp;"Tak"&amp;"*")</f>
        <v>2</v>
      </c>
      <c r="D522">
        <f>COUNTIFS(AnalizaCzyste[Zarobki absolwentów ocenianej uczelni zatrudnionych w mojej firmie są wyższe od zarobków absolwentów innych polskich uczelni.16],B510,AnalizaCzyste[Czy jesteś przedstawicielem firmy, w której są zatrudniani absolwenci uczelni wyższych (tytuł licencjata, magistra lub wyższy)?],"*"&amp;"Tak"&amp;"*")</f>
        <v>0</v>
      </c>
      <c r="E522">
        <f>COUNTIFS(AnalizaCzyste[Zarobki absolwentów ocenianej uczelni zatrudnionych w mojej firmie są wyższe od zarobków absolwentów innych polskich uczelni.23],B510,AnalizaCzyste[Czy jesteś przedstawicielem firmy, w której są zatrudniani absolwenci uczelni wyższych (tytuł licencjata, magistra lub wyższy)?],"*"&amp;"Tak"&amp;"*")</f>
        <v>0</v>
      </c>
      <c r="F522">
        <f t="shared" si="157"/>
        <v>2</v>
      </c>
      <c r="G522">
        <f t="shared" si="156"/>
        <v>6</v>
      </c>
      <c r="H522">
        <f t="shared" si="156"/>
        <v>0</v>
      </c>
      <c r="I522">
        <f t="shared" si="156"/>
        <v>0</v>
      </c>
      <c r="J522">
        <f t="shared" si="158"/>
        <v>6</v>
      </c>
      <c r="K522" s="44">
        <f t="shared" si="159"/>
        <v>0.20661157024793392</v>
      </c>
      <c r="L522">
        <f t="shared" si="160"/>
        <v>0.41322314049586784</v>
      </c>
    </row>
    <row r="523" spans="1:13" x14ac:dyDescent="0.45">
      <c r="A523">
        <v>2</v>
      </c>
      <c r="B523" t="s">
        <v>236</v>
      </c>
      <c r="C523">
        <f>COUNTIFS(AnalizaCzyste[Zarobki absolwentów ocenianej uczelni zatrudnionych w mojej firmie są wyższe od zarobków absolwentów innych polskich uczelni.],B511,AnalizaCzyste[Czy jesteś przedstawicielem firmy, w której są zatrudniani absolwenci uczelni wyższych (tytuł licencjata, magistra lub wyższy)?],"*"&amp;"Tak"&amp;"*")</f>
        <v>2</v>
      </c>
      <c r="D523">
        <f>COUNTIFS(AnalizaCzyste[Zarobki absolwentów ocenianej uczelni zatrudnionych w mojej firmie są wyższe od zarobków absolwentów innych polskich uczelni.16],B511,AnalizaCzyste[Czy jesteś przedstawicielem firmy, w której są zatrudniani absolwenci uczelni wyższych (tytuł licencjata, magistra lub wyższy)?],"*"&amp;"Tak"&amp;"*")</f>
        <v>0</v>
      </c>
      <c r="E523">
        <f>COUNTIFS(AnalizaCzyste[Zarobki absolwentów ocenianej uczelni zatrudnionych w mojej firmie są wyższe od zarobków absolwentów innych polskich uczelni.23],B511,AnalizaCzyste[Czy jesteś przedstawicielem firmy, w której są zatrudniani absolwenci uczelni wyższych (tytuł licencjata, magistra lub wyższy)?],"*"&amp;"Tak"&amp;"*")</f>
        <v>0</v>
      </c>
      <c r="F523">
        <f t="shared" si="157"/>
        <v>2</v>
      </c>
      <c r="G523">
        <f t="shared" si="156"/>
        <v>4</v>
      </c>
      <c r="H523">
        <f t="shared" si="156"/>
        <v>0</v>
      </c>
      <c r="I523">
        <f t="shared" si="156"/>
        <v>0</v>
      </c>
      <c r="J523">
        <f t="shared" si="158"/>
        <v>4</v>
      </c>
      <c r="K523" s="44">
        <f t="shared" si="159"/>
        <v>2.115702479338843</v>
      </c>
      <c r="L523">
        <f t="shared" si="160"/>
        <v>4.2314049586776861</v>
      </c>
    </row>
    <row r="524" spans="1:13" x14ac:dyDescent="0.45">
      <c r="A524">
        <v>1</v>
      </c>
      <c r="B524" t="s">
        <v>129</v>
      </c>
      <c r="C524">
        <f>COUNTIFS(AnalizaCzyste[Zarobki absolwentów ocenianej uczelni zatrudnionych w mojej firmie są wyższe od zarobków absolwentów innych polskich uczelni.],B512,AnalizaCzyste[Czy jesteś przedstawicielem firmy, w której są zatrudniani absolwenci uczelni wyższych (tytuł licencjata, magistra lub wyższy)?],"*"&amp;"Tak"&amp;"*")</f>
        <v>0</v>
      </c>
      <c r="D524">
        <f>COUNTIFS(AnalizaCzyste[Zarobki absolwentów ocenianej uczelni zatrudnionych w mojej firmie są wyższe od zarobków absolwentów innych polskich uczelni.16],B512,AnalizaCzyste[Czy jesteś przedstawicielem firmy, w której są zatrudniani absolwenci uczelni wyższych (tytuł licencjata, magistra lub wyższy)?],"*"&amp;"Tak"&amp;"*")</f>
        <v>1</v>
      </c>
      <c r="E524">
        <f>COUNTIFS(AnalizaCzyste[Zarobki absolwentów ocenianej uczelni zatrudnionych w mojej firmie są wyższe od zarobków absolwentów innych polskich uczelni.23],B512,AnalizaCzyste[Czy jesteś przedstawicielem firmy, w której są zatrudniani absolwenci uczelni wyższych (tytuł licencjata, magistra lub wyższy)?],"*"&amp;"Tak"&amp;"*")</f>
        <v>0</v>
      </c>
      <c r="F524">
        <f t="shared" si="157"/>
        <v>1</v>
      </c>
      <c r="G524">
        <f t="shared" si="156"/>
        <v>0</v>
      </c>
      <c r="H524">
        <f t="shared" si="156"/>
        <v>1</v>
      </c>
      <c r="I524">
        <f t="shared" si="156"/>
        <v>0</v>
      </c>
      <c r="J524">
        <f t="shared" si="158"/>
        <v>1</v>
      </c>
      <c r="K524" s="44">
        <f t="shared" si="159"/>
        <v>6.0247933884297522</v>
      </c>
      <c r="L524">
        <f t="shared" si="160"/>
        <v>6.0247933884297522</v>
      </c>
    </row>
    <row r="525" spans="1:13" x14ac:dyDescent="0.45">
      <c r="A525" t="s">
        <v>2329</v>
      </c>
      <c r="B525" t="s">
        <v>132</v>
      </c>
      <c r="C525">
        <f>COUNTIFS(AnalizaCzyste[Zarobki absolwentów ocenianej uczelni zatrudnionych w mojej firmie są wyższe od zarobków absolwentów innych polskich uczelni.],B513,AnalizaCzyste[Czy jesteś przedstawicielem firmy, w której są zatrudniani absolwenci uczelni wyższych (tytuł licencjata, magistra lub wyższy)?],"*"&amp;"Tak"&amp;"*")</f>
        <v>0</v>
      </c>
      <c r="D525">
        <f>COUNTIFS(AnalizaCzyste[Zarobki absolwentów ocenianej uczelni zatrudnionych w mojej firmie są wyższe od zarobków absolwentów innych polskich uczelni.16],B513,AnalizaCzyste[Czy jesteś przedstawicielem firmy, w której są zatrudniani absolwenci uczelni wyższych (tytuł licencjata, magistra lub wyższy)?],"*"&amp;"Tak"&amp;"*")</f>
        <v>0</v>
      </c>
      <c r="E525">
        <f>COUNTIFS(AnalizaCzyste[Zarobki absolwentów ocenianej uczelni zatrudnionych w mojej firmie są wyższe od zarobków absolwentów innych polskich uczelni.23],B513,AnalizaCzyste[Czy jesteś przedstawicielem firmy, w której są zatrudniani absolwenci uczelni wyższych (tytuł licencjata, magistra lub wyższy)?],"*"&amp;"Tak"&amp;"*")</f>
        <v>0</v>
      </c>
      <c r="F525">
        <f t="shared" si="157"/>
        <v>0</v>
      </c>
      <c r="G525">
        <f t="shared" si="156"/>
        <v>0</v>
      </c>
      <c r="H525">
        <f t="shared" si="156"/>
        <v>0</v>
      </c>
      <c r="I525">
        <f t="shared" si="156"/>
        <v>0</v>
      </c>
      <c r="J525">
        <f t="shared" si="158"/>
        <v>0</v>
      </c>
    </row>
    <row r="526" spans="1:13" x14ac:dyDescent="0.45">
      <c r="B526" s="20" t="s">
        <v>2351</v>
      </c>
      <c r="C526" s="29">
        <f>SUM(C518:C525)</f>
        <v>9</v>
      </c>
      <c r="D526" s="29">
        <f>SUM(D518:D525)</f>
        <v>2</v>
      </c>
      <c r="E526" s="29">
        <f>SUM(E518:E525)</f>
        <v>0</v>
      </c>
      <c r="F526" s="29">
        <f t="shared" si="157"/>
        <v>11</v>
      </c>
      <c r="G526" s="44">
        <f>SUM(G518:G525)/$C527</f>
        <v>3.6666666666666665</v>
      </c>
      <c r="H526" s="44">
        <f>SUM(H518:H525)/$C527</f>
        <v>0.55555555555555558</v>
      </c>
      <c r="I526" s="44">
        <f>SUM(I518:I525)/$C527</f>
        <v>0</v>
      </c>
      <c r="J526" s="44">
        <f>SUM(J518:J524)/$F527</f>
        <v>3.4545454545454546</v>
      </c>
      <c r="K526" s="20" t="s">
        <v>2353</v>
      </c>
      <c r="L526" s="44">
        <f>SUM(L518:L525)/(F527-1)</f>
        <v>2.4727272727272731</v>
      </c>
      <c r="M526" s="20" t="s">
        <v>2349</v>
      </c>
    </row>
    <row r="527" spans="1:13" x14ac:dyDescent="0.45">
      <c r="B527" s="20" t="s">
        <v>2352</v>
      </c>
      <c r="C527">
        <f>C526-C525</f>
        <v>9</v>
      </c>
      <c r="D527">
        <f>D526-D525</f>
        <v>2</v>
      </c>
      <c r="E527">
        <f>E526-E525</f>
        <v>0</v>
      </c>
      <c r="F527">
        <f t="shared" si="157"/>
        <v>11</v>
      </c>
      <c r="G527" s="33">
        <f>G526/7</f>
        <v>0.52380952380952384</v>
      </c>
      <c r="H527" s="33"/>
      <c r="I527" s="33"/>
      <c r="J527" s="33"/>
      <c r="L527" s="44">
        <f>L526^(1/2)</f>
        <v>1.5724907862137931</v>
      </c>
      <c r="M527" t="s">
        <v>2404</v>
      </c>
    </row>
    <row r="528" spans="1:13" x14ac:dyDescent="0.45">
      <c r="B528" s="20"/>
      <c r="D528" s="33"/>
      <c r="F528" s="44"/>
    </row>
    <row r="529" spans="1:11" x14ac:dyDescent="0.45">
      <c r="A529" s="29" t="s">
        <v>2403</v>
      </c>
      <c r="C529" t="s">
        <v>2348</v>
      </c>
      <c r="E529" s="20" t="s">
        <v>2362</v>
      </c>
      <c r="F529" s="20" t="s">
        <v>2363</v>
      </c>
    </row>
    <row r="530" spans="1:11" x14ac:dyDescent="0.45">
      <c r="A530">
        <v>7</v>
      </c>
      <c r="B530" t="s">
        <v>169</v>
      </c>
      <c r="C530">
        <f>COUNTIFS(AnalizaCzyste[Ogólny poziom mojej satysfakcji z jakości usług edukacyjnych ocenianej uczelni jest wysoki.32],B530,AnalizaCzyste[Czy jesteś przedstawicielem władz samorządowych lub centralnych Rzeczypospolitej Polskiej?],"*"&amp;"Tak"&amp;"*")</f>
        <v>1</v>
      </c>
      <c r="D530">
        <f>PRODUCT(A530,C530)</f>
        <v>7</v>
      </c>
      <c r="E530" s="44">
        <f t="shared" ref="E530:E536" si="161">(A530-$D$538)^2</f>
        <v>0.25</v>
      </c>
      <c r="F530">
        <f>PRODUCT(C530,E530)</f>
        <v>0.25</v>
      </c>
    </row>
    <row r="531" spans="1:11" x14ac:dyDescent="0.45">
      <c r="A531">
        <v>6</v>
      </c>
      <c r="B531" t="s">
        <v>150</v>
      </c>
      <c r="C531">
        <f>COUNTIFS(AnalizaCzyste[Ogólny poziom mojej satysfakcji z jakości usług edukacyjnych ocenianej uczelni jest wysoki.32],B531,AnalizaCzyste[Czy jesteś przedstawicielem władz samorządowych lub centralnych Rzeczypospolitej Polskiej?],"*"&amp;"Tak"&amp;"*")</f>
        <v>1</v>
      </c>
      <c r="D531">
        <f t="shared" ref="D531:D537" si="162">PRODUCT(A531,C531)</f>
        <v>6</v>
      </c>
      <c r="E531" s="44">
        <f t="shared" si="161"/>
        <v>0.25</v>
      </c>
      <c r="F531">
        <f t="shared" ref="F531:F536" si="163">PRODUCT(C531,E531)</f>
        <v>0.25</v>
      </c>
    </row>
    <row r="532" spans="1:11" x14ac:dyDescent="0.45">
      <c r="A532">
        <v>5</v>
      </c>
      <c r="B532" t="s">
        <v>162</v>
      </c>
      <c r="C532">
        <f>COUNTIFS(AnalizaCzyste[Ogólny poziom mojej satysfakcji z jakości usług edukacyjnych ocenianej uczelni jest wysoki.32],B532,AnalizaCzyste[Czy jesteś przedstawicielem władz samorządowych lub centralnych Rzeczypospolitej Polskiej?],"*"&amp;"Tak"&amp;"*")</f>
        <v>0</v>
      </c>
      <c r="D532">
        <f t="shared" si="162"/>
        <v>0</v>
      </c>
      <c r="E532" s="44">
        <f t="shared" si="161"/>
        <v>2.25</v>
      </c>
      <c r="F532">
        <f t="shared" si="163"/>
        <v>0</v>
      </c>
    </row>
    <row r="533" spans="1:11" x14ac:dyDescent="0.45">
      <c r="A533">
        <v>4</v>
      </c>
      <c r="B533" t="s">
        <v>151</v>
      </c>
      <c r="C533">
        <f>COUNTIFS(AnalizaCzyste[Ogólny poziom mojej satysfakcji z jakości usług edukacyjnych ocenianej uczelni jest wysoki.32],B533,AnalizaCzyste[Czy jesteś przedstawicielem władz samorządowych lub centralnych Rzeczypospolitej Polskiej?],"*"&amp;"Tak"&amp;"*")</f>
        <v>0</v>
      </c>
      <c r="D533">
        <f t="shared" si="162"/>
        <v>0</v>
      </c>
      <c r="E533" s="44">
        <f t="shared" si="161"/>
        <v>6.25</v>
      </c>
      <c r="F533">
        <f t="shared" si="163"/>
        <v>0</v>
      </c>
    </row>
    <row r="534" spans="1:11" x14ac:dyDescent="0.45">
      <c r="A534">
        <v>3</v>
      </c>
      <c r="B534" t="s">
        <v>128</v>
      </c>
      <c r="C534">
        <f>COUNTIFS(AnalizaCzyste[Ogólny poziom mojej satysfakcji z jakości usług edukacyjnych ocenianej uczelni jest wysoki.32],B534,AnalizaCzyste[Czy jesteś przedstawicielem władz samorządowych lub centralnych Rzeczypospolitej Polskiej?],"*"&amp;"Tak"&amp;"*")</f>
        <v>0</v>
      </c>
      <c r="D534">
        <f t="shared" si="162"/>
        <v>0</v>
      </c>
      <c r="E534" s="44">
        <f t="shared" si="161"/>
        <v>12.25</v>
      </c>
      <c r="F534">
        <f t="shared" si="163"/>
        <v>0</v>
      </c>
    </row>
    <row r="535" spans="1:11" x14ac:dyDescent="0.45">
      <c r="A535">
        <v>2</v>
      </c>
      <c r="B535" t="s">
        <v>236</v>
      </c>
      <c r="C535">
        <f>COUNTIFS(AnalizaCzyste[Ogólny poziom mojej satysfakcji z jakości usług edukacyjnych ocenianej uczelni jest wysoki.32],B535,AnalizaCzyste[Czy jesteś przedstawicielem władz samorządowych lub centralnych Rzeczypospolitej Polskiej?],"*"&amp;"Tak"&amp;"*")</f>
        <v>0</v>
      </c>
      <c r="D535">
        <f t="shared" si="162"/>
        <v>0</v>
      </c>
      <c r="E535" s="44">
        <f t="shared" si="161"/>
        <v>20.25</v>
      </c>
      <c r="F535">
        <f t="shared" si="163"/>
        <v>0</v>
      </c>
    </row>
    <row r="536" spans="1:11" x14ac:dyDescent="0.45">
      <c r="A536">
        <v>1</v>
      </c>
      <c r="B536" t="s">
        <v>129</v>
      </c>
      <c r="C536">
        <f>COUNTIFS(AnalizaCzyste[Ogólny poziom mojej satysfakcji z jakości usług edukacyjnych ocenianej uczelni jest wysoki.32],B536,AnalizaCzyste[Czy jesteś przedstawicielem władz samorządowych lub centralnych Rzeczypospolitej Polskiej?],"*"&amp;"Tak"&amp;"*")</f>
        <v>0</v>
      </c>
      <c r="D536">
        <f t="shared" si="162"/>
        <v>0</v>
      </c>
      <c r="E536" s="44">
        <f t="shared" si="161"/>
        <v>30.25</v>
      </c>
      <c r="F536">
        <f t="shared" si="163"/>
        <v>0</v>
      </c>
    </row>
    <row r="537" spans="1:11" x14ac:dyDescent="0.45">
      <c r="A537" t="s">
        <v>2329</v>
      </c>
      <c r="B537" t="s">
        <v>132</v>
      </c>
      <c r="C537">
        <f>COUNTIFS(AnalizaCzyste[Ogólny poziom mojej satysfakcji z jakości usług edukacyjnych ocenianej uczelni jest wysoki.32],B537,AnalizaCzyste[Czy jesteś przedstawicielem władz samorządowych lub centralnych Rzeczypospolitej Polskiej?],"*"&amp;"Tak"&amp;"*")</f>
        <v>0</v>
      </c>
      <c r="D537">
        <f t="shared" si="162"/>
        <v>0</v>
      </c>
    </row>
    <row r="538" spans="1:11" x14ac:dyDescent="0.45">
      <c r="B538" s="20" t="s">
        <v>2351</v>
      </c>
      <c r="C538" s="29">
        <f>SUM(C530:C537)</f>
        <v>2</v>
      </c>
      <c r="D538" s="44">
        <f>SUM(D530:D536)/C539</f>
        <v>6.5</v>
      </c>
      <c r="E538" s="20" t="s">
        <v>2353</v>
      </c>
      <c r="F538" s="44">
        <f>SUM(F530:F537)/(C539-1)</f>
        <v>0.5</v>
      </c>
      <c r="G538" s="20" t="s">
        <v>2349</v>
      </c>
    </row>
    <row r="539" spans="1:11" x14ac:dyDescent="0.45">
      <c r="B539" s="20" t="s">
        <v>2352</v>
      </c>
      <c r="C539">
        <f>C538-C537</f>
        <v>2</v>
      </c>
      <c r="D539" s="33">
        <f>D538/7</f>
        <v>0.9285714285714286</v>
      </c>
      <c r="F539" s="44">
        <f>F538^(1/2)</f>
        <v>0.70710678118654757</v>
      </c>
      <c r="G539" t="s">
        <v>2404</v>
      </c>
    </row>
    <row r="540" spans="1:11" x14ac:dyDescent="0.45">
      <c r="B540" s="20"/>
      <c r="D540" s="51" t="str">
        <f>VLOOKUP(D538,InterpretacjaŚredniej[],2,1)</f>
        <v>zdecydowanie się zgadzam</v>
      </c>
      <c r="E540">
        <f>D538-(K540*F539/SQRT(C539))</f>
        <v>0.14689763191264671</v>
      </c>
      <c r="F540" s="45" t="str">
        <f>"&lt; m &lt;"</f>
        <v>&lt; m &lt;</v>
      </c>
      <c r="G540">
        <f>D538+(K540*F539/SQRT(C539))</f>
        <v>12.853102368087352</v>
      </c>
      <c r="H540" t="s">
        <v>2407</v>
      </c>
      <c r="I540">
        <v>0.05</v>
      </c>
      <c r="J540" s="20" t="s">
        <v>2417</v>
      </c>
      <c r="K540">
        <f>VLOOKUP($C$539-1,Tabl_tStudenta[],5,0)</f>
        <v>12.706204736174707</v>
      </c>
    </row>
    <row r="541" spans="1:11" x14ac:dyDescent="0.45">
      <c r="B541" s="20"/>
      <c r="D541" s="33"/>
      <c r="F541" s="44"/>
    </row>
    <row r="543" spans="1:11" x14ac:dyDescent="0.45">
      <c r="A543" s="29" t="s">
        <v>2359</v>
      </c>
      <c r="C543" t="s">
        <v>2348</v>
      </c>
      <c r="E543" s="20" t="s">
        <v>2362</v>
      </c>
      <c r="F543" s="20" t="s">
        <v>2363</v>
      </c>
    </row>
    <row r="544" spans="1:11" x14ac:dyDescent="0.45">
      <c r="A544">
        <v>7</v>
      </c>
      <c r="B544" t="s">
        <v>169</v>
      </c>
      <c r="C544">
        <f>COUNTIFS(AnalizaCzyste[Efekty działań ocenianej uczelni na rzesz jakości edukacji są zgodne ze strategią rozwoju w regionie.],B544,AnalizaCzyste[Czy jesteś przedstawicielem władz samorządowych lub centralnych Rzeczypospolitej Polskiej?],"*"&amp;"Tak"&amp;"*")</f>
        <v>0</v>
      </c>
      <c r="D544">
        <f>PRODUCT(A544,C544)</f>
        <v>0</v>
      </c>
      <c r="E544" s="44">
        <f>(A544-$D$552)^2</f>
        <v>1</v>
      </c>
      <c r="F544">
        <f>PRODUCT(C544,E544)</f>
        <v>0</v>
      </c>
    </row>
    <row r="545" spans="1:7" x14ac:dyDescent="0.45">
      <c r="A545">
        <v>6</v>
      </c>
      <c r="B545" t="s">
        <v>150</v>
      </c>
      <c r="C545">
        <f>COUNTIFS(AnalizaCzyste[Efekty działań ocenianej uczelni na rzesz jakości edukacji są zgodne ze strategią rozwoju w regionie.],B545,AnalizaCzyste[Czy jesteś przedstawicielem władz samorządowych lub centralnych Rzeczypospolitej Polskiej?],"*"&amp;"Tak"&amp;"*")</f>
        <v>2</v>
      </c>
      <c r="D545">
        <f t="shared" ref="D545:D551" si="164">PRODUCT(A545,C545)</f>
        <v>12</v>
      </c>
      <c r="E545" s="44">
        <f t="shared" ref="E545:E550" si="165">(A545-$D$552)^2</f>
        <v>0</v>
      </c>
      <c r="F545">
        <f t="shared" ref="F545:F550" si="166">PRODUCT(C545,E545)</f>
        <v>0</v>
      </c>
    </row>
    <row r="546" spans="1:7" x14ac:dyDescent="0.45">
      <c r="A546">
        <v>5</v>
      </c>
      <c r="B546" t="s">
        <v>162</v>
      </c>
      <c r="C546">
        <f>COUNTIFS(AnalizaCzyste[Efekty działań ocenianej uczelni na rzesz jakości edukacji są zgodne ze strategią rozwoju w regionie.],B546,AnalizaCzyste[Czy jesteś przedstawicielem władz samorządowych lub centralnych Rzeczypospolitej Polskiej?],"*"&amp;"Tak"&amp;"*")</f>
        <v>0</v>
      </c>
      <c r="D546">
        <f t="shared" si="164"/>
        <v>0</v>
      </c>
      <c r="E546" s="44">
        <f t="shared" si="165"/>
        <v>1</v>
      </c>
      <c r="F546">
        <f t="shared" si="166"/>
        <v>0</v>
      </c>
    </row>
    <row r="547" spans="1:7" x14ac:dyDescent="0.45">
      <c r="A547">
        <v>4</v>
      </c>
      <c r="B547" t="s">
        <v>151</v>
      </c>
      <c r="C547">
        <f>COUNTIFS(AnalizaCzyste[Efekty działań ocenianej uczelni na rzesz jakości edukacji są zgodne ze strategią rozwoju w regionie.],B547,AnalizaCzyste[Czy jesteś przedstawicielem władz samorządowych lub centralnych Rzeczypospolitej Polskiej?],"*"&amp;"Tak"&amp;"*")</f>
        <v>0</v>
      </c>
      <c r="D547">
        <f t="shared" si="164"/>
        <v>0</v>
      </c>
      <c r="E547" s="44">
        <f t="shared" si="165"/>
        <v>4</v>
      </c>
      <c r="F547">
        <f t="shared" si="166"/>
        <v>0</v>
      </c>
    </row>
    <row r="548" spans="1:7" x14ac:dyDescent="0.45">
      <c r="A548">
        <v>3</v>
      </c>
      <c r="B548" t="s">
        <v>128</v>
      </c>
      <c r="C548">
        <f>COUNTIFS(AnalizaCzyste[Efekty działań ocenianej uczelni na rzesz jakości edukacji są zgodne ze strategią rozwoju w regionie.],B548,AnalizaCzyste[Czy jesteś przedstawicielem władz samorządowych lub centralnych Rzeczypospolitej Polskiej?],"*"&amp;"Tak"&amp;"*")</f>
        <v>0</v>
      </c>
      <c r="D548">
        <f t="shared" si="164"/>
        <v>0</v>
      </c>
      <c r="E548" s="44">
        <f t="shared" si="165"/>
        <v>9</v>
      </c>
      <c r="F548">
        <f t="shared" si="166"/>
        <v>0</v>
      </c>
    </row>
    <row r="549" spans="1:7" x14ac:dyDescent="0.45">
      <c r="A549">
        <v>2</v>
      </c>
      <c r="B549" t="s">
        <v>236</v>
      </c>
      <c r="C549">
        <f>COUNTIFS(AnalizaCzyste[Efekty działań ocenianej uczelni na rzesz jakości edukacji są zgodne ze strategią rozwoju w regionie.],B549,AnalizaCzyste[Czy jesteś przedstawicielem władz samorządowych lub centralnych Rzeczypospolitej Polskiej?],"*"&amp;"Tak"&amp;"*")</f>
        <v>0</v>
      </c>
      <c r="D549">
        <f t="shared" si="164"/>
        <v>0</v>
      </c>
      <c r="E549" s="44">
        <f t="shared" si="165"/>
        <v>16</v>
      </c>
      <c r="F549">
        <f t="shared" si="166"/>
        <v>0</v>
      </c>
    </row>
    <row r="550" spans="1:7" x14ac:dyDescent="0.45">
      <c r="A550">
        <v>1</v>
      </c>
      <c r="B550" t="s">
        <v>129</v>
      </c>
      <c r="C550">
        <f>COUNTIFS(AnalizaCzyste[Efekty działań ocenianej uczelni na rzesz jakości edukacji są zgodne ze strategią rozwoju w regionie.],B550,AnalizaCzyste[Czy jesteś przedstawicielem władz samorządowych lub centralnych Rzeczypospolitej Polskiej?],"*"&amp;"Tak"&amp;"*")</f>
        <v>0</v>
      </c>
      <c r="D550">
        <f t="shared" si="164"/>
        <v>0</v>
      </c>
      <c r="E550" s="44">
        <f t="shared" si="165"/>
        <v>25</v>
      </c>
      <c r="F550">
        <f t="shared" si="166"/>
        <v>0</v>
      </c>
    </row>
    <row r="551" spans="1:7" x14ac:dyDescent="0.45">
      <c r="A551" t="s">
        <v>2329</v>
      </c>
      <c r="B551" t="s">
        <v>132</v>
      </c>
      <c r="C551">
        <f>COUNTIFS(AnalizaCzyste[Efekty działań ocenianej uczelni na rzesz jakości edukacji są zgodne ze strategią rozwoju w regionie.],B551,AnalizaCzyste[Czy jesteś przedstawicielem władz samorządowych lub centralnych Rzeczypospolitej Polskiej?],"*"&amp;"Tak"&amp;"*")</f>
        <v>0</v>
      </c>
      <c r="D551">
        <f t="shared" si="164"/>
        <v>0</v>
      </c>
    </row>
    <row r="552" spans="1:7" x14ac:dyDescent="0.45">
      <c r="B552" s="20" t="s">
        <v>2351</v>
      </c>
      <c r="C552" s="29">
        <f>SUM(C544:C551)</f>
        <v>2</v>
      </c>
      <c r="D552" s="44">
        <f>SUM(D544:D550)/C553</f>
        <v>6</v>
      </c>
      <c r="E552" s="20" t="s">
        <v>2353</v>
      </c>
      <c r="F552" s="44">
        <f>SUM(F544:F551)/(C553-1)</f>
        <v>0</v>
      </c>
      <c r="G552" s="20" t="s">
        <v>2349</v>
      </c>
    </row>
    <row r="553" spans="1:7" x14ac:dyDescent="0.45">
      <c r="B553" s="20" t="s">
        <v>2352</v>
      </c>
      <c r="C553">
        <f>C552-C551</f>
        <v>2</v>
      </c>
      <c r="D553" s="33">
        <f>D552/7</f>
        <v>0.8571428571428571</v>
      </c>
      <c r="F553" s="44">
        <f>F552^(1/2)</f>
        <v>0</v>
      </c>
      <c r="G553" t="s">
        <v>2404</v>
      </c>
    </row>
    <row r="555" spans="1:7" x14ac:dyDescent="0.45">
      <c r="A555" s="29" t="s">
        <v>2398</v>
      </c>
      <c r="C555" t="s">
        <v>2348</v>
      </c>
      <c r="E555" s="20" t="s">
        <v>2362</v>
      </c>
      <c r="F555" s="20" t="s">
        <v>2363</v>
      </c>
    </row>
    <row r="556" spans="1:7" x14ac:dyDescent="0.45">
      <c r="A556">
        <v>7</v>
      </c>
      <c r="B556" t="s">
        <v>169</v>
      </c>
      <c r="C556">
        <f>COUNTIFS(AnalizaCzyste[Wartość wykształcenia zdobywanego przez studentów na ocenianej uczelni jest wysoka.27],B556,AnalizaCzyste[Czy jesteś przedstawicielem władz samorządowych lub centralnych Rzeczypospolitej Polskiej?],"*"&amp;"Tak"&amp;"*")</f>
        <v>0</v>
      </c>
      <c r="D556">
        <f>PRODUCT(A556,C556)</f>
        <v>0</v>
      </c>
      <c r="E556" s="44">
        <f>(A556-$D$564)^2</f>
        <v>1</v>
      </c>
      <c r="F556">
        <f>PRODUCT(C556,E556)</f>
        <v>0</v>
      </c>
    </row>
    <row r="557" spans="1:7" x14ac:dyDescent="0.45">
      <c r="A557">
        <v>6</v>
      </c>
      <c r="B557" t="s">
        <v>150</v>
      </c>
      <c r="C557">
        <f>COUNTIFS(AnalizaCzyste[Wartość wykształcenia zdobywanego przez studentów na ocenianej uczelni jest wysoka.27],B557,AnalizaCzyste[Czy jesteś przedstawicielem władz samorządowych lub centralnych Rzeczypospolitej Polskiej?],"*"&amp;"Tak"&amp;"*")</f>
        <v>2</v>
      </c>
      <c r="D557">
        <f t="shared" ref="D557:D563" si="167">PRODUCT(A557,C557)</f>
        <v>12</v>
      </c>
      <c r="E557" s="44">
        <f t="shared" ref="E557:E562" si="168">(A557-$D$564)^2</f>
        <v>0</v>
      </c>
      <c r="F557">
        <f t="shared" ref="F557:F562" si="169">PRODUCT(C557,E557)</f>
        <v>0</v>
      </c>
    </row>
    <row r="558" spans="1:7" x14ac:dyDescent="0.45">
      <c r="A558">
        <v>5</v>
      </c>
      <c r="B558" t="s">
        <v>162</v>
      </c>
      <c r="C558">
        <f>COUNTIFS(AnalizaCzyste[Wartość wykształcenia zdobywanego przez studentów na ocenianej uczelni jest wysoka.27],B558,AnalizaCzyste[Czy jesteś przedstawicielem władz samorządowych lub centralnych Rzeczypospolitej Polskiej?],"*"&amp;"Tak"&amp;"*")</f>
        <v>0</v>
      </c>
      <c r="D558">
        <f t="shared" si="167"/>
        <v>0</v>
      </c>
      <c r="E558" s="44">
        <f t="shared" si="168"/>
        <v>1</v>
      </c>
      <c r="F558">
        <f t="shared" si="169"/>
        <v>0</v>
      </c>
    </row>
    <row r="559" spans="1:7" x14ac:dyDescent="0.45">
      <c r="A559">
        <v>4</v>
      </c>
      <c r="B559" t="s">
        <v>151</v>
      </c>
      <c r="C559">
        <f>COUNTIFS(AnalizaCzyste[Wartość wykształcenia zdobywanego przez studentów na ocenianej uczelni jest wysoka.27],B559,AnalizaCzyste[Czy jesteś przedstawicielem władz samorządowych lub centralnych Rzeczypospolitej Polskiej?],"*"&amp;"Tak"&amp;"*")</f>
        <v>0</v>
      </c>
      <c r="D559">
        <f t="shared" si="167"/>
        <v>0</v>
      </c>
      <c r="E559" s="44">
        <f t="shared" si="168"/>
        <v>4</v>
      </c>
      <c r="F559">
        <f t="shared" si="169"/>
        <v>0</v>
      </c>
    </row>
    <row r="560" spans="1:7" x14ac:dyDescent="0.45">
      <c r="A560">
        <v>3</v>
      </c>
      <c r="B560" t="s">
        <v>128</v>
      </c>
      <c r="C560">
        <f>COUNTIFS(AnalizaCzyste[Wartość wykształcenia zdobywanego przez studentów na ocenianej uczelni jest wysoka.27],B560,AnalizaCzyste[Czy jesteś przedstawicielem władz samorządowych lub centralnych Rzeczypospolitej Polskiej?],"*"&amp;"Tak"&amp;"*")</f>
        <v>0</v>
      </c>
      <c r="D560">
        <f t="shared" si="167"/>
        <v>0</v>
      </c>
      <c r="E560" s="44">
        <f t="shared" si="168"/>
        <v>9</v>
      </c>
      <c r="F560">
        <f t="shared" si="169"/>
        <v>0</v>
      </c>
    </row>
    <row r="561" spans="1:7" x14ac:dyDescent="0.45">
      <c r="A561">
        <v>2</v>
      </c>
      <c r="B561" t="s">
        <v>236</v>
      </c>
      <c r="C561">
        <f>COUNTIFS(AnalizaCzyste[Wartość wykształcenia zdobywanego przez studentów na ocenianej uczelni jest wysoka.27],B561,AnalizaCzyste[Czy jesteś przedstawicielem władz samorządowych lub centralnych Rzeczypospolitej Polskiej?],"*"&amp;"Tak"&amp;"*")</f>
        <v>0</v>
      </c>
      <c r="D561">
        <f t="shared" si="167"/>
        <v>0</v>
      </c>
      <c r="E561" s="44">
        <f t="shared" si="168"/>
        <v>16</v>
      </c>
      <c r="F561">
        <f t="shared" si="169"/>
        <v>0</v>
      </c>
    </row>
    <row r="562" spans="1:7" x14ac:dyDescent="0.45">
      <c r="A562">
        <v>1</v>
      </c>
      <c r="B562" t="s">
        <v>129</v>
      </c>
      <c r="C562">
        <f>COUNTIFS(AnalizaCzyste[Wartość wykształcenia zdobywanego przez studentów na ocenianej uczelni jest wysoka.27],B562,AnalizaCzyste[Czy jesteś przedstawicielem władz samorządowych lub centralnych Rzeczypospolitej Polskiej?],"*"&amp;"Tak"&amp;"*")</f>
        <v>0</v>
      </c>
      <c r="D562">
        <f t="shared" si="167"/>
        <v>0</v>
      </c>
      <c r="E562" s="44">
        <f t="shared" si="168"/>
        <v>25</v>
      </c>
      <c r="F562">
        <f t="shared" si="169"/>
        <v>0</v>
      </c>
    </row>
    <row r="563" spans="1:7" x14ac:dyDescent="0.45">
      <c r="A563" t="s">
        <v>2329</v>
      </c>
      <c r="B563" t="s">
        <v>132</v>
      </c>
      <c r="C563">
        <f>COUNTIFS(AnalizaCzyste[Wartość wykształcenia zdobywanego przez studentów na ocenianej uczelni jest wysoka.27],B563,AnalizaCzyste[Czy jesteś przedstawicielem władz samorządowych lub centralnych Rzeczypospolitej Polskiej?],"*"&amp;"Tak"&amp;"*")</f>
        <v>0</v>
      </c>
      <c r="D563">
        <f t="shared" si="167"/>
        <v>0</v>
      </c>
    </row>
    <row r="564" spans="1:7" x14ac:dyDescent="0.45">
      <c r="B564" s="20" t="s">
        <v>2351</v>
      </c>
      <c r="C564" s="29">
        <f>SUM(C556:C563)</f>
        <v>2</v>
      </c>
      <c r="D564" s="44">
        <f>SUM(D556:D562)/C565</f>
        <v>6</v>
      </c>
      <c r="E564" s="20" t="s">
        <v>2353</v>
      </c>
      <c r="F564" s="44">
        <f>SUM(F556:F563)/(C565-1)</f>
        <v>0</v>
      </c>
      <c r="G564" s="20" t="s">
        <v>2349</v>
      </c>
    </row>
    <row r="565" spans="1:7" x14ac:dyDescent="0.45">
      <c r="B565" s="20" t="s">
        <v>2352</v>
      </c>
      <c r="C565">
        <f>C564-C563</f>
        <v>2</v>
      </c>
      <c r="D565" s="33">
        <f>D564/7</f>
        <v>0.8571428571428571</v>
      </c>
      <c r="F565" s="44">
        <f>F564^(1/2)</f>
        <v>0</v>
      </c>
      <c r="G565" t="s">
        <v>2404</v>
      </c>
    </row>
    <row r="567" spans="1:7" x14ac:dyDescent="0.45">
      <c r="A567" s="29" t="s">
        <v>2399</v>
      </c>
      <c r="C567" t="s">
        <v>2348</v>
      </c>
      <c r="E567" s="20" t="s">
        <v>2362</v>
      </c>
      <c r="F567" s="20" t="s">
        <v>2363</v>
      </c>
    </row>
    <row r="568" spans="1:7" x14ac:dyDescent="0.45">
      <c r="A568">
        <v>7</v>
      </c>
      <c r="B568" t="s">
        <v>169</v>
      </c>
      <c r="C568">
        <f>COUNTIFS(AnalizaCzyste[Zdobyte przez studentów ocenianej uczelni wykształcenie miało/ma pozytywny wpływ na ich zarobki.28],B568,AnalizaCzyste[Czy jesteś przedstawicielem władz samorządowych lub centralnych Rzeczypospolitej Polskiej?],"*"&amp;"Tak"&amp;"*")</f>
        <v>1</v>
      </c>
      <c r="D568">
        <f>PRODUCT(A568,C568)</f>
        <v>7</v>
      </c>
      <c r="E568" s="44">
        <f>(A568-$D$576)^2</f>
        <v>0.25</v>
      </c>
      <c r="F568">
        <f>PRODUCT(C568,E568)</f>
        <v>0.25</v>
      </c>
    </row>
    <row r="569" spans="1:7" x14ac:dyDescent="0.45">
      <c r="A569">
        <v>6</v>
      </c>
      <c r="B569" t="s">
        <v>150</v>
      </c>
      <c r="C569">
        <f>COUNTIFS(AnalizaCzyste[Zdobyte przez studentów ocenianej uczelni wykształcenie miało/ma pozytywny wpływ na ich zarobki.28],B569,AnalizaCzyste[Czy jesteś przedstawicielem władz samorządowych lub centralnych Rzeczypospolitej Polskiej?],"*"&amp;"Tak"&amp;"*")</f>
        <v>1</v>
      </c>
      <c r="D569">
        <f t="shared" ref="D569:D575" si="170">PRODUCT(A569,C569)</f>
        <v>6</v>
      </c>
      <c r="E569" s="44">
        <f t="shared" ref="E569:E574" si="171">(A569-$D$576)^2</f>
        <v>0.25</v>
      </c>
      <c r="F569">
        <f t="shared" ref="F569:F574" si="172">PRODUCT(C569,E569)</f>
        <v>0.25</v>
      </c>
    </row>
    <row r="570" spans="1:7" x14ac:dyDescent="0.45">
      <c r="A570">
        <v>5</v>
      </c>
      <c r="B570" t="s">
        <v>162</v>
      </c>
      <c r="C570">
        <f>COUNTIFS(AnalizaCzyste[Zdobyte przez studentów ocenianej uczelni wykształcenie miało/ma pozytywny wpływ na ich zarobki.28],B570,AnalizaCzyste[Czy jesteś przedstawicielem władz samorządowych lub centralnych Rzeczypospolitej Polskiej?],"*"&amp;"Tak"&amp;"*")</f>
        <v>0</v>
      </c>
      <c r="D570">
        <f t="shared" si="170"/>
        <v>0</v>
      </c>
      <c r="E570" s="44">
        <f t="shared" si="171"/>
        <v>2.25</v>
      </c>
      <c r="F570">
        <f t="shared" si="172"/>
        <v>0</v>
      </c>
    </row>
    <row r="571" spans="1:7" x14ac:dyDescent="0.45">
      <c r="A571">
        <v>4</v>
      </c>
      <c r="B571" t="s">
        <v>151</v>
      </c>
      <c r="C571">
        <f>COUNTIFS(AnalizaCzyste[Zdobyte przez studentów ocenianej uczelni wykształcenie miało/ma pozytywny wpływ na ich zarobki.28],B571,AnalizaCzyste[Czy jesteś przedstawicielem władz samorządowych lub centralnych Rzeczypospolitej Polskiej?],"*"&amp;"Tak"&amp;"*")</f>
        <v>0</v>
      </c>
      <c r="D571">
        <f t="shared" si="170"/>
        <v>0</v>
      </c>
      <c r="E571" s="44">
        <f t="shared" si="171"/>
        <v>6.25</v>
      </c>
      <c r="F571">
        <f t="shared" si="172"/>
        <v>0</v>
      </c>
    </row>
    <row r="572" spans="1:7" x14ac:dyDescent="0.45">
      <c r="A572">
        <v>3</v>
      </c>
      <c r="B572" t="s">
        <v>128</v>
      </c>
      <c r="C572">
        <f>COUNTIFS(AnalizaCzyste[Zdobyte przez studentów ocenianej uczelni wykształcenie miało/ma pozytywny wpływ na ich zarobki.28],B572,AnalizaCzyste[Czy jesteś przedstawicielem władz samorządowych lub centralnych Rzeczypospolitej Polskiej?],"*"&amp;"Tak"&amp;"*")</f>
        <v>0</v>
      </c>
      <c r="D572">
        <f t="shared" si="170"/>
        <v>0</v>
      </c>
      <c r="E572" s="44">
        <f t="shared" si="171"/>
        <v>12.25</v>
      </c>
      <c r="F572">
        <f t="shared" si="172"/>
        <v>0</v>
      </c>
    </row>
    <row r="573" spans="1:7" x14ac:dyDescent="0.45">
      <c r="A573">
        <v>2</v>
      </c>
      <c r="B573" t="s">
        <v>236</v>
      </c>
      <c r="C573">
        <f>COUNTIFS(AnalizaCzyste[Zdobyte przez studentów ocenianej uczelni wykształcenie miało/ma pozytywny wpływ na ich zarobki.28],B573,AnalizaCzyste[Czy jesteś przedstawicielem władz samorządowych lub centralnych Rzeczypospolitej Polskiej?],"*"&amp;"Tak"&amp;"*")</f>
        <v>0</v>
      </c>
      <c r="D573">
        <f t="shared" si="170"/>
        <v>0</v>
      </c>
      <c r="E573" s="44">
        <f t="shared" si="171"/>
        <v>20.25</v>
      </c>
      <c r="F573">
        <f t="shared" si="172"/>
        <v>0</v>
      </c>
    </row>
    <row r="574" spans="1:7" x14ac:dyDescent="0.45">
      <c r="A574">
        <v>1</v>
      </c>
      <c r="B574" t="s">
        <v>129</v>
      </c>
      <c r="C574">
        <f>COUNTIFS(AnalizaCzyste[Zdobyte przez studentów ocenianej uczelni wykształcenie miało/ma pozytywny wpływ na ich zarobki.28],B574,AnalizaCzyste[Czy jesteś przedstawicielem władz samorządowych lub centralnych Rzeczypospolitej Polskiej?],"*"&amp;"Tak"&amp;"*")</f>
        <v>0</v>
      </c>
      <c r="D574">
        <f t="shared" si="170"/>
        <v>0</v>
      </c>
      <c r="E574" s="44">
        <f t="shared" si="171"/>
        <v>30.25</v>
      </c>
      <c r="F574">
        <f t="shared" si="172"/>
        <v>0</v>
      </c>
    </row>
    <row r="575" spans="1:7" x14ac:dyDescent="0.45">
      <c r="A575" t="s">
        <v>2329</v>
      </c>
      <c r="B575" t="s">
        <v>132</v>
      </c>
      <c r="C575">
        <f>COUNTIFS(AnalizaCzyste[Zdobyte przez studentów ocenianej uczelni wykształcenie miało/ma pozytywny wpływ na ich zarobki.28],B575,AnalizaCzyste[Czy jesteś przedstawicielem władz samorządowych lub centralnych Rzeczypospolitej Polskiej?],"*"&amp;"Tak"&amp;"*")</f>
        <v>0</v>
      </c>
      <c r="D575">
        <f t="shared" si="170"/>
        <v>0</v>
      </c>
    </row>
    <row r="576" spans="1:7" x14ac:dyDescent="0.45">
      <c r="B576" s="20" t="s">
        <v>2351</v>
      </c>
      <c r="C576" s="29">
        <f>SUM(C568:C575)</f>
        <v>2</v>
      </c>
      <c r="D576" s="44">
        <f>SUM(D568:D574)/C577</f>
        <v>6.5</v>
      </c>
      <c r="E576" s="20" t="s">
        <v>2353</v>
      </c>
      <c r="F576" s="44">
        <f>SUM(F568:F575)/(C577-1)</f>
        <v>0.5</v>
      </c>
      <c r="G576" s="20" t="s">
        <v>2349</v>
      </c>
    </row>
    <row r="577" spans="1:7" x14ac:dyDescent="0.45">
      <c r="B577" s="20" t="s">
        <v>2352</v>
      </c>
      <c r="C577">
        <f>C576-C575</f>
        <v>2</v>
      </c>
      <c r="D577" s="33">
        <f>D576/7</f>
        <v>0.9285714285714286</v>
      </c>
      <c r="F577" s="44">
        <f>F576^(1/2)</f>
        <v>0.70710678118654757</v>
      </c>
      <c r="G577" t="s">
        <v>2404</v>
      </c>
    </row>
    <row r="579" spans="1:7" x14ac:dyDescent="0.45">
      <c r="A579" s="29" t="s">
        <v>2400</v>
      </c>
      <c r="C579" t="s">
        <v>2348</v>
      </c>
      <c r="E579" s="20" t="s">
        <v>2362</v>
      </c>
      <c r="F579" s="20" t="s">
        <v>2363</v>
      </c>
    </row>
    <row r="580" spans="1:7" x14ac:dyDescent="0.45">
      <c r="A580">
        <v>7</v>
      </c>
      <c r="B580" t="s">
        <v>169</v>
      </c>
      <c r="C580">
        <f>COUNTIFS(AnalizaCzyste[Efekty działań ocenianej uczelni na rzecz jakości edukacji mają dobry wpływ na rozwój regionu.29],B580,AnalizaCzyste[Czy jesteś przedstawicielem władz samorządowych lub centralnych Rzeczypospolitej Polskiej?],"*"&amp;"Tak"&amp;"*")</f>
        <v>1</v>
      </c>
      <c r="D580">
        <f>PRODUCT(A580,C580)</f>
        <v>7</v>
      </c>
      <c r="E580" s="44">
        <f>(A580-$D$588)^2</f>
        <v>0.25</v>
      </c>
      <c r="F580">
        <f>PRODUCT(C580,E580)</f>
        <v>0.25</v>
      </c>
    </row>
    <row r="581" spans="1:7" x14ac:dyDescent="0.45">
      <c r="A581">
        <v>6</v>
      </c>
      <c r="B581" t="s">
        <v>150</v>
      </c>
      <c r="C581">
        <f>COUNTIFS(AnalizaCzyste[Efekty działań ocenianej uczelni na rzecz jakości edukacji mają dobry wpływ na rozwój regionu.29],B581,AnalizaCzyste[Czy jesteś przedstawicielem władz samorządowych lub centralnych Rzeczypospolitej Polskiej?],"*"&amp;"Tak"&amp;"*")</f>
        <v>1</v>
      </c>
      <c r="D581">
        <f t="shared" ref="D581:D587" si="173">PRODUCT(A581,C581)</f>
        <v>6</v>
      </c>
      <c r="E581" s="44">
        <f t="shared" ref="E581:E586" si="174">(A581-$D$588)^2</f>
        <v>0.25</v>
      </c>
      <c r="F581">
        <f t="shared" ref="F581:F586" si="175">PRODUCT(C581,E581)</f>
        <v>0.25</v>
      </c>
    </row>
    <row r="582" spans="1:7" x14ac:dyDescent="0.45">
      <c r="A582">
        <v>5</v>
      </c>
      <c r="B582" t="s">
        <v>162</v>
      </c>
      <c r="C582">
        <f>COUNTIFS(AnalizaCzyste[Efekty działań ocenianej uczelni na rzecz jakości edukacji mają dobry wpływ na rozwój regionu.29],B582,AnalizaCzyste[Czy jesteś przedstawicielem władz samorządowych lub centralnych Rzeczypospolitej Polskiej?],"*"&amp;"Tak"&amp;"*")</f>
        <v>0</v>
      </c>
      <c r="D582">
        <f t="shared" si="173"/>
        <v>0</v>
      </c>
      <c r="E582" s="44">
        <f t="shared" si="174"/>
        <v>2.25</v>
      </c>
      <c r="F582">
        <f t="shared" si="175"/>
        <v>0</v>
      </c>
    </row>
    <row r="583" spans="1:7" x14ac:dyDescent="0.45">
      <c r="A583">
        <v>4</v>
      </c>
      <c r="B583" t="s">
        <v>151</v>
      </c>
      <c r="C583">
        <f>COUNTIFS(AnalizaCzyste[Efekty działań ocenianej uczelni na rzecz jakości edukacji mają dobry wpływ na rozwój regionu.29],B583,AnalizaCzyste[Czy jesteś przedstawicielem władz samorządowych lub centralnych Rzeczypospolitej Polskiej?],"*"&amp;"Tak"&amp;"*")</f>
        <v>0</v>
      </c>
      <c r="D583">
        <f t="shared" si="173"/>
        <v>0</v>
      </c>
      <c r="E583" s="44">
        <f t="shared" si="174"/>
        <v>6.25</v>
      </c>
      <c r="F583">
        <f t="shared" si="175"/>
        <v>0</v>
      </c>
    </row>
    <row r="584" spans="1:7" x14ac:dyDescent="0.45">
      <c r="A584">
        <v>3</v>
      </c>
      <c r="B584" t="s">
        <v>128</v>
      </c>
      <c r="C584">
        <f>COUNTIFS(AnalizaCzyste[Efekty działań ocenianej uczelni na rzecz jakości edukacji mają dobry wpływ na rozwój regionu.29],B584,AnalizaCzyste[Czy jesteś przedstawicielem władz samorządowych lub centralnych Rzeczypospolitej Polskiej?],"*"&amp;"Tak"&amp;"*")</f>
        <v>0</v>
      </c>
      <c r="D584">
        <f t="shared" si="173"/>
        <v>0</v>
      </c>
      <c r="E584" s="44">
        <f t="shared" si="174"/>
        <v>12.25</v>
      </c>
      <c r="F584">
        <f t="shared" si="175"/>
        <v>0</v>
      </c>
    </row>
    <row r="585" spans="1:7" x14ac:dyDescent="0.45">
      <c r="A585">
        <v>2</v>
      </c>
      <c r="B585" t="s">
        <v>236</v>
      </c>
      <c r="C585">
        <f>COUNTIFS(AnalizaCzyste[Efekty działań ocenianej uczelni na rzecz jakości edukacji mają dobry wpływ na rozwój regionu.29],B585,AnalizaCzyste[Czy jesteś przedstawicielem władz samorządowych lub centralnych Rzeczypospolitej Polskiej?],"*"&amp;"Tak"&amp;"*")</f>
        <v>0</v>
      </c>
      <c r="D585">
        <f t="shared" si="173"/>
        <v>0</v>
      </c>
      <c r="E585" s="44">
        <f t="shared" si="174"/>
        <v>20.25</v>
      </c>
      <c r="F585">
        <f t="shared" si="175"/>
        <v>0</v>
      </c>
    </row>
    <row r="586" spans="1:7" x14ac:dyDescent="0.45">
      <c r="A586">
        <v>1</v>
      </c>
      <c r="B586" t="s">
        <v>129</v>
      </c>
      <c r="C586">
        <f>COUNTIFS(AnalizaCzyste[Efekty działań ocenianej uczelni na rzecz jakości edukacji mają dobry wpływ na rozwój regionu.29],B586,AnalizaCzyste[Czy jesteś przedstawicielem władz samorządowych lub centralnych Rzeczypospolitej Polskiej?],"*"&amp;"Tak"&amp;"*")</f>
        <v>0</v>
      </c>
      <c r="D586">
        <f t="shared" si="173"/>
        <v>0</v>
      </c>
      <c r="E586" s="44">
        <f t="shared" si="174"/>
        <v>30.25</v>
      </c>
      <c r="F586">
        <f t="shared" si="175"/>
        <v>0</v>
      </c>
    </row>
    <row r="587" spans="1:7" x14ac:dyDescent="0.45">
      <c r="A587" t="s">
        <v>2329</v>
      </c>
      <c r="B587" t="s">
        <v>132</v>
      </c>
      <c r="C587">
        <f>COUNTIFS(AnalizaCzyste[Efekty działań ocenianej uczelni na rzecz jakości edukacji mają dobry wpływ na rozwój regionu.29],B587,AnalizaCzyste[Czy jesteś przedstawicielem władz samorządowych lub centralnych Rzeczypospolitej Polskiej?],"*"&amp;"Tak"&amp;"*")</f>
        <v>0</v>
      </c>
      <c r="D587">
        <f t="shared" si="173"/>
        <v>0</v>
      </c>
    </row>
    <row r="588" spans="1:7" x14ac:dyDescent="0.45">
      <c r="B588" s="20" t="s">
        <v>2351</v>
      </c>
      <c r="C588" s="29">
        <f>SUM(C580:C587)</f>
        <v>2</v>
      </c>
      <c r="D588" s="44">
        <f>SUM(D580:D586)/C589</f>
        <v>6.5</v>
      </c>
      <c r="E588" s="20" t="s">
        <v>2353</v>
      </c>
      <c r="F588" s="44">
        <f>SUM(F580:F587)/(C589-1)</f>
        <v>0.5</v>
      </c>
      <c r="G588" s="20" t="s">
        <v>2349</v>
      </c>
    </row>
    <row r="589" spans="1:7" x14ac:dyDescent="0.45">
      <c r="B589" s="20" t="s">
        <v>2352</v>
      </c>
      <c r="C589">
        <f>C588-C587</f>
        <v>2</v>
      </c>
      <c r="D589" s="33">
        <f>D588/7</f>
        <v>0.9285714285714286</v>
      </c>
      <c r="F589" s="44">
        <f>F588^(1/2)</f>
        <v>0.70710678118654757</v>
      </c>
      <c r="G589" t="s">
        <v>2404</v>
      </c>
    </row>
    <row r="591" spans="1:7" x14ac:dyDescent="0.45">
      <c r="A591" s="29" t="s">
        <v>2401</v>
      </c>
      <c r="C591" t="s">
        <v>2348</v>
      </c>
      <c r="E591" s="20" t="s">
        <v>2362</v>
      </c>
      <c r="F591" s="20" t="s">
        <v>2363</v>
      </c>
    </row>
    <row r="592" spans="1:7" x14ac:dyDescent="0.45">
      <c r="A592">
        <v>7</v>
      </c>
      <c r="B592" t="s">
        <v>169</v>
      </c>
      <c r="C592">
        <f>COUNTIFS(AnalizaCzyste[Efekty działań ocenianej uczelni na rzecz jakości edukacji mają dobry wpływ na rozwój Polski.30],B592,AnalizaCzyste[Czy jesteś przedstawicielem władz samorządowych lub centralnych Rzeczypospolitej Polskiej?],"*"&amp;"Tak"&amp;"*")</f>
        <v>0</v>
      </c>
      <c r="D592">
        <f>PRODUCT(A592,C592)</f>
        <v>0</v>
      </c>
      <c r="E592" s="44">
        <f>(A592-$D$600)^2</f>
        <v>1</v>
      </c>
      <c r="F592">
        <f>PRODUCT(C592,E592)</f>
        <v>0</v>
      </c>
    </row>
    <row r="593" spans="1:7" x14ac:dyDescent="0.45">
      <c r="A593">
        <v>6</v>
      </c>
      <c r="B593" t="s">
        <v>150</v>
      </c>
      <c r="C593">
        <f>COUNTIFS(AnalizaCzyste[Efekty działań ocenianej uczelni na rzecz jakości edukacji mają dobry wpływ na rozwój Polski.30],B593,AnalizaCzyste[Czy jesteś przedstawicielem władz samorządowych lub centralnych Rzeczypospolitej Polskiej?],"*"&amp;"Tak"&amp;"*")</f>
        <v>1</v>
      </c>
      <c r="D593">
        <f t="shared" ref="D593:D599" si="176">PRODUCT(A593,C593)</f>
        <v>6</v>
      </c>
      <c r="E593" s="44">
        <f t="shared" ref="E593:E598" si="177">(A593-$D$600)^2</f>
        <v>0</v>
      </c>
      <c r="F593">
        <f t="shared" ref="F593:F598" si="178">PRODUCT(C593,E593)</f>
        <v>0</v>
      </c>
    </row>
    <row r="594" spans="1:7" x14ac:dyDescent="0.45">
      <c r="A594">
        <v>5</v>
      </c>
      <c r="B594" t="s">
        <v>162</v>
      </c>
      <c r="C594">
        <f>COUNTIFS(AnalizaCzyste[Efekty działań ocenianej uczelni na rzecz jakości edukacji mają dobry wpływ na rozwój Polski.30],B594,AnalizaCzyste[Czy jesteś przedstawicielem władz samorządowych lub centralnych Rzeczypospolitej Polskiej?],"*"&amp;"Tak"&amp;"*")</f>
        <v>0</v>
      </c>
      <c r="D594">
        <f t="shared" si="176"/>
        <v>0</v>
      </c>
      <c r="E594" s="44">
        <f t="shared" si="177"/>
        <v>1</v>
      </c>
      <c r="F594">
        <f t="shared" si="178"/>
        <v>0</v>
      </c>
    </row>
    <row r="595" spans="1:7" x14ac:dyDescent="0.45">
      <c r="A595">
        <v>4</v>
      </c>
      <c r="B595" t="s">
        <v>151</v>
      </c>
      <c r="C595">
        <f>COUNTIFS(AnalizaCzyste[Efekty działań ocenianej uczelni na rzecz jakości edukacji mają dobry wpływ na rozwój Polski.30],B595,AnalizaCzyste[Czy jesteś przedstawicielem władz samorządowych lub centralnych Rzeczypospolitej Polskiej?],"*"&amp;"Tak"&amp;"*")</f>
        <v>0</v>
      </c>
      <c r="D595">
        <f t="shared" si="176"/>
        <v>0</v>
      </c>
      <c r="E595" s="44">
        <f t="shared" si="177"/>
        <v>4</v>
      </c>
      <c r="F595">
        <f t="shared" si="178"/>
        <v>0</v>
      </c>
    </row>
    <row r="596" spans="1:7" x14ac:dyDescent="0.45">
      <c r="A596">
        <v>3</v>
      </c>
      <c r="B596" t="s">
        <v>128</v>
      </c>
      <c r="C596">
        <f>COUNTIFS(AnalizaCzyste[Efekty działań ocenianej uczelni na rzecz jakości edukacji mają dobry wpływ na rozwój Polski.30],B596,AnalizaCzyste[Czy jesteś przedstawicielem władz samorządowych lub centralnych Rzeczypospolitej Polskiej?],"*"&amp;"Tak"&amp;"*")</f>
        <v>0</v>
      </c>
      <c r="D596">
        <f t="shared" si="176"/>
        <v>0</v>
      </c>
      <c r="E596" s="44">
        <f t="shared" si="177"/>
        <v>9</v>
      </c>
      <c r="F596">
        <f t="shared" si="178"/>
        <v>0</v>
      </c>
    </row>
    <row r="597" spans="1:7" x14ac:dyDescent="0.45">
      <c r="A597">
        <v>2</v>
      </c>
      <c r="B597" t="s">
        <v>236</v>
      </c>
      <c r="C597">
        <f>COUNTIFS(AnalizaCzyste[Efekty działań ocenianej uczelni na rzecz jakości edukacji mają dobry wpływ na rozwój Polski.30],B597,AnalizaCzyste[Czy jesteś przedstawicielem władz samorządowych lub centralnych Rzeczypospolitej Polskiej?],"*"&amp;"Tak"&amp;"*")</f>
        <v>0</v>
      </c>
      <c r="D597">
        <f t="shared" si="176"/>
        <v>0</v>
      </c>
      <c r="E597" s="44">
        <f t="shared" si="177"/>
        <v>16</v>
      </c>
      <c r="F597">
        <f t="shared" si="178"/>
        <v>0</v>
      </c>
    </row>
    <row r="598" spans="1:7" x14ac:dyDescent="0.45">
      <c r="A598">
        <v>1</v>
      </c>
      <c r="B598" t="s">
        <v>129</v>
      </c>
      <c r="C598">
        <f>COUNTIFS(AnalizaCzyste[Efekty działań ocenianej uczelni na rzecz jakości edukacji mają dobry wpływ na rozwój Polski.30],B598,AnalizaCzyste[Czy jesteś przedstawicielem władz samorządowych lub centralnych Rzeczypospolitej Polskiej?],"*"&amp;"Tak"&amp;"*")</f>
        <v>0</v>
      </c>
      <c r="D598">
        <f t="shared" si="176"/>
        <v>0</v>
      </c>
      <c r="E598" s="44">
        <f t="shared" si="177"/>
        <v>25</v>
      </c>
      <c r="F598">
        <f t="shared" si="178"/>
        <v>0</v>
      </c>
    </row>
    <row r="599" spans="1:7" x14ac:dyDescent="0.45">
      <c r="A599" t="s">
        <v>2329</v>
      </c>
      <c r="B599" t="s">
        <v>132</v>
      </c>
      <c r="C599">
        <f>COUNTIFS(AnalizaCzyste[Efekty działań ocenianej uczelni na rzecz jakości edukacji mają dobry wpływ na rozwój Polski.30],B599,AnalizaCzyste[Czy jesteś przedstawicielem władz samorządowych lub centralnych Rzeczypospolitej Polskiej?],"*"&amp;"Tak"&amp;"*")</f>
        <v>1</v>
      </c>
      <c r="D599">
        <f t="shared" si="176"/>
        <v>1</v>
      </c>
    </row>
    <row r="600" spans="1:7" x14ac:dyDescent="0.45">
      <c r="B600" s="20" t="s">
        <v>2351</v>
      </c>
      <c r="C600" s="29">
        <f>SUM(C592:C599)</f>
        <v>2</v>
      </c>
      <c r="D600" s="44">
        <f>SUM(D592:D598)/C601</f>
        <v>6</v>
      </c>
      <c r="E600" s="20" t="s">
        <v>2353</v>
      </c>
      <c r="F600" s="44" t="e">
        <f>SUM(F592:F599)/(C601-1)</f>
        <v>#DIV/0!</v>
      </c>
      <c r="G600" s="20" t="s">
        <v>2349</v>
      </c>
    </row>
    <row r="601" spans="1:7" x14ac:dyDescent="0.45">
      <c r="B601" s="20" t="s">
        <v>2352</v>
      </c>
      <c r="C601">
        <f>C600-C599</f>
        <v>1</v>
      </c>
      <c r="D601" s="33">
        <f>D600/7</f>
        <v>0.8571428571428571</v>
      </c>
      <c r="F601" s="44" t="e">
        <f>F600^(1/2)</f>
        <v>#DIV/0!</v>
      </c>
      <c r="G601" t="s">
        <v>2404</v>
      </c>
    </row>
    <row r="603" spans="1:7" x14ac:dyDescent="0.45">
      <c r="A603" s="29" t="s">
        <v>2402</v>
      </c>
      <c r="C603" t="s">
        <v>2348</v>
      </c>
      <c r="E603" s="20" t="s">
        <v>2362</v>
      </c>
      <c r="F603" s="20" t="s">
        <v>2363</v>
      </c>
    </row>
    <row r="604" spans="1:7" x14ac:dyDescent="0.45">
      <c r="A604">
        <v>7</v>
      </c>
      <c r="B604" t="s">
        <v>169</v>
      </c>
      <c r="C604">
        <f>COUNTIFS(AnalizaCzyste[Współpraca ocenianej uczelni z biznesem ma pozytywne efekty dla rozwoju regionu / kraju.31],B604,AnalizaCzyste[Czy jesteś przedstawicielem władz samorządowych lub centralnych Rzeczypospolitej Polskiej?],"*"&amp;"Tak"&amp;"*")</f>
        <v>0</v>
      </c>
      <c r="D604">
        <f>PRODUCT(A604,C604)</f>
        <v>0</v>
      </c>
      <c r="E604" s="44">
        <f>(A604-$D$612)^2</f>
        <v>1</v>
      </c>
      <c r="F604">
        <f>PRODUCT(C604,E604)</f>
        <v>0</v>
      </c>
    </row>
    <row r="605" spans="1:7" x14ac:dyDescent="0.45">
      <c r="A605">
        <v>6</v>
      </c>
      <c r="B605" t="s">
        <v>150</v>
      </c>
      <c r="C605">
        <f>COUNTIFS(AnalizaCzyste[Współpraca ocenianej uczelni z biznesem ma pozytywne efekty dla rozwoju regionu / kraju.31],B605,AnalizaCzyste[Czy jesteś przedstawicielem władz samorządowych lub centralnych Rzeczypospolitej Polskiej?],"*"&amp;"Tak"&amp;"*")</f>
        <v>1</v>
      </c>
      <c r="D605">
        <f t="shared" ref="D605:D611" si="179">PRODUCT(A605,C605)</f>
        <v>6</v>
      </c>
      <c r="E605" s="44">
        <f t="shared" ref="E605:E610" si="180">(A605-$D$612)^2</f>
        <v>0</v>
      </c>
      <c r="F605">
        <f t="shared" ref="F605:F610" si="181">PRODUCT(C605,E605)</f>
        <v>0</v>
      </c>
    </row>
    <row r="606" spans="1:7" x14ac:dyDescent="0.45">
      <c r="A606">
        <v>5</v>
      </c>
      <c r="B606" t="s">
        <v>162</v>
      </c>
      <c r="C606">
        <f>COUNTIFS(AnalizaCzyste[Współpraca ocenianej uczelni z biznesem ma pozytywne efekty dla rozwoju regionu / kraju.31],B606,AnalizaCzyste[Czy jesteś przedstawicielem władz samorządowych lub centralnych Rzeczypospolitej Polskiej?],"*"&amp;"Tak"&amp;"*")</f>
        <v>0</v>
      </c>
      <c r="D606">
        <f t="shared" si="179"/>
        <v>0</v>
      </c>
      <c r="E606" s="44">
        <f t="shared" si="180"/>
        <v>1</v>
      </c>
      <c r="F606">
        <f t="shared" si="181"/>
        <v>0</v>
      </c>
    </row>
    <row r="607" spans="1:7" x14ac:dyDescent="0.45">
      <c r="A607">
        <v>4</v>
      </c>
      <c r="B607" t="s">
        <v>151</v>
      </c>
      <c r="C607">
        <f>COUNTIFS(AnalizaCzyste[Współpraca ocenianej uczelni z biznesem ma pozytywne efekty dla rozwoju regionu / kraju.31],B607,AnalizaCzyste[Czy jesteś przedstawicielem władz samorządowych lub centralnych Rzeczypospolitej Polskiej?],"*"&amp;"Tak"&amp;"*")</f>
        <v>0</v>
      </c>
      <c r="D607">
        <f t="shared" si="179"/>
        <v>0</v>
      </c>
      <c r="E607" s="44">
        <f t="shared" si="180"/>
        <v>4</v>
      </c>
      <c r="F607">
        <f t="shared" si="181"/>
        <v>0</v>
      </c>
    </row>
    <row r="608" spans="1:7" x14ac:dyDescent="0.45">
      <c r="A608">
        <v>3</v>
      </c>
      <c r="B608" t="s">
        <v>128</v>
      </c>
      <c r="C608">
        <f>COUNTIFS(AnalizaCzyste[Współpraca ocenianej uczelni z biznesem ma pozytywne efekty dla rozwoju regionu / kraju.31],B608,AnalizaCzyste[Czy jesteś przedstawicielem władz samorządowych lub centralnych Rzeczypospolitej Polskiej?],"*"&amp;"Tak"&amp;"*")</f>
        <v>0</v>
      </c>
      <c r="D608">
        <f t="shared" si="179"/>
        <v>0</v>
      </c>
      <c r="E608" s="44">
        <f t="shared" si="180"/>
        <v>9</v>
      </c>
      <c r="F608">
        <f t="shared" si="181"/>
        <v>0</v>
      </c>
    </row>
    <row r="609" spans="1:7" x14ac:dyDescent="0.45">
      <c r="A609">
        <v>2</v>
      </c>
      <c r="B609" t="s">
        <v>236</v>
      </c>
      <c r="C609">
        <f>COUNTIFS(AnalizaCzyste[Współpraca ocenianej uczelni z biznesem ma pozytywne efekty dla rozwoju regionu / kraju.31],B609,AnalizaCzyste[Czy jesteś przedstawicielem władz samorządowych lub centralnych Rzeczypospolitej Polskiej?],"*"&amp;"Tak"&amp;"*")</f>
        <v>0</v>
      </c>
      <c r="D609">
        <f t="shared" si="179"/>
        <v>0</v>
      </c>
      <c r="E609" s="44">
        <f t="shared" si="180"/>
        <v>16</v>
      </c>
      <c r="F609">
        <f t="shared" si="181"/>
        <v>0</v>
      </c>
    </row>
    <row r="610" spans="1:7" x14ac:dyDescent="0.45">
      <c r="A610">
        <v>1</v>
      </c>
      <c r="B610" t="s">
        <v>129</v>
      </c>
      <c r="C610">
        <f>COUNTIFS(AnalizaCzyste[Współpraca ocenianej uczelni z biznesem ma pozytywne efekty dla rozwoju regionu / kraju.31],B610,AnalizaCzyste[Czy jesteś przedstawicielem władz samorządowych lub centralnych Rzeczypospolitej Polskiej?],"*"&amp;"Tak"&amp;"*")</f>
        <v>0</v>
      </c>
      <c r="D610">
        <f t="shared" si="179"/>
        <v>0</v>
      </c>
      <c r="E610" s="44">
        <f t="shared" si="180"/>
        <v>25</v>
      </c>
      <c r="F610">
        <f t="shared" si="181"/>
        <v>0</v>
      </c>
    </row>
    <row r="611" spans="1:7" x14ac:dyDescent="0.45">
      <c r="A611" t="s">
        <v>2329</v>
      </c>
      <c r="B611" t="s">
        <v>132</v>
      </c>
      <c r="C611">
        <f>COUNTIFS(AnalizaCzyste[Współpraca ocenianej uczelni z biznesem ma pozytywne efekty dla rozwoju regionu / kraju.31],B611,AnalizaCzyste[Czy jesteś przedstawicielem władz samorządowych lub centralnych Rzeczypospolitej Polskiej?],"*"&amp;"Tak"&amp;"*")</f>
        <v>1</v>
      </c>
      <c r="D611">
        <f t="shared" si="179"/>
        <v>1</v>
      </c>
    </row>
    <row r="612" spans="1:7" x14ac:dyDescent="0.45">
      <c r="B612" s="20" t="s">
        <v>2351</v>
      </c>
      <c r="C612" s="29">
        <f>SUM(C604:C611)</f>
        <v>2</v>
      </c>
      <c r="D612" s="44">
        <f>SUM(D604:D610)/C613</f>
        <v>6</v>
      </c>
      <c r="E612" s="20" t="s">
        <v>2353</v>
      </c>
      <c r="F612" s="44" t="e">
        <f>SUM(F604:F611)/(C613-1)</f>
        <v>#DIV/0!</v>
      </c>
      <c r="G612" s="20" t="s">
        <v>2349</v>
      </c>
    </row>
    <row r="613" spans="1:7" x14ac:dyDescent="0.45">
      <c r="B613" s="20" t="s">
        <v>2352</v>
      </c>
      <c r="C613">
        <f>C612-C611</f>
        <v>1</v>
      </c>
      <c r="D613" s="33">
        <f>D612/7</f>
        <v>0.8571428571428571</v>
      </c>
      <c r="F613" s="44" t="e">
        <f>F612^(1/2)</f>
        <v>#DIV/0!</v>
      </c>
      <c r="G613" t="s">
        <v>2404</v>
      </c>
    </row>
    <row r="618" spans="1:7" x14ac:dyDescent="0.45">
      <c r="B618" s="20" t="s">
        <v>2434</v>
      </c>
      <c r="C618" s="53">
        <v>5.0709999999999997</v>
      </c>
    </row>
    <row r="619" spans="1:7" x14ac:dyDescent="0.45">
      <c r="B619" s="20" t="s">
        <v>2435</v>
      </c>
      <c r="C619" s="53">
        <v>5.1929999999999996</v>
      </c>
    </row>
    <row r="620" spans="1:7" x14ac:dyDescent="0.45">
      <c r="B620" s="20" t="s">
        <v>2436</v>
      </c>
      <c r="C620" s="53">
        <v>5.6959999999999997</v>
      </c>
    </row>
    <row r="621" spans="1:7" x14ac:dyDescent="0.45">
      <c r="B621" s="20" t="s">
        <v>2437</v>
      </c>
      <c r="C621" s="53">
        <v>6.75</v>
      </c>
    </row>
    <row r="622" spans="1:7" x14ac:dyDescent="0.45">
      <c r="B622" s="20" t="s">
        <v>2438</v>
      </c>
      <c r="C622" s="53">
        <v>6</v>
      </c>
    </row>
    <row r="623" spans="1:7" x14ac:dyDescent="0.45">
      <c r="B623" s="20" t="s">
        <v>2439</v>
      </c>
      <c r="C623" s="53">
        <v>5.8</v>
      </c>
    </row>
    <row r="624" spans="1:7" x14ac:dyDescent="0.45">
      <c r="B624" s="20" t="s">
        <v>2440</v>
      </c>
      <c r="C624" s="53">
        <v>4.8</v>
      </c>
    </row>
    <row r="625" spans="1:16" x14ac:dyDescent="0.45">
      <c r="B625" s="20" t="s">
        <v>2441</v>
      </c>
      <c r="C625" s="53">
        <v>6.5</v>
      </c>
    </row>
    <row r="628" spans="1:16" x14ac:dyDescent="0.45">
      <c r="B628" s="20" t="s">
        <v>2433</v>
      </c>
      <c r="C628" s="44">
        <f>AVERAGE(C618:C625)</f>
        <v>5.7262499999999994</v>
      </c>
    </row>
    <row r="631" spans="1:16" x14ac:dyDescent="0.45">
      <c r="A631" t="s">
        <v>2442</v>
      </c>
    </row>
    <row r="633" spans="1:16" x14ac:dyDescent="0.45">
      <c r="A633" s="55" t="s">
        <v>53</v>
      </c>
      <c r="I633" s="55" t="s">
        <v>54</v>
      </c>
    </row>
    <row r="634" spans="1:16" x14ac:dyDescent="0.45">
      <c r="A634" t="s">
        <v>106</v>
      </c>
      <c r="B634" t="s">
        <v>107</v>
      </c>
      <c r="C634" t="s">
        <v>108</v>
      </c>
      <c r="D634" t="s">
        <v>109</v>
      </c>
      <c r="E634" t="s">
        <v>110</v>
      </c>
      <c r="F634" t="s">
        <v>111</v>
      </c>
      <c r="G634" t="s">
        <v>112</v>
      </c>
      <c r="H634" t="s">
        <v>2116</v>
      </c>
      <c r="I634" t="s">
        <v>2117</v>
      </c>
      <c r="J634" t="s">
        <v>2118</v>
      </c>
      <c r="K634" t="s">
        <v>2119</v>
      </c>
      <c r="L634" t="s">
        <v>2120</v>
      </c>
      <c r="M634" t="s">
        <v>2121</v>
      </c>
      <c r="N634" t="s">
        <v>2122</v>
      </c>
      <c r="O634" t="s">
        <v>2123</v>
      </c>
      <c r="P634" t="s">
        <v>2124</v>
      </c>
    </row>
    <row r="635" spans="1:16" x14ac:dyDescent="0.45">
      <c r="A635" s="30">
        <v>0.22</v>
      </c>
      <c r="B635" s="30">
        <v>0.24</v>
      </c>
      <c r="C635" s="30">
        <v>4.0000000000000001E-3</v>
      </c>
      <c r="D635" s="30">
        <v>0.12</v>
      </c>
      <c r="E635" s="30">
        <v>0.17599999999999999</v>
      </c>
      <c r="F635" s="30">
        <v>0.14000000000000001</v>
      </c>
      <c r="G635" s="30">
        <v>0.1</v>
      </c>
      <c r="H635" s="30">
        <v>1</v>
      </c>
      <c r="I635" s="30">
        <v>0.18</v>
      </c>
      <c r="J635" s="30">
        <v>0.23</v>
      </c>
      <c r="K635" s="30">
        <v>2E-3</v>
      </c>
      <c r="L635" s="30">
        <v>9.8000000000000004E-2</v>
      </c>
      <c r="M635" s="30">
        <v>0.25</v>
      </c>
      <c r="N635" s="30">
        <v>0.12</v>
      </c>
      <c r="O635" s="30">
        <v>0.12</v>
      </c>
      <c r="P635" s="30">
        <v>1</v>
      </c>
    </row>
    <row r="637" spans="1:16" x14ac:dyDescent="0.45">
      <c r="A637" t="s">
        <v>2443</v>
      </c>
      <c r="B637" t="s">
        <v>2444</v>
      </c>
      <c r="F637" s="20" t="s">
        <v>2445</v>
      </c>
    </row>
    <row r="638" spans="1:16" x14ac:dyDescent="0.45">
      <c r="A638" s="20" t="s">
        <v>2296</v>
      </c>
      <c r="B638" s="30">
        <v>0.22</v>
      </c>
      <c r="D638" s="20" t="s">
        <v>2434</v>
      </c>
      <c r="E638" s="53">
        <v>5.0709999999999997</v>
      </c>
      <c r="F638" s="44">
        <f t="shared" ref="F638:F645" si="182">B638*E638</f>
        <v>1.1156200000000001</v>
      </c>
    </row>
    <row r="639" spans="1:16" x14ac:dyDescent="0.45">
      <c r="A639" t="s">
        <v>2297</v>
      </c>
      <c r="B639" s="30">
        <v>0.24</v>
      </c>
      <c r="D639" s="20" t="s">
        <v>2435</v>
      </c>
      <c r="E639" s="53">
        <v>5.1929999999999996</v>
      </c>
      <c r="F639" s="44">
        <f t="shared" si="182"/>
        <v>1.2463199999999999</v>
      </c>
    </row>
    <row r="640" spans="1:16" x14ac:dyDescent="0.45">
      <c r="A640" t="s">
        <v>2298</v>
      </c>
      <c r="B640" s="30">
        <v>4.0000000000000001E-3</v>
      </c>
      <c r="D640" s="20" t="s">
        <v>2436</v>
      </c>
      <c r="E640" s="53">
        <v>5.6959999999999997</v>
      </c>
      <c r="F640" s="44">
        <f t="shared" si="182"/>
        <v>2.2783999999999999E-2</v>
      </c>
    </row>
    <row r="641" spans="1:7" x14ac:dyDescent="0.45">
      <c r="A641" t="s">
        <v>2299</v>
      </c>
      <c r="B641" s="30">
        <v>0.12</v>
      </c>
      <c r="D641" s="20" t="s">
        <v>2437</v>
      </c>
      <c r="E641" s="53">
        <v>6.75</v>
      </c>
      <c r="F641" s="44">
        <f t="shared" si="182"/>
        <v>0.80999999999999994</v>
      </c>
    </row>
    <row r="642" spans="1:7" x14ac:dyDescent="0.45">
      <c r="A642" t="s">
        <v>2300</v>
      </c>
      <c r="B642" s="30">
        <v>0.17599999999999999</v>
      </c>
      <c r="D642" s="20" t="s">
        <v>2438</v>
      </c>
      <c r="E642" s="53">
        <v>6</v>
      </c>
      <c r="F642" s="44">
        <f t="shared" si="182"/>
        <v>1.056</v>
      </c>
    </row>
    <row r="643" spans="1:7" x14ac:dyDescent="0.45">
      <c r="A643" t="s">
        <v>2301</v>
      </c>
      <c r="B643" s="30">
        <v>0</v>
      </c>
      <c r="D643" s="20" t="s">
        <v>2439</v>
      </c>
      <c r="E643" s="53">
        <v>5.8</v>
      </c>
      <c r="F643" s="44">
        <f t="shared" si="182"/>
        <v>0</v>
      </c>
    </row>
    <row r="644" spans="1:7" x14ac:dyDescent="0.45">
      <c r="A644" t="s">
        <v>2302</v>
      </c>
      <c r="B644" s="30">
        <v>0.14000000000000001</v>
      </c>
      <c r="D644" s="20" t="s">
        <v>2440</v>
      </c>
      <c r="E644" s="53">
        <v>4.8</v>
      </c>
      <c r="F644" s="44">
        <f t="shared" si="182"/>
        <v>0.67200000000000004</v>
      </c>
    </row>
    <row r="645" spans="1:7" x14ac:dyDescent="0.45">
      <c r="A645" t="s">
        <v>2303</v>
      </c>
      <c r="B645" s="30">
        <v>0.1</v>
      </c>
      <c r="D645" s="20" t="s">
        <v>2441</v>
      </c>
      <c r="E645" s="53">
        <v>6.5</v>
      </c>
      <c r="F645" s="44">
        <f t="shared" si="182"/>
        <v>0.65</v>
      </c>
    </row>
    <row r="646" spans="1:7" x14ac:dyDescent="0.45">
      <c r="F646" s="54">
        <f>SUM(F638:F645)</f>
        <v>5.572724</v>
      </c>
    </row>
    <row r="647" spans="1:7" ht="28.5" x14ac:dyDescent="0.45">
      <c r="A647" s="28" t="s">
        <v>2446</v>
      </c>
      <c r="B647" t="s">
        <v>2444</v>
      </c>
      <c r="F647" s="20" t="s">
        <v>2445</v>
      </c>
    </row>
    <row r="648" spans="1:7" x14ac:dyDescent="0.45">
      <c r="A648" s="20" t="s">
        <v>2296</v>
      </c>
      <c r="B648" s="30">
        <v>0.18</v>
      </c>
      <c r="D648" s="20" t="s">
        <v>2434</v>
      </c>
      <c r="E648" s="53">
        <v>5.0709999999999997</v>
      </c>
      <c r="F648" s="44">
        <f t="shared" ref="F648:F655" si="183">B648*E648</f>
        <v>0.91277999999999992</v>
      </c>
      <c r="G648" s="44">
        <f>F648-F638</f>
        <v>-0.20284000000000013</v>
      </c>
    </row>
    <row r="649" spans="1:7" x14ac:dyDescent="0.45">
      <c r="A649" t="s">
        <v>2297</v>
      </c>
      <c r="B649" s="30">
        <v>0.23</v>
      </c>
      <c r="D649" s="20" t="s">
        <v>2435</v>
      </c>
      <c r="E649" s="53">
        <v>5.1929999999999996</v>
      </c>
      <c r="F649" s="44">
        <f t="shared" si="183"/>
        <v>1.1943900000000001</v>
      </c>
      <c r="G649" s="44">
        <f t="shared" ref="G649:G655" si="184">F649-F639</f>
        <v>-5.192999999999981E-2</v>
      </c>
    </row>
    <row r="650" spans="1:7" x14ac:dyDescent="0.45">
      <c r="A650" t="s">
        <v>2298</v>
      </c>
      <c r="B650" s="30">
        <v>2E-3</v>
      </c>
      <c r="D650" s="20" t="s">
        <v>2436</v>
      </c>
      <c r="E650" s="53">
        <v>5.6959999999999997</v>
      </c>
      <c r="F650" s="44">
        <f t="shared" si="183"/>
        <v>1.1391999999999999E-2</v>
      </c>
      <c r="G650" s="44">
        <f t="shared" si="184"/>
        <v>-1.1391999999999999E-2</v>
      </c>
    </row>
    <row r="651" spans="1:7" x14ac:dyDescent="0.45">
      <c r="A651" t="s">
        <v>2299</v>
      </c>
      <c r="B651" s="30">
        <v>9.8000000000000004E-2</v>
      </c>
      <c r="D651" s="20" t="s">
        <v>2437</v>
      </c>
      <c r="E651" s="53">
        <v>6.75</v>
      </c>
      <c r="F651" s="44">
        <f t="shared" si="183"/>
        <v>0.66149999999999998</v>
      </c>
      <c r="G651" s="44">
        <f t="shared" si="184"/>
        <v>-0.14849999999999997</v>
      </c>
    </row>
    <row r="652" spans="1:7" x14ac:dyDescent="0.45">
      <c r="A652" t="s">
        <v>2300</v>
      </c>
      <c r="B652" s="30">
        <v>0.25</v>
      </c>
      <c r="D652" s="20" t="s">
        <v>2438</v>
      </c>
      <c r="E652" s="53">
        <v>6</v>
      </c>
      <c r="F652" s="44">
        <f t="shared" si="183"/>
        <v>1.5</v>
      </c>
      <c r="G652" s="44">
        <f t="shared" si="184"/>
        <v>0.44399999999999995</v>
      </c>
    </row>
    <row r="653" spans="1:7" x14ac:dyDescent="0.45">
      <c r="A653" t="s">
        <v>2301</v>
      </c>
      <c r="B653" s="30">
        <v>0</v>
      </c>
      <c r="D653" s="20" t="s">
        <v>2439</v>
      </c>
      <c r="E653" s="53">
        <v>5.8</v>
      </c>
      <c r="F653" s="44">
        <f t="shared" si="183"/>
        <v>0</v>
      </c>
      <c r="G653" s="44">
        <f t="shared" si="184"/>
        <v>0</v>
      </c>
    </row>
    <row r="654" spans="1:7" x14ac:dyDescent="0.45">
      <c r="A654" t="s">
        <v>2302</v>
      </c>
      <c r="B654" s="30">
        <v>0.12</v>
      </c>
      <c r="D654" s="20" t="s">
        <v>2440</v>
      </c>
      <c r="E654" s="53">
        <v>4.8</v>
      </c>
      <c r="F654" s="44">
        <f t="shared" si="183"/>
        <v>0.57599999999999996</v>
      </c>
      <c r="G654" s="44">
        <f t="shared" si="184"/>
        <v>-9.6000000000000085E-2</v>
      </c>
    </row>
    <row r="655" spans="1:7" x14ac:dyDescent="0.45">
      <c r="A655" t="s">
        <v>2303</v>
      </c>
      <c r="B655" s="30">
        <v>0.12</v>
      </c>
      <c r="D655" s="20" t="s">
        <v>2441</v>
      </c>
      <c r="E655" s="53">
        <v>6.5</v>
      </c>
      <c r="F655" s="44">
        <f t="shared" si="183"/>
        <v>0.78</v>
      </c>
      <c r="G655" s="44">
        <f t="shared" si="184"/>
        <v>0.13</v>
      </c>
    </row>
    <row r="656" spans="1:7" x14ac:dyDescent="0.45">
      <c r="F656" s="54">
        <f>SUM(F648:F655)</f>
        <v>5.6360619999999999</v>
      </c>
    </row>
  </sheetData>
  <conditionalFormatting sqref="N141">
    <cfRule type="cellIs" dxfId="99" priority="6" operator="lessThan">
      <formula>O141</formula>
    </cfRule>
  </conditionalFormatting>
  <conditionalFormatting sqref="N180">
    <cfRule type="cellIs" dxfId="98" priority="5" operator="lessThan">
      <formula>O180</formula>
    </cfRule>
  </conditionalFormatting>
  <conditionalFormatting sqref="N330">
    <cfRule type="cellIs" dxfId="97" priority="2" operator="lessThan">
      <formula>O330</formula>
    </cfRule>
  </conditionalFormatting>
  <conditionalFormatting sqref="T217">
    <cfRule type="cellIs" dxfId="96" priority="3" operator="lessThan">
      <formula>U217</formula>
    </cfRule>
  </conditionalFormatting>
  <conditionalFormatting sqref="T500">
    <cfRule type="cellIs" dxfId="95" priority="1" operator="lessThan">
      <formula>U500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Ankiety_analiza(czyszczone)</vt:lpstr>
      <vt:lpstr>TabeleGrup</vt:lpstr>
      <vt:lpstr>PivotCzyste</vt:lpstr>
      <vt:lpstr>PivotNieCzyszczone</vt:lpstr>
      <vt:lpstr>AnkietyNieOczyszczone</vt:lpstr>
      <vt:lpstr>Ankiety_wszystkie</vt:lpstr>
      <vt:lpstr>Ankiety_zakończone</vt:lpstr>
      <vt:lpstr>Zestawienia_ilościowe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2023-05-27T11:33:39Z</dcterms:modified>
  <cp:category>wyniki indywidualne</cp:category>
</cp:coreProperties>
</file>