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8D38C02-3DD2-4D20-B9B6-1DA53DA7B316}" xr6:coauthVersionLast="47" xr6:coauthVersionMax="47" xr10:uidLastSave="{00000000-0000-0000-0000-000000000000}"/>
  <bookViews>
    <workbookView minimized="1" xWindow="3893" yWindow="2940" windowWidth="17287" windowHeight="9847" activeTab="1" xr2:uid="{5CDD05D1-B91C-47AD-9058-2B6F85536433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B132" i="5" l="1"/>
  <c r="G649" i="7"/>
  <c r="G650" i="7"/>
  <c r="G651" i="7"/>
  <c r="G652" i="7"/>
  <c r="G653" i="7"/>
  <c r="G654" i="7"/>
  <c r="G655" i="7"/>
  <c r="G648" i="7"/>
  <c r="F646" i="7"/>
  <c r="F656" i="7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O141" i="5"/>
  <c r="EN141" i="5"/>
  <c r="EM141" i="5"/>
  <c r="EL141" i="5"/>
  <c r="EK141" i="5"/>
  <c r="EJ141" i="5"/>
  <c r="EI141" i="5"/>
  <c r="EG141" i="5"/>
  <c r="EF141" i="5"/>
  <c r="EE141" i="5"/>
  <c r="ED141" i="5"/>
  <c r="EC141" i="5"/>
  <c r="EB141" i="5"/>
  <c r="EA141" i="5"/>
  <c r="C628" i="7"/>
  <c r="M494" i="7"/>
  <c r="M495" i="7"/>
  <c r="M496" i="7"/>
  <c r="M497" i="7"/>
  <c r="M498" i="7"/>
  <c r="M499" i="7"/>
  <c r="M493" i="7"/>
  <c r="U500" i="7"/>
  <c r="G324" i="7"/>
  <c r="G325" i="7"/>
  <c r="G326" i="7"/>
  <c r="G327" i="7"/>
  <c r="G328" i="7"/>
  <c r="G329" i="7"/>
  <c r="O330" i="7"/>
  <c r="G323" i="7"/>
  <c r="M211" i="7"/>
  <c r="M212" i="7"/>
  <c r="M213" i="7"/>
  <c r="M214" i="7"/>
  <c r="M215" i="7"/>
  <c r="M216" i="7"/>
  <c r="M210" i="7"/>
  <c r="U217" i="7"/>
  <c r="G174" i="7"/>
  <c r="G175" i="7"/>
  <c r="G176" i="7"/>
  <c r="G177" i="7"/>
  <c r="G178" i="7"/>
  <c r="G179" i="7"/>
  <c r="G173" i="7"/>
  <c r="O180" i="7"/>
  <c r="G134" i="7"/>
  <c r="F51" i="8"/>
  <c r="F50" i="8"/>
  <c r="F49" i="8"/>
  <c r="F48" i="8"/>
  <c r="F47" i="8"/>
  <c r="F46" i="8"/>
  <c r="F45" i="8"/>
  <c r="G140" i="7"/>
  <c r="D50" i="8"/>
  <c r="G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B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I59" i="5"/>
  <c r="AI106" i="5"/>
  <c r="AI97" i="5"/>
  <c r="AI4" i="5"/>
  <c r="AI131" i="5"/>
  <c r="AI6" i="5"/>
  <c r="AI126" i="5"/>
  <c r="AI77" i="5"/>
  <c r="AI17" i="5"/>
  <c r="AI60" i="5"/>
  <c r="AI93" i="5"/>
  <c r="AI41" i="5"/>
  <c r="AI76" i="5"/>
  <c r="AI19" i="5"/>
  <c r="AI52" i="5"/>
  <c r="AI51" i="5"/>
  <c r="AI47" i="5"/>
  <c r="AI80" i="5"/>
  <c r="AI104" i="5"/>
  <c r="AI133" i="5"/>
  <c r="AI12" i="5"/>
  <c r="AI130" i="5"/>
  <c r="AI109" i="5"/>
  <c r="AI57" i="5"/>
  <c r="AI102" i="5"/>
  <c r="AI114" i="5"/>
  <c r="AI128" i="5"/>
  <c r="AI50" i="5"/>
  <c r="AI84" i="5"/>
  <c r="AI38" i="5"/>
  <c r="AI53" i="5"/>
  <c r="AI110" i="5"/>
  <c r="AI75" i="5"/>
  <c r="AI113" i="5"/>
  <c r="AI13" i="5"/>
  <c r="AI103" i="5"/>
  <c r="AI87" i="5"/>
  <c r="AI15" i="5"/>
  <c r="AI14" i="5"/>
  <c r="AI125" i="5"/>
  <c r="AI9" i="5"/>
  <c r="AI11" i="5"/>
  <c r="AI8" i="5"/>
  <c r="AI100" i="5"/>
  <c r="AI115" i="5"/>
  <c r="AI71" i="5"/>
  <c r="AI83" i="5"/>
  <c r="AI5" i="5"/>
  <c r="AI21" i="5"/>
  <c r="AI69" i="5"/>
  <c r="AI73" i="5"/>
  <c r="AI121" i="5"/>
  <c r="AI123" i="5"/>
  <c r="AI82" i="5"/>
  <c r="AI108" i="5"/>
  <c r="AI101" i="5"/>
  <c r="AI117" i="5"/>
  <c r="AI72" i="5"/>
  <c r="AI112" i="5"/>
  <c r="AI122" i="5"/>
  <c r="AI3" i="5"/>
  <c r="AI63" i="5"/>
  <c r="AI90" i="5"/>
  <c r="AI89" i="5"/>
  <c r="AI67" i="5"/>
  <c r="AI68" i="5"/>
  <c r="AI48" i="5"/>
  <c r="AI64" i="5"/>
  <c r="AI81" i="5"/>
  <c r="AI98" i="5"/>
  <c r="AI61" i="5"/>
  <c r="AI27" i="5"/>
  <c r="AI94" i="5"/>
  <c r="AI54" i="5"/>
  <c r="AI7" i="5"/>
  <c r="AI132" i="5"/>
  <c r="AI134" i="5"/>
  <c r="AI74" i="5"/>
  <c r="AI78" i="5"/>
  <c r="AI62" i="5"/>
  <c r="AI119" i="5"/>
  <c r="AI96" i="5"/>
  <c r="AI99" i="5"/>
  <c r="AI66" i="5"/>
  <c r="AI79" i="5"/>
  <c r="AI86" i="5"/>
  <c r="AI39" i="5"/>
  <c r="AI105" i="5"/>
  <c r="AI55" i="5"/>
  <c r="AI92" i="5"/>
  <c r="AI88" i="5"/>
  <c r="AI124" i="5"/>
  <c r="AI118" i="5"/>
  <c r="AI28" i="5"/>
  <c r="AI56" i="5"/>
  <c r="AI127" i="5"/>
  <c r="AI116" i="5"/>
  <c r="AI16" i="5"/>
  <c r="AI42" i="5"/>
  <c r="AI49" i="5"/>
  <c r="AI40" i="5"/>
  <c r="AI95" i="5"/>
  <c r="AI120" i="5"/>
  <c r="AI135" i="5"/>
  <c r="AI34" i="5"/>
  <c r="AI20" i="5"/>
  <c r="AI25" i="5"/>
  <c r="AI24" i="5"/>
  <c r="AI23" i="5"/>
  <c r="AI30" i="5"/>
  <c r="AI26" i="5"/>
  <c r="AI31" i="5"/>
  <c r="AI32" i="5"/>
  <c r="AI35" i="5"/>
  <c r="AI36" i="5"/>
  <c r="AI18" i="5"/>
  <c r="AI44" i="5"/>
  <c r="AI45" i="5"/>
  <c r="AI111" i="5"/>
  <c r="AI107" i="5"/>
  <c r="AI58" i="5"/>
  <c r="AI37" i="5"/>
  <c r="AI43" i="5"/>
  <c r="AI29" i="5"/>
  <c r="AI10" i="5"/>
  <c r="AI85" i="5"/>
  <c r="AI70" i="5"/>
  <c r="AI91" i="5"/>
  <c r="AI129" i="5"/>
  <c r="AI65" i="5"/>
  <c r="AI22" i="5"/>
  <c r="AI33" i="5"/>
  <c r="AI46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D44" i="5"/>
  <c r="HD45" i="5"/>
  <c r="HD106" i="5"/>
  <c r="HD10" i="5"/>
  <c r="HD52" i="5"/>
  <c r="HD51" i="5"/>
  <c r="HD47" i="5"/>
  <c r="HD80" i="5"/>
  <c r="HD54" i="5"/>
  <c r="HD77" i="5"/>
  <c r="HD104" i="5"/>
  <c r="HD133" i="5"/>
  <c r="HD17" i="5"/>
  <c r="HD4" i="5"/>
  <c r="HD7" i="5"/>
  <c r="HD131" i="5"/>
  <c r="HD6" i="5"/>
  <c r="HD132" i="5"/>
  <c r="HD58" i="5"/>
  <c r="HD12" i="5"/>
  <c r="HD130" i="5"/>
  <c r="HD109" i="5"/>
  <c r="HD61" i="5"/>
  <c r="HD134" i="5"/>
  <c r="HD57" i="5"/>
  <c r="HD102" i="5"/>
  <c r="HD76" i="5"/>
  <c r="HD74" i="5"/>
  <c r="HD98" i="5"/>
  <c r="HD78" i="5"/>
  <c r="HD112" i="5"/>
  <c r="HD67" i="5"/>
  <c r="HD75" i="5"/>
  <c r="HD107" i="5"/>
  <c r="HD114" i="5"/>
  <c r="HD64" i="5"/>
  <c r="HD43" i="5"/>
  <c r="HD128" i="5"/>
  <c r="HD62" i="5"/>
  <c r="HD50" i="5"/>
  <c r="HD119" i="5"/>
  <c r="HD96" i="5"/>
  <c r="HD135" i="5"/>
  <c r="HD84" i="5"/>
  <c r="HD66" i="5"/>
  <c r="HD79" i="5"/>
  <c r="HD63" i="5"/>
  <c r="HD86" i="5"/>
  <c r="HD21" i="5"/>
  <c r="HD93" i="5"/>
  <c r="HD90" i="5"/>
  <c r="HD38" i="5"/>
  <c r="HD39" i="5"/>
  <c r="HD53" i="5"/>
  <c r="HD105" i="5"/>
  <c r="HD89" i="5"/>
  <c r="HD55" i="5"/>
  <c r="HD92" i="5"/>
  <c r="HD88" i="5"/>
  <c r="HD110" i="5"/>
  <c r="HD113" i="5"/>
  <c r="HD18" i="5"/>
  <c r="HD13" i="5"/>
  <c r="HD103" i="5"/>
  <c r="HD111" i="5"/>
  <c r="HD124" i="5"/>
  <c r="HD87" i="5"/>
  <c r="HD60" i="5"/>
  <c r="HD15" i="5"/>
  <c r="HD118" i="5"/>
  <c r="HD127" i="5"/>
  <c r="HD70" i="5"/>
  <c r="HD85" i="5"/>
  <c r="HD116" i="5"/>
  <c r="HD122" i="5"/>
  <c r="HD81" i="5"/>
  <c r="HD14" i="5"/>
  <c r="HD19" i="5"/>
  <c r="HD3" i="5"/>
  <c r="HD125" i="5"/>
  <c r="HD16" i="5"/>
  <c r="HD42" i="5"/>
  <c r="HD99" i="5"/>
  <c r="HD41" i="5"/>
  <c r="HD9" i="5"/>
  <c r="HD49" i="5"/>
  <c r="HD11" i="5"/>
  <c r="C11" i="5" s="1"/>
  <c r="HD8" i="5"/>
  <c r="C8" i="5" s="1"/>
  <c r="HD34" i="5"/>
  <c r="HD100" i="5"/>
  <c r="HD40" i="5"/>
  <c r="HD91" i="5"/>
  <c r="HD115" i="5"/>
  <c r="HD28" i="5"/>
  <c r="HD56" i="5"/>
  <c r="HD48" i="5"/>
  <c r="HD71" i="5"/>
  <c r="HD83" i="5"/>
  <c r="HD5" i="5"/>
  <c r="HD65" i="5"/>
  <c r="HD69" i="5"/>
  <c r="HD59" i="5"/>
  <c r="HD73" i="5"/>
  <c r="HD97" i="5"/>
  <c r="HD121" i="5"/>
  <c r="C121" i="5" s="1"/>
  <c r="HD68" i="5"/>
  <c r="HD95" i="5"/>
  <c r="HD123" i="5"/>
  <c r="HD82" i="5"/>
  <c r="HD108" i="5"/>
  <c r="HD26" i="5"/>
  <c r="HD31" i="5"/>
  <c r="HD32" i="5"/>
  <c r="HD20" i="5"/>
  <c r="HD25" i="5"/>
  <c r="HD24" i="5"/>
  <c r="HD36" i="5"/>
  <c r="HD23" i="5"/>
  <c r="HD30" i="5"/>
  <c r="HD35" i="5"/>
  <c r="HD37" i="5"/>
  <c r="HD27" i="5"/>
  <c r="HD120" i="5"/>
  <c r="HD29" i="5"/>
  <c r="HD101" i="5"/>
  <c r="HD117" i="5"/>
  <c r="HD126" i="5"/>
  <c r="HD72" i="5"/>
  <c r="HD129" i="5"/>
  <c r="HD94" i="5"/>
  <c r="HD22" i="5"/>
  <c r="HD33" i="5"/>
  <c r="HD46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P140" i="5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P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M140" i="5"/>
  <c r="DL140" i="5"/>
  <c r="DK140" i="5"/>
  <c r="DJ140" i="5"/>
  <c r="DI140" i="5"/>
  <c r="DH140" i="5"/>
  <c r="DG140" i="5"/>
  <c r="DF140" i="5"/>
  <c r="DE140" i="5"/>
  <c r="DC140" i="5"/>
  <c r="DB140" i="5"/>
  <c r="DA140" i="5"/>
  <c r="CZ140" i="5"/>
  <c r="CY140" i="5"/>
  <c r="CX140" i="5"/>
  <c r="CW140" i="5"/>
  <c r="CV140" i="5"/>
  <c r="CU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A140" i="5"/>
  <c r="AY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H140" i="5"/>
  <c r="AF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HE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EQ139" i="5"/>
  <c r="DN139" i="5"/>
  <c r="DD139" i="5"/>
  <c r="CT139" i="5"/>
  <c r="AZ139" i="5"/>
  <c r="AG139" i="5"/>
  <c r="Q139" i="5"/>
  <c r="P139" i="5"/>
  <c r="HE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EQ138" i="5"/>
  <c r="DN138" i="5"/>
  <c r="DD138" i="5"/>
  <c r="CT138" i="5"/>
  <c r="AZ138" i="5"/>
  <c r="AG138" i="5"/>
  <c r="Q138" i="5"/>
  <c r="P138" i="5"/>
  <c r="HE137" i="5"/>
  <c r="HC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P137" i="5"/>
  <c r="GP140" i="5" s="1"/>
  <c r="GO137" i="5"/>
  <c r="GO140" i="5" s="1"/>
  <c r="GN137" i="5"/>
  <c r="GN140" i="5" s="1"/>
  <c r="GM137" i="5"/>
  <c r="GM140" i="5" s="1"/>
  <c r="GL137" i="5"/>
  <c r="GK137" i="5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A137" i="5"/>
  <c r="GA140" i="5" s="1"/>
  <c r="FZ137" i="5"/>
  <c r="FZ140" i="5" s="1"/>
  <c r="FY137" i="5"/>
  <c r="FY140" i="5" s="1"/>
  <c r="FX137" i="5"/>
  <c r="FX140" i="5" s="1"/>
  <c r="FW137" i="5"/>
  <c r="FV137" i="5"/>
  <c r="FV140" i="5" s="1"/>
  <c r="FU137" i="5"/>
  <c r="FU140" i="5" s="1"/>
  <c r="FT137" i="5"/>
  <c r="FT140" i="5" s="1"/>
  <c r="FS137" i="5"/>
  <c r="FS140" i="5" s="1"/>
  <c r="FR137" i="5"/>
  <c r="FR140" i="5" s="1"/>
  <c r="FQ137" i="5"/>
  <c r="FQ140" i="5" s="1"/>
  <c r="EQ137" i="5"/>
  <c r="EQ140" i="5" s="1"/>
  <c r="DN137" i="5"/>
  <c r="DD137" i="5"/>
  <c r="DD140" i="5" s="1"/>
  <c r="CT137" i="5"/>
  <c r="AZ137" i="5"/>
  <c r="AG137" i="5"/>
  <c r="Q137" i="5"/>
  <c r="P137" i="5"/>
  <c r="HI136" i="5"/>
  <c r="HH136" i="5"/>
  <c r="HG136" i="5"/>
  <c r="HF136" i="5"/>
  <c r="HE136" i="5"/>
  <c r="HC136" i="5"/>
  <c r="HB136" i="5"/>
  <c r="FQ136" i="5"/>
  <c r="EQ136" i="5"/>
  <c r="DN136" i="5"/>
  <c r="DD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B65" i="5"/>
  <c r="B70" i="5"/>
  <c r="B91" i="5"/>
  <c r="B85" i="5"/>
  <c r="B43" i="5"/>
  <c r="B37" i="5"/>
  <c r="B58" i="5"/>
  <c r="B107" i="5"/>
  <c r="B111" i="5"/>
  <c r="B45" i="5"/>
  <c r="B44" i="5"/>
  <c r="B18" i="5"/>
  <c r="B36" i="5"/>
  <c r="B30" i="5"/>
  <c r="B35" i="5"/>
  <c r="B34" i="5"/>
  <c r="B25" i="5"/>
  <c r="B24" i="5"/>
  <c r="B23" i="5"/>
  <c r="B127" i="5"/>
  <c r="B135" i="5"/>
  <c r="B120" i="5"/>
  <c r="B119" i="5"/>
  <c r="B118" i="5"/>
  <c r="B116" i="5"/>
  <c r="B105" i="5"/>
  <c r="B96" i="5"/>
  <c r="B95" i="5"/>
  <c r="B92" i="5"/>
  <c r="B86" i="5"/>
  <c r="B79" i="5"/>
  <c r="B78" i="5"/>
  <c r="B74" i="5"/>
  <c r="B75" i="5"/>
  <c r="B66" i="5"/>
  <c r="B49" i="5"/>
  <c r="B40" i="5"/>
  <c r="B16" i="5"/>
  <c r="B51" i="5"/>
  <c r="B55" i="5"/>
  <c r="B124" i="5"/>
  <c r="B88" i="5"/>
  <c r="B62" i="5"/>
  <c r="B42" i="5"/>
  <c r="B20" i="5"/>
  <c r="B94" i="5"/>
  <c r="B27" i="5"/>
  <c r="B61" i="5"/>
  <c r="B98" i="5"/>
  <c r="B64" i="5"/>
  <c r="B81" i="5"/>
  <c r="B48" i="5"/>
  <c r="B10" i="5"/>
  <c r="B4" i="5"/>
  <c r="B68" i="5"/>
  <c r="B67" i="5"/>
  <c r="B90" i="5"/>
  <c r="B89" i="5"/>
  <c r="B63" i="5"/>
  <c r="B54" i="5"/>
  <c r="B14" i="5"/>
  <c r="B122" i="5"/>
  <c r="B112" i="5"/>
  <c r="B3" i="5"/>
  <c r="B134" i="5"/>
  <c r="B39" i="5"/>
  <c r="B128" i="5"/>
  <c r="B12" i="5"/>
  <c r="B125" i="5"/>
  <c r="B46" i="5"/>
  <c r="B123" i="5"/>
  <c r="B121" i="5"/>
  <c r="B72" i="5"/>
  <c r="B117" i="5"/>
  <c r="B115" i="5"/>
  <c r="B113" i="5"/>
  <c r="B110" i="5"/>
  <c r="B80" i="5"/>
  <c r="B108" i="5"/>
  <c r="B101" i="5"/>
  <c r="B102" i="5"/>
  <c r="B103" i="5"/>
  <c r="B87" i="5"/>
  <c r="B84" i="5"/>
  <c r="B83" i="5"/>
  <c r="B73" i="5"/>
  <c r="B99" i="5"/>
  <c r="B33" i="5"/>
  <c r="B71" i="5"/>
  <c r="B129" i="5"/>
  <c r="B32" i="5"/>
  <c r="B31" i="5"/>
  <c r="B29" i="5"/>
  <c r="B28" i="5"/>
  <c r="B69" i="5"/>
  <c r="B22" i="5"/>
  <c r="B26" i="5"/>
  <c r="B57" i="5"/>
  <c r="B53" i="5"/>
  <c r="B7" i="5"/>
  <c r="B21" i="5"/>
  <c r="B133" i="5"/>
  <c r="B50" i="5"/>
  <c r="B38" i="5"/>
  <c r="B15" i="5"/>
  <c r="B13" i="5"/>
  <c r="B56" i="5"/>
  <c r="B130" i="5"/>
  <c r="B11" i="5"/>
  <c r="B109" i="5"/>
  <c r="B9" i="5"/>
  <c r="B8" i="5"/>
  <c r="B5" i="5"/>
  <c r="B82" i="5"/>
  <c r="B52" i="5"/>
  <c r="B100" i="5"/>
  <c r="B114" i="5"/>
  <c r="B47" i="5"/>
  <c r="B104" i="5"/>
  <c r="B19" i="5"/>
  <c r="B76" i="5"/>
  <c r="B93" i="5"/>
  <c r="B41" i="5"/>
  <c r="B60" i="5"/>
  <c r="B17" i="5"/>
  <c r="B126" i="5"/>
  <c r="B131" i="5"/>
  <c r="B77" i="5"/>
  <c r="B6" i="5"/>
  <c r="B97" i="5"/>
  <c r="B106" i="5"/>
  <c r="B5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AZ140" i="5" l="1"/>
  <c r="GX140" i="5"/>
  <c r="GK140" i="5"/>
  <c r="CT140" i="5"/>
  <c r="GL140" i="5"/>
  <c r="DN140" i="5"/>
  <c r="EH141" i="5"/>
  <c r="EA142" i="5" s="1"/>
  <c r="EP141" i="5"/>
  <c r="C95" i="5"/>
  <c r="C44" i="5"/>
  <c r="D49" i="8"/>
  <c r="C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6" i="5"/>
  <c r="C33" i="5"/>
  <c r="C29" i="5"/>
  <c r="C24" i="5"/>
  <c r="C41" i="5"/>
  <c r="C133" i="5"/>
  <c r="HB140" i="5"/>
  <c r="C122" i="5"/>
  <c r="C100" i="5"/>
  <c r="C30" i="5"/>
  <c r="C63" i="5"/>
  <c r="C19" i="5"/>
  <c r="C82" i="5"/>
  <c r="C15" i="5"/>
  <c r="C98" i="5"/>
  <c r="C130" i="5"/>
  <c r="C38" i="5"/>
  <c r="C74" i="5"/>
  <c r="J215" i="7"/>
  <c r="G226" i="7"/>
  <c r="J226" i="7" s="1"/>
  <c r="C104" i="5"/>
  <c r="C93" i="5"/>
  <c r="C28" i="5"/>
  <c r="J217" i="7"/>
  <c r="C110" i="5"/>
  <c r="C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4" i="5"/>
  <c r="C106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20" i="5"/>
  <c r="C134" i="5"/>
  <c r="C76" i="5"/>
  <c r="C71" i="5"/>
  <c r="C72" i="5"/>
  <c r="C126" i="5"/>
  <c r="C128" i="5"/>
  <c r="C131" i="5"/>
  <c r="C42" i="5"/>
  <c r="C3" i="5"/>
  <c r="C92" i="5"/>
  <c r="C54" i="5"/>
  <c r="C23" i="5"/>
  <c r="C118" i="5"/>
  <c r="C79" i="5"/>
  <c r="C46" i="5"/>
  <c r="C115" i="5"/>
  <c r="C123" i="5"/>
  <c r="C81" i="5"/>
  <c r="C84" i="5"/>
  <c r="C12" i="5"/>
  <c r="C25" i="5"/>
  <c r="C40" i="5"/>
  <c r="C99" i="5"/>
  <c r="C87" i="5"/>
  <c r="C45" i="5"/>
  <c r="GN164" i="3"/>
  <c r="GF164" i="3"/>
  <c r="FX164" i="3"/>
  <c r="FP164" i="3"/>
  <c r="HB164" i="3"/>
  <c r="A52" i="7"/>
  <c r="C46" i="7" s="1"/>
  <c r="C91" i="5"/>
  <c r="C10" i="5"/>
  <c r="C114" i="5"/>
  <c r="C16" i="5"/>
  <c r="C35" i="5"/>
  <c r="C80" i="5"/>
  <c r="GQ140" i="5"/>
  <c r="C69" i="5"/>
  <c r="C113" i="5"/>
  <c r="C60" i="5"/>
  <c r="C68" i="5"/>
  <c r="C96" i="5"/>
  <c r="A35" i="7"/>
  <c r="A120" i="7"/>
  <c r="C64" i="5"/>
  <c r="A40" i="7"/>
  <c r="FW140" i="5"/>
  <c r="A39" i="7"/>
  <c r="C124" i="5"/>
  <c r="C132" i="5"/>
  <c r="A38" i="7"/>
  <c r="A37" i="7"/>
  <c r="C103" i="5"/>
  <c r="C86" i="5"/>
  <c r="C50" i="5"/>
  <c r="A31" i="7"/>
  <c r="C29" i="7" s="1"/>
  <c r="A36" i="7"/>
  <c r="A41" i="7"/>
  <c r="C4" i="5"/>
  <c r="C107" i="5"/>
  <c r="C135" i="5"/>
  <c r="C27" i="5"/>
  <c r="C125" i="5"/>
  <c r="C57" i="5"/>
  <c r="C77" i="5"/>
  <c r="GG164" i="3"/>
  <c r="DK268" i="1"/>
  <c r="C58" i="5"/>
  <c r="C116" i="5"/>
  <c r="C55" i="5"/>
  <c r="C21" i="5"/>
  <c r="C75" i="5"/>
  <c r="C102" i="5"/>
  <c r="C129" i="5"/>
  <c r="C32" i="5"/>
  <c r="C34" i="5"/>
  <c r="C119" i="5"/>
  <c r="C31" i="5"/>
  <c r="C89" i="5"/>
  <c r="C67" i="5"/>
  <c r="C26" i="5"/>
  <c r="C56" i="5"/>
  <c r="C127" i="5"/>
  <c r="C105" i="5"/>
  <c r="C62" i="5"/>
  <c r="C61" i="5"/>
  <c r="C47" i="5"/>
  <c r="C117" i="5"/>
  <c r="C59" i="5"/>
  <c r="C51" i="5"/>
  <c r="C101" i="5"/>
  <c r="C9" i="5"/>
  <c r="C17" i="5"/>
  <c r="C111" i="5"/>
  <c r="C120" i="5"/>
  <c r="C90" i="5"/>
  <c r="C83" i="5"/>
  <c r="A121" i="7"/>
  <c r="C70" i="5"/>
  <c r="A122" i="7"/>
  <c r="C108" i="5"/>
  <c r="C49" i="5"/>
  <c r="C18" i="5"/>
  <c r="C53" i="5"/>
  <c r="C78" i="5"/>
  <c r="C109" i="5"/>
  <c r="A117" i="7"/>
  <c r="C14" i="5"/>
  <c r="C39" i="5"/>
  <c r="C52" i="5"/>
  <c r="C37" i="5"/>
  <c r="C65" i="5"/>
  <c r="C85" i="5"/>
  <c r="C22" i="5"/>
  <c r="C88" i="5"/>
  <c r="C97" i="5"/>
  <c r="C48" i="5"/>
  <c r="C73" i="5"/>
  <c r="C13" i="5"/>
  <c r="C112" i="5"/>
  <c r="C7" i="5"/>
  <c r="C36" i="5"/>
  <c r="C43" i="5"/>
  <c r="A77" i="7"/>
  <c r="A82" i="7"/>
  <c r="A81" i="7"/>
  <c r="A80" i="7"/>
  <c r="A79" i="7"/>
  <c r="A78" i="7"/>
  <c r="GZ140" i="5"/>
  <c r="HC140" i="5"/>
  <c r="HE140" i="5"/>
  <c r="GB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A140" i="5"/>
  <c r="P140" i="5"/>
  <c r="AG140" i="5"/>
  <c r="GY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EO142" i="5" l="1"/>
  <c r="EF142" i="5"/>
  <c r="EG142" i="5"/>
  <c r="EN142" i="5"/>
  <c r="EE142" i="5"/>
  <c r="EM142" i="5"/>
  <c r="ED142" i="5"/>
  <c r="EL142" i="5"/>
  <c r="EB142" i="5"/>
  <c r="EH142" i="5" s="1"/>
  <c r="EI142" i="5"/>
  <c r="EK142" i="5"/>
  <c r="EC142" i="5"/>
  <c r="EJ142" i="5"/>
  <c r="K333" i="7"/>
  <c r="D181" i="7"/>
  <c r="D183" i="7" s="1"/>
  <c r="D48" i="8"/>
  <c r="G138" i="7"/>
  <c r="K183" i="7"/>
  <c r="K144" i="7"/>
  <c r="H218" i="7"/>
  <c r="Q220" i="7"/>
  <c r="D258" i="7"/>
  <c r="D260" i="7" s="1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406" i="7" s="1"/>
  <c r="D380" i="7"/>
  <c r="D392" i="7"/>
  <c r="D538" i="7"/>
  <c r="D540" i="7" s="1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P142" i="5" l="1"/>
  <c r="D144" i="7"/>
  <c r="D333" i="7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1" i="7" l="1"/>
  <c r="F182" i="7" s="1"/>
  <c r="J219" i="7"/>
  <c r="J502" i="7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324" i="7" l="1"/>
  <c r="I324" i="7" s="1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323" i="7"/>
  <c r="I323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4" i="7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G184" i="7" l="1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J323" i="7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N210" i="7"/>
  <c r="O210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s="1"/>
  <c r="P497" i="7" l="1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<sst xmlns="http://schemas.openxmlformats.org/spreadsheetml/2006/main" count="27218" uniqueCount="2453">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</sst>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</cellXfs>
  <cellStyles count="3">
    <cellStyle name="Normalny" xfId="0" builtinId="0"/>
    <cellStyle name="Normalny 2" xfId="1" xr:uid="{B583D91A-72FD-4F8D-9274-2D4BD9705AA5}"/>
    <cellStyle name="Procentowy" xfId="2" builtinId="5"/>
  </cellStyles>
  <dxfs count="52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170" type="button" dataOnly="0" labelOnly="1" outline="0" axis="axisRow" fieldPosition="0"/>
    </format>
    <format dxfId="347">
      <pivotArea dataOnly="0" labelOnly="1" fieldPosition="0">
        <references count="1">
          <reference field="170" count="0"/>
        </references>
      </pivotArea>
    </format>
    <format dxfId="346">
      <pivotArea dataOnly="0" labelOnly="1" grandRow="1" outline="0" fieldPosition="0"/>
    </format>
    <format dxfId="34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49" type="button" dataOnly="0" labelOnly="1" outline="0" axis="axisRow" fieldPosition="0"/>
    </format>
    <format dxfId="353">
      <pivotArea dataOnly="0" labelOnly="1" fieldPosition="0">
        <references count="1">
          <reference field="49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44" type="button" dataOnly="0" labelOnly="1" outline="0" axis="axisRow" fieldPosition="0"/>
    </format>
    <format dxfId="359">
      <pivotArea dataOnly="0" labelOnly="1" fieldPosition="0">
        <references count="1">
          <reference field="14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95" type="button" dataOnly="0" labelOnly="1" outline="0" axis="axisRow" fieldPosition="0"/>
    </format>
    <format dxfId="365">
      <pivotArea dataOnly="0" labelOnly="1" fieldPosition="0">
        <references count="1">
          <reference field="95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1" type="button" dataOnly="0" labelOnly="1" outline="0" axis="axisRow" fieldPosition="0"/>
    </format>
    <format dxfId="371">
      <pivotArea dataOnly="0" labelOnly="1" fieldPosition="0">
        <references count="1">
          <reference field="31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15" type="button" dataOnly="0" labelOnly="1" outline="0" axis="axisRow" fieldPosition="0"/>
    </format>
    <format dxfId="377">
      <pivotArea dataOnly="0" labelOnly="1" fieldPosition="0">
        <references count="1">
          <reference field="15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115" type="button" dataOnly="0" labelOnly="1" outline="0" axis="axisRow" fieldPosition="0"/>
    </format>
    <format dxfId="383">
      <pivotArea dataOnly="0" labelOnly="1" fieldPosition="0">
        <references count="1">
          <reference field="115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92">
      <pivotArea type="all" dataOnly="0" outline="0" fieldPosition="0"/>
    </format>
    <format dxfId="391">
      <pivotArea outline="0" collapsedLevelsAreSubtotals="1" fieldPosition="0"/>
    </format>
    <format dxfId="390">
      <pivotArea field="105" type="button" dataOnly="0" labelOnly="1" outline="0" axis="axisRow" fieldPosition="0"/>
    </format>
    <format dxfId="389">
      <pivotArea dataOnly="0" labelOnly="1" fieldPosition="0">
        <references count="1">
          <reference field="105" count="0"/>
        </references>
      </pivotArea>
    </format>
    <format dxfId="388">
      <pivotArea dataOnly="0" labelOnly="1" grandRow="1" outline="0" fieldPosition="0"/>
    </format>
    <format dxfId="3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49" type="button" dataOnly="0" labelOnly="1" outline="0" axis="axisRow" fieldPosition="0"/>
    </format>
    <format dxfId="394">
      <pivotArea dataOnly="0" labelOnly="1" grandRow="1" outline="0" fieldPosition="0"/>
    </format>
    <format dxfId="3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I136" totalsRowCount="1">
  <autoFilter ref="A2:HI135" xr:uid="{BC01C17C-E729-4430-9A94-BDF77386BAED}">
    <filterColumn colId="1">
      <filters>
        <filter val="55"/>
      </filters>
    </filterColumn>
  </autoFilter>
  <sortState xmlns:xlrd2="http://schemas.microsoft.com/office/spreadsheetml/2017/richdata2" ref="A3:HI135">
    <sortCondition ref="B2:B135"/>
  </sortState>
  <tableColumns count="217">
    <tableColumn id="1" xr3:uid="{37199E79-F22A-49C0-B1C3-8001D68B6905}" name="Lp."/>
    <tableColumn id="214" xr3:uid="{15F16F1A-B79B-4E98-AC9F-5DC850A3D9F6}" name="ID_zakończone" dataDxfId="516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5">
      <calculatedColumnFormula>COUNTA(P3:HI3)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514">
      <totalsRowFormula>COUNTA((P3:P135))</totalsRowFormula>
    </tableColumn>
    <tableColumn id="14" xr3:uid="{A75D7BB0-BDD4-4F9E-BFE1-A35FFDAA2A35}" name="Czy jesteś studentem uczelni wyższej?" totalsRowFunction="custom" dataDxfId="513" totalsRowDxfId="512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511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510">
      <totalsRowFormula>COUNTA((S3:S135))</totalsRowFormula>
    </tableColumn>
    <tableColumn id="17" xr3:uid="{C6F68B54-181D-4E6B-90DE-3758AC28643F}" name="Jak się nazywa kierunek, na którym studiujesz?" totalsRowFunction="custom" totalsRowDxfId="509">
      <totalsRowFormula>COUNTA((T3:T135))</totalsRowFormula>
    </tableColumn>
    <tableColumn id="18" xr3:uid="{4009F8D5-0845-4794-BD7B-DEDD90E1035F}" name="Moja satysfakcja z usług edukacyjnych ocenianej uczelni jest wysoka." totalsRowFunction="custom" totalsRowDxfId="508">
      <totalsRowFormula>COUNTA((U3:U135))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7">
      <totalsRowFormula>COUNTA((V3:V135))</totalsRowFormula>
    </tableColumn>
    <tableColumn id="20" xr3:uid="{AD29E10C-3B61-4AC3-9DB6-E5592E85F54D}" name="Kształcenie na ocenianej uczelni ma/będzie miało pozytywny wpływ na zwiększenie moich zarobków." totalsRowFunction="custom" totalsRowDxfId="506">
      <totalsRowFormula>COUNTA((W3:W135))</totalsRowFormula>
    </tableColumn>
    <tableColumn id="21" xr3:uid="{29A03634-DD01-47E7-9082-570B2CBA75AC}" name="Kolumna1" totalsRowFunction="custom" totalsRowDxfId="505">
      <totalsRowFormula>COUNTA((X3:X135))</totalsRowFormula>
    </tableColumn>
    <tableColumn id="22" xr3:uid="{E3063293-8C09-4AD3-970A-FC723899E602}" name="w pierwszym roku po ukończeniu studiów : wybierz wartość z listy rozwijanej" totalsRowFunction="custom" totalsRowDxfId="504">
      <totalsRowFormula>COUNTA((Y3:Y135))</totalsRowFormula>
    </tableColumn>
    <tableColumn id="23" xr3:uid="{62967F23-9856-4DFD-AADC-42AC36B2CDB1}" name="w 3 lata po ukończeniu studiów : wybierz wartość z listy rozwijanej" totalsRowFunction="custom" totalsRowDxfId="503">
      <totalsRowFormula>COUNTA((Z3:Z135))</totalsRowFormula>
    </tableColumn>
    <tableColumn id="24" xr3:uid="{574DBE71-FF3A-4DA1-A563-EECF8E03B030}" name="Jakich innych (poza zarobkami) efektów kształcenia na ocenianej uczelni się spodziewasz?" totalsRowFunction="custom" totalsRowDxfId="502">
      <totalsRowFormula>COUNTA((AA3:AA135))</totalsRowFormula>
    </tableColumn>
    <tableColumn id="25" xr3:uid="{70C7E301-ECA2-4DF8-B78C-6550E2B616A1}" name="Jakie elementy lub cechy sprawiały, że Tobie studiowało się dobrze?" totalsRowFunction="custom" totalsRowDxfId="501">
      <totalsRowFormula>COUNTA((AB3:AB135))</totalsRowFormula>
    </tableColumn>
    <tableColumn id="26" xr3:uid="{86CB3A73-27F1-4FCF-B9E3-8D590DC2DB33}" name="Jakie elementy lub cechy sprawiały, że Tobie studiowało się źle?" totalsRowFunction="custom" totalsRowDxfId="500">
      <totalsRowFormula>COUNTA((AC3:AC135))</totalsRowFormula>
    </tableColumn>
    <tableColumn id="27" xr3:uid="{8DCB6BDF-C860-4D73-8953-D14EF0C8F0AA}" name="Jakiego rodzaju są Twoje studia?" totalsRowFunction="custom" totalsRowDxfId="499">
      <totalsRowFormula>COUNTA((AD3:AD135))</totalsRowFormula>
    </tableColumn>
    <tableColumn id="28" xr3:uid="{F292FE47-988D-4A95-932D-2E3B34B7BF0B}" name="Pole dodatkowe" totalsRowFunction="custom" totalsRowDxfId="498">
      <totalsRowFormula>COUNTA((AE3:AE135))</totalsRowFormula>
    </tableColumn>
    <tableColumn id="29" xr3:uid="{4225184D-873A-4CF3-B8D1-575C3D6A2435}" name="Na którym semestrze studiujesz obecnie?" totalsRowFunction="custom" totalsRowDxfId="497">
      <totalsRowFormula>COUNTA((AF3:AF135))</totalsRowFormula>
    </tableColumn>
    <tableColumn id="30" xr3:uid="{41979390-06F4-463C-ADB5-F98E8C311CBA}" name="Czy jesteś absolwentem uczelni wyższej?" totalsRowFunction="custom" dataDxfId="496" totalsRowDxfId="495">
      <totalsRowFormula>COUNTA((AG3:AG135))</totalsRowFormula>
    </tableColumn>
    <tableColumn id="31" xr3:uid="{BBF7434D-D66B-496B-B17B-27248613CC58}" name="Jak się nazywa uczelnia którą ukończyłeś? (proszę o wybranie jednej uczelni podlegającej ocenie)" totalsRowFunction="custom" totalsRowDxfId="494">
      <totalsRowFormula>COUNTA((AH3:AH135))</totalsRowFormula>
    </tableColumn>
    <tableColumn id="216" xr3:uid="{72DEEBC7-088A-46A4-9999-AE96ED74030A}" name="KategoriaUczelni" dataDxfId="493" totalsRowDxfId="492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1">
      <totalsRowFormula>COUNTA((AJ3:AJ135))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0">
      <totalsRowFormula>COUNTA((AK3:AK135))</totalsRowFormula>
    </tableColumn>
    <tableColumn id="34" xr3:uid="{B85DD2EE-D5F2-46D3-9E33-DA992576E185}" name="Jak się nazywa kierunek, który ukończyłaś/eś?" totalsRowFunction="custom" totalsRowDxfId="489">
      <totalsRowFormula>COUNTA((AL3:AL135))</totalsRowFormula>
    </tableColumn>
    <tableColumn id="35" xr3:uid="{4CC44F8F-616F-4095-99F6-60AF14EEC568}" name="Moja satysfakcja z (efektów) usług edukacyjnych ocenianej uczelni jest wysoka." totalsRowFunction="custom" totalsRowDxfId="488">
      <totalsRowFormula>COUNTA((AM3:AM135))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7">
      <totalsRowFormula>COUNTA((AN3:AN135))</totalsRowFormula>
    </tableColumn>
    <tableColumn id="37" xr3:uid="{44EB38FB-B9C9-46B4-B0FB-9985D53C385D}" name="Kształcenie na ocenianej uczelni ma/miało pozytywny wpływ na zwiększenie moich zarobków." totalsRowFunction="custom" totalsRowDxfId="486">
      <totalsRowFormula>COUNTA((AO3:AO135))</totalsRowFormula>
    </tableColumn>
    <tableColumn id="38" xr3:uid="{34BE9A51-E55F-4AE8-87A0-FBEC63D51E8F}" name="Moje zarobki w pierwszym roku po ukończeniu studiów były satysfakcjonujące." totalsRowFunction="custom" totalsRowDxfId="485">
      <totalsRowFormula>COUNTA((AP3:AP135))</totalsRowFormula>
    </tableColumn>
    <tableColumn id="39" xr3:uid="{4033761C-CB95-4451-B0C4-2ABCB2769F7E}" name="Moje zarobki po 3. latach po ukończeniu studiów były satysfakcjonujące." totalsRowFunction="custom" totalsRowDxfId="484">
      <totalsRowFormula>COUNTA((AQ3:AQ135))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3">
      <totalsRowFormula>COUNTA((AR3:AR135))</totalsRowFormula>
    </tableColumn>
    <tableColumn id="41" xr3:uid="{25DB6FAA-8A3B-408B-9262-5EDE22E06BA2}" name="w pierwszym roku po ukończeniu studiów : wybierz wartość z listy rozwijanej4" totalsRowFunction="custom" totalsRowDxfId="482">
      <totalsRowFormula>COUNTA((AS3:AS135))</totalsRowFormula>
    </tableColumn>
    <tableColumn id="42" xr3:uid="{2B38DFDD-3D06-4B52-B1DB-7F8144FEDBDB}" name="w 3 lata po ukończeniu studiów : wybierz wartość z listy rozwijanej5" totalsRowFunction="custom" totalsRowDxfId="481">
      <totalsRowFormula>COUNTA((AT3:AT135))</totalsRowFormula>
    </tableColumn>
    <tableColumn id="43" xr3:uid="{FBBBF8D2-7A99-41FF-B15C-4A2191C9D8D9}" name="Jakie inne (poza zarobkami) efekty kształcenia na ocenianej uczelni dostrzegasz obecnie?" totalsRowFunction="custom" totalsRowDxfId="480">
      <totalsRowFormula>COUNTA((AU3:AU135))</totalsRowFormula>
    </tableColumn>
    <tableColumn id="44" xr3:uid="{6B48263B-8F26-4FBA-9F9A-424993C5E3ED}" name="Co wpływało na twoją satysfakcję ze studiowania?_x000a_" totalsRowFunction="custom" totalsRowDxfId="479">
      <totalsRowFormula>COUNTA((AV3:AV135))</totalsRowFormula>
    </tableColumn>
    <tableColumn id="45" xr3:uid="{52ED1FC9-CD2D-42A5-B204-567F0483F099}" name="Kolumna6" totalsRowFunction="custom" totalsRowDxfId="478">
      <totalsRowFormula>COUNTA((AW3:AW135))</totalsRowFormula>
    </tableColumn>
    <tableColumn id="46" xr3:uid="{3D74590B-7E93-443E-BE1C-FD99ECE16017}" name="Jakiego rodzaju były Twoje studia?" totalsRowFunction="custom" totalsRowDxfId="477">
      <totalsRowFormula>COUNTA((AX3:AX135))</totalsRowFormula>
    </tableColumn>
    <tableColumn id="47" xr3:uid="{E8CA34F5-D9E4-418D-8BF9-050444C4061E}" name="Pole dodatkowe7" totalsRowFunction="custom" totalsRowDxfId="476">
      <totalsRowFormula>COUNTA((AY3:AY135))</totalsRowFormula>
    </tableColumn>
    <tableColumn id="48" xr3:uid="{A48EA897-6002-486C-94A2-3071DE7EB5AD}" name="Czy jesteś rodzicem / opiekunem absolwenta uczelni wyższej?" totalsRowFunction="custom" dataDxfId="475" totalsRowDxfId="474">
      <totalsRowFormula>COUNTA((AZ3:AZ135))</totalsRowFormula>
    </tableColumn>
    <tableColumn id="49" xr3:uid="{FEE5A281-6D4B-4D31-93CD-509A968E7773}" name="Uczelnie ilu podopiecznych będziesz oceniać?" totalsRowFunction="custom" totalsRowDxfId="473">
      <totalsRowFormula>COUNTA((BA3:BA135))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2">
      <totalsRowFormula>COUNTA((BB3:BB135))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1">
      <totalsRowFormula>COUNTA((BC3:BC135))</totalsRowFormula>
    </tableColumn>
    <tableColumn id="52" xr3:uid="{2D5E47C8-051A-480B-B96D-83E7709F1700}" name="Czy ukończony kierunek był kierunkiem technicznym, tzn. takim, po którym uzyskano tytuł inżyniera?" totalsRowFunction="custom" totalsRowDxfId="470">
      <totalsRowFormula>COUNTA((BD3:BD135))</totalsRowFormula>
    </tableColumn>
    <tableColumn id="53" xr3:uid="{D51D9DD7-878A-415B-B2F8-02F53EBFA22A}" name="Jak się nazywa kierunek, który ukończył/a Twoja/Twój podopieczna/podopieczny?" totalsRowFunction="custom" totalsRowDxfId="469">
      <totalsRowFormula>COUNTA((BE3:BE135))</totalsRowFormula>
    </tableColumn>
    <tableColumn id="54" xr3:uid="{D3DB1C46-F931-4289-86D2-779EC4340002}" name="Moja satysfakcja z (efektów) usług edukacyjnych ocenianej uczelni jest wysoka.8" totalsRowFunction="custom" totalsRowDxfId="468">
      <totalsRowFormula>COUNTA((BF3:BF135))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7">
      <totalsRowFormula>COUNTA((BG3:BG135))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6">
      <totalsRowFormula>COUNTA((BH3:BH135))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5">
      <totalsRowFormula>COUNTA((BI3:BI135))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4">
      <totalsRowFormula>COUNTA((BJ3:BJ135))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3">
      <totalsRowFormula>COUNTA((BK3:BK135))</totalsRowFormula>
    </tableColumn>
    <tableColumn id="60" xr3:uid="{847514F8-F661-4B2D-88BE-10ABFD806894}" name="Jakie inne (poza zarobkami) efekty kształcenia na ocenianej uczelni się dostrzegasz obecnie?" totalsRowFunction="custom" totalsRowDxfId="462">
      <totalsRowFormula>COUNTA((BL3:BL135))</totalsRowFormula>
    </tableColumn>
    <tableColumn id="61" xr3:uid="{8B4485AE-C106-41C7-89AC-D28DBDA4C166}" name="Jakiego rodzaju były studia, które ukończył/a Twoja/Twój podopieczna/podopieczny?" totalsRowFunction="custom" totalsRowDxfId="461">
      <totalsRowFormula>COUNTA((BM3:BM135))</totalsRowFormula>
    </tableColumn>
    <tableColumn id="62" xr3:uid="{F0DE0B1C-928B-4581-8D63-11188CD95233}" name="Pole dodatkowe10" totalsRowFunction="custom" totalsRowDxfId="460">
      <totalsRowFormula>COUNTA((BN3:BN135))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9">
      <totalsRowFormula>COUNTA((BO3:BO135))</totalsRowFormula>
    </tableColumn>
    <tableColumn id="64" xr3:uid="{08619068-F1EA-4298-AAE7-77A34A620074}" name="Czy będziesz oceniał uczelnię ukończoną przez drugiego podopiecznego?" totalsRowFunction="custom" totalsRowDxfId="458">
      <totalsRowFormula>COUNTA((BP3:BP135))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7">
      <totalsRowFormula>COUNTA((BQ3:BQ135))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6">
      <totalsRowFormula>COUNTA((BR3:BR135))</totalsRowFormula>
    </tableColumn>
    <tableColumn id="67" xr3:uid="{1C6ADC27-9F30-4227-81CE-3C15A0D6C10C}" name="Czy ukończony kierunek był kierunkiem technicznym, tzn. takim, po którym uzyskano tytuł inżyniera?13" totalsRowFunction="custom" totalsRowDxfId="455">
      <totalsRowFormula>COUNTA((BS3:BS135))</totalsRowFormula>
    </tableColumn>
    <tableColumn id="68" xr3:uid="{94C8B518-4547-40DD-AC32-B5C834F0511E}" name="Jak się nazywa kierunek, który ukończył/a Twoja/Twój podopieczna/podopieczny?14" totalsRowFunction="custom" totalsRowDxfId="454">
      <totalsRowFormula>COUNTA((BT3:BT135))</totalsRowFormula>
    </tableColumn>
    <tableColumn id="69" xr3:uid="{00BE12AC-CBE0-47D5-8BEF-A62C47DFED23}" name="Moja satysfakcja z (efektów) usług edukacyjnych ocenianej uczelni jest wysoka.15" totalsRowFunction="custom" totalsRowDxfId="453">
      <totalsRowFormula>COUNTA((BU3:BU135))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2">
      <totalsRowFormula>COUNTA((BV3:BV135))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1">
      <totalsRowFormula>COUNTA((BW3:BW135))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0">
      <totalsRowFormula>COUNTA((BX3:BX135))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9">
      <totalsRowFormula>COUNTA((BY3:BY135))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8">
      <totalsRowFormula>COUNTA((BZ3:BZ135))</totalsRowFormula>
    </tableColumn>
    <tableColumn id="75" xr3:uid="{54EF7743-0CB2-446D-9665-46C77C464F05}" name="Jakie inne (poza zarobkami) efekty kształcenia na ocenianej uczelni się dostrzegasz obecnie?21" totalsRowFunction="custom" totalsRowDxfId="447">
      <totalsRowFormula>COUNTA((CA3:CA135))</totalsRowFormula>
    </tableColumn>
    <tableColumn id="76" xr3:uid="{BE93B27C-1906-4695-BEC1-231FA6883C68}" name="Jakiego rodzaju były studia, które ukończył/a Twoja/Twój podopieczna/podopieczny?22" totalsRowFunction="custom" totalsRowDxfId="446">
      <totalsRowFormula>COUNTA((CB3:CB135))</totalsRowFormula>
    </tableColumn>
    <tableColumn id="77" xr3:uid="{C2670D09-B14E-48CE-8D3B-FD4F08474C2E}" name="Pole dodatkowe23" totalsRowFunction="custom" totalsRowDxfId="445">
      <totalsRowFormula>COUNTA((CC3:CC135))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4">
      <totalsRowFormula>COUNTA((CD3:CD135))</totalsRowFormula>
    </tableColumn>
    <tableColumn id="79" xr3:uid="{E97ECC9E-9FF4-4C29-9ADE-07B0EFB1798E}" name="Czy będziesz oceniał uczelnię ukończoną przez trzeciego podopiecznego?" totalsRowFunction="custom" totalsRowDxfId="443">
      <totalsRowFormula>COUNTA((CE3:CE135))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2">
      <totalsRowFormula>COUNTA((CF3:CF135))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1">
      <totalsRowFormula>COUNTA((CG3:CG135))</totalsRowFormula>
    </tableColumn>
    <tableColumn id="82" xr3:uid="{E402E02B-32F9-4918-AC52-1E2746EFF732}" name="Czy ukończony kierunek był kierunkiem technicznym, tzn. takim, po którym uzyskano tytuł inżyniera?27" totalsRowFunction="custom" totalsRowDxfId="440">
      <totalsRowFormula>COUNTA((CH3:CH135))</totalsRowFormula>
    </tableColumn>
    <tableColumn id="83" xr3:uid="{366FF8BB-67D0-4A1D-9E42-1C25C26E69CE}" name="Jak się nazywa kierunek, który ukończył/a Twoja/Twój podopieczna/podopieczny?28" totalsRowFunction="custom" totalsRowDxfId="439">
      <totalsRowFormula>COUNTA((CI3:CI135))</totalsRowFormula>
    </tableColumn>
    <tableColumn id="84" xr3:uid="{32321BD9-57CD-47D0-BD7D-B2AFCC1C3078}" name="Moja satysfakcja z (efektów) usług edukacyjnych ocenianej uczelni jest wysoka.29" totalsRowFunction="custom" totalsRowDxfId="438">
      <totalsRowFormula>COUNTA((CJ3:CJ135))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7">
      <totalsRowFormula>COUNTA((CK3:CK135))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6">
      <totalsRowFormula>COUNTA((CL3:CL135))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5">
      <totalsRowFormula>COUNTA((CM3:CM135))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4">
      <totalsRowFormula>COUNTA((CN3:CN135))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3">
      <totalsRowFormula>COUNTA((CO3:CO135))</totalsRowFormula>
    </tableColumn>
    <tableColumn id="90" xr3:uid="{5F53B8F1-FD09-4B74-AA23-7EDED9615A73}" name="Jakie inne (poza zarobkami) efekty kształcenia na ocenianej uczelni się dostrzegasz obecnie?35" totalsRowFunction="custom" totalsRowDxfId="432">
      <totalsRowFormula>COUNTA((CP3:CP135))</totalsRowFormula>
    </tableColumn>
    <tableColumn id="91" xr3:uid="{0049B607-BD4D-49EA-B5EE-E8E785ACDC34}" name="Jakiego rodzaju były studia, które ukończył/a Twoja/Twój podopieczna/podopieczny?36" totalsRowFunction="custom" totalsRowDxfId="431">
      <totalsRowFormula>COUNTA((CQ3:CQ135))</totalsRowFormula>
    </tableColumn>
    <tableColumn id="92" xr3:uid="{86B9680A-4D70-4DFA-8189-827F813E4B73}" name="Pole dodatkowe37" totalsRowFunction="custom" totalsRowDxfId="430">
      <totalsRowFormula>COUNTA((CR3:CR135))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9">
      <totalsRowFormula>COUNTA((CS3:CS135))</totalsRowFormula>
    </tableColumn>
    <tableColumn id="94" xr3:uid="{BA461F2C-93E1-4AB3-B06B-BCD05B9B9AA2}" name="Czy jesteś aktualnie pracownikiem administracyjnym uczelni wyższej?" totalsRowFunction="custom" dataDxfId="428" totalsRowDxfId="427">
      <totalsRowFormula>COUNTA((CT3:CT135))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6" totalsRowDxfId="425">
      <totalsRowFormula>COUNTA((DD3:DD135))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4" totalsRowDxfId="423">
      <totalsRowFormula>COUNTA((DN3:DN135))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2" totalsRowDxfId="421">
      <totalsRowFormula>COUNTA((EQ3:EQ135))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0" totalsRowDxfId="419">
      <totalsRowFormula>COUNTA((FQ3:FQ135))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8">
      <totalsRowFormula>COUNTA((HB3:HB135))</totalsRowFormula>
    </tableColumn>
    <tableColumn id="207" xr3:uid="{2B31368C-8BB4-45F5-A368-4A4E1AFFFE2E}" name="Rok urodzenia" totalsRowFunction="custom" totalsRowDxfId="417">
      <totalsRowFormula>COUNTA((HC3:HC135))</totalsRowFormula>
    </tableColumn>
    <tableColumn id="215" xr3:uid="{0DA27BC3-BCA7-4CF6-A54C-77E28EA17827}" name="GrupaWiekowa" dataDxfId="416" totalsRowDxfId="41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4">
      <totalsRowFormula>COUNTA((HE3:HE135))</totalsRowFormula>
    </tableColumn>
    <tableColumn id="209" xr3:uid="{40C0F4A2-88CA-4804-AB61-0C883C5C9CF7}" name="Pole dodatkowe52" totalsRowFunction="custom" totalsRowDxfId="413">
      <totalsRowFormula>COUNTA((HF3:HF135))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2">
      <totalsRowFormula>COUNTA((HG3:HG135))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1">
      <totalsRowFormula>COUNTA((HH3:HH135))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0">
      <totalsRowFormula>COUNTA((HI3:HI135))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409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407">
  <autoFilter ref="B11:C41" xr:uid="{153EF96D-20D3-4BD5-AB25-706F6B338490}"/>
  <tableColumns count="2">
    <tableColumn id="1" xr3:uid="{F3934641-58AD-451D-A35B-5D57D7E0E414}" name="Nazwa uczelni" dataDxfId="406"/>
    <tableColumn id="2" xr3:uid="{011F8DAE-7C60-444B-B4A2-78D05A325532}" name="Kategoria uczelni" dataDxfId="40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404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403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402">
  <autoFilter ref="C56:J176" xr:uid="{5D26DE38-F7A2-4F97-87CE-56F2D813A5B5}"/>
  <tableColumns count="8">
    <tableColumn id="1" xr3:uid="{87EDC6F7-8950-491A-8CAF-CF6610BCA33B}" name="Poziom istotności / _x000a_stopnie swobody" dataDxfId="40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400">
  <autoFilter ref="F44:G51" xr:uid="{0B0D128A-46C3-497C-A070-B19EDC90314A}"/>
  <tableColumns count="2">
    <tableColumn id="1" xr3:uid="{85BFDFE9-FEF0-48BD-8D34-235474A93582}" name="Wartość graniczna" dataDxfId="399"/>
    <tableColumn id="2" xr3:uid="{1807328A-696A-4241-94CB-E1EC739F6F81}" name="Interpretacja średniej" dataDxfId="39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3" totalsRowDxfId="342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1" totalsRowDxfId="340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39">
      <totalsRowFormula>COUNTA((O3:O159))</totalsRowFormula>
    </tableColumn>
    <tableColumn id="14" xr3:uid="{0BD7A98F-1F10-4FB8-B054-37BDD3B56396}" name="Czy jesteś studentem uczelni wyższej?" totalsRowFunction="custom" dataDxfId="338" totalsRowDxfId="337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36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35">
      <totalsRowFormula>COUNTA((R3:R159))</totalsRowFormula>
    </tableColumn>
    <tableColumn id="17" xr3:uid="{24BCBB34-34C1-4984-962F-C53466F3EF8F}" name="Jak się nazywa kierunek, na którym studiujesz?" totalsRowFunction="custom" totalsRowDxfId="334">
      <totalsRowFormula>COUNTA((S3:S159))</totalsRowFormula>
    </tableColumn>
    <tableColumn id="18" xr3:uid="{9ADB9BCC-C1C9-4FDD-A2DF-FCC26DBEB749}" name="Moja satysfakcja z usług edukacyjnych ocenianej uczelni jest wysoka." totalsRowFunction="custom" totalsRowDxfId="333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2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1">
      <totalsRowFormula>COUNTA((V3:V159))</totalsRowFormula>
    </tableColumn>
    <tableColumn id="21" xr3:uid="{EAC188BA-5A2E-4D44-97B7-481328766AE0}" name="Kolumna1" totalsRowFunction="custom" totalsRowDxfId="330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29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28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27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26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25">
      <totalsRowFormula>COUNTA((AB3:AB159))</totalsRowFormula>
    </tableColumn>
    <tableColumn id="27" xr3:uid="{D0177BE1-4E02-4595-8669-95C494930B5B}" name="Jakiego rodzaju są Twoje studia?" totalsRowFunction="custom" totalsRowDxfId="324">
      <totalsRowFormula>COUNTA((AC3:AC159))</totalsRowFormula>
    </tableColumn>
    <tableColumn id="28" xr3:uid="{3597DDE1-E56A-406C-8EDD-22E18D515174}" name="Pole dodatkowe" totalsRowFunction="custom" totalsRowDxfId="323">
      <totalsRowFormula>COUNTA((AD3:AD159))</totalsRowFormula>
    </tableColumn>
    <tableColumn id="29" xr3:uid="{66ED4699-908F-4DD2-BD11-F0A6AA4499D4}" name="Na którym semestrze studiujesz obecnie?" totalsRowFunction="custom" totalsRowDxfId="322">
      <totalsRowFormula>COUNTA((AE3:AE159))</totalsRowFormula>
    </tableColumn>
    <tableColumn id="30" xr3:uid="{665AE932-5635-468D-B539-28624FF56492}" name="Czy jesteś absolwentem uczelni wyższej?" totalsRowFunction="custom" dataDxfId="321" totalsRowDxfId="320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19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18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17">
      <totalsRowFormula>COUNTA((AI3:AI159))</totalsRowFormula>
    </tableColumn>
    <tableColumn id="34" xr3:uid="{ADAE23AC-8F73-4453-AC5D-FE2116FA8AF9}" name="Jak się nazywa kierunek, który ukończyłaś/eś?" totalsRowFunction="custom" totalsRowDxfId="316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15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14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3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2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1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0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09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08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07">
      <totalsRowFormula>COUNTA((AS3:AS159))</totalsRowFormula>
    </tableColumn>
    <tableColumn id="44" xr3:uid="{C9AA4BEA-8991-4F56-A7E1-DA0762C2B486}" name="Co wpływało na twoją satysfakcję ze studiowania?_x000a_" totalsRowFunction="custom" totalsRowDxfId="306">
      <totalsRowFormula>COUNTA((AT3:AT159))</totalsRowFormula>
    </tableColumn>
    <tableColumn id="45" xr3:uid="{00A5350A-103D-4E86-99F7-01E1F081E96E}" name="Kolumna6" totalsRowFunction="custom" totalsRowDxfId="305">
      <totalsRowFormula>COUNTA((AU3:AU159))</totalsRowFormula>
    </tableColumn>
    <tableColumn id="46" xr3:uid="{AB30AA0A-ADAF-4A76-852B-9C6171DBA36D}" name="Jakiego rodzaju były Twoje studia?" totalsRowFunction="custom" totalsRowDxfId="304">
      <totalsRowFormula>COUNTA((AV3:AV159))</totalsRowFormula>
    </tableColumn>
    <tableColumn id="47" xr3:uid="{156EF4B8-4A3F-4406-9CDE-324D32F939BA}" name="Pole dodatkowe7" totalsRowFunction="custom" totalsRowDxfId="303">
      <totalsRowFormula>COUNTA((AW3:AW159))</totalsRowFormula>
    </tableColumn>
    <tableColumn id="48" xr3:uid="{085D3107-411D-41F8-A270-88DCB1EAF46B}" name="Czy jesteś rodzicem / opiekunem absolwenta uczelni wyższej?" totalsRowFunction="custom" dataDxfId="302" totalsRowDxfId="301">
      <totalsRowFormula>COUNTA((AX3:AX159))</totalsRowFormula>
    </tableColumn>
    <tableColumn id="49" xr3:uid="{373F08C1-1889-416C-AADD-9D721E98EE00}" name="Uczelnie ilu podopiecznych będziesz oceniać?" totalsRowFunction="custom" totalsRowDxfId="300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299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298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297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296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295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294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3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2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1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0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89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88">
      <totalsRowFormula>COUNTA((BK3:BK159))</totalsRowFormula>
    </tableColumn>
    <tableColumn id="62" xr3:uid="{D7A10314-D8C8-4D47-9939-D597680A8D89}" name="Pole dodatkowe10" totalsRowFunction="custom" totalsRowDxfId="287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86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85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84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3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2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1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0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79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78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77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76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75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74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3">
      <totalsRowFormula>COUNTA((BZ3:BZ159))</totalsRowFormula>
    </tableColumn>
    <tableColumn id="77" xr3:uid="{6FCF6001-0320-49B2-98E4-DBE8BE04E809}" name="Pole dodatkowe23" totalsRowFunction="custom" totalsRowDxfId="272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1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0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69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68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67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66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65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64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3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2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1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0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59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58">
      <totalsRowFormula>COUNTA((CO3:CO159))</totalsRowFormula>
    </tableColumn>
    <tableColumn id="92" xr3:uid="{D87D6F17-9A18-4BD2-82A2-E153AE86B37C}" name="Pole dodatkowe37" totalsRowFunction="custom" totalsRowDxfId="257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56">
      <totalsRowFormula>COUNTA((CQ3:CQ159))</totalsRowFormula>
    </tableColumn>
    <tableColumn id="94" xr3:uid="{E7DDA408-1945-4BDE-9B5A-12AAC3E05194}" name="Czy jesteś aktualnie pracownikiem administracyjnym uczelni wyższej?" totalsRowFunction="custom" dataDxfId="255" totalsRowDxfId="254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3"/>
    <tableColumn id="96" xr3:uid="{F959B9F3-C53C-4C63-A092-AF4A70D45B06}" name="Na jakim wydziale pracujesz?" totalsRowDxfId="252"/>
    <tableColumn id="97" xr3:uid="{19273B31-1872-4994-B739-304F1E7FBD34}" name="Moja satysfakcja z pracy na ocenianej uczelni jest wysoka." totalsRowDxfId="251"/>
    <tableColumn id="98" xr3:uid="{EE7C1371-E788-4978-B01E-B5870F3E97D1}" name="Atmosfera w zespole współpracowników jest dobra." totalsRowDxfId="250"/>
    <tableColumn id="99" xr3:uid="{04B25BDB-5FFA-42B5-AEBA-FC863BEDBC77}" name="Moje zarobki są satysfakcjonujące." totalsRowDxfId="249"/>
    <tableColumn id="100" xr3:uid="{DAD2DC5B-8DF9-49D3-A852-672969268131}" name="Praca na ocenianej uczelni daje mi duże szanse rozwoju." totalsRowDxfId="248"/>
    <tableColumn id="101" xr3:uid="{27C35901-3DF8-4B77-BEB2-58D43C8B6871}" name="Wartość wykształcenia zdobywanego przez studentów ocenianej uczelni jest wysoka." totalsRowDxfId="247"/>
    <tableColumn id="102" xr3:uid="{4669105C-8E5E-4FD6-97C5-3F5E1BE9CAE4}" name="Zdobyte na ocenianej uczelni wykształcenie ma pozytywny wpływ na zwiększenie zarobków absolwentów." totalsRowDxfId="246"/>
    <tableColumn id="103" xr3:uid="{C2B9909A-91DF-4FB2-B673-AACC920851EA}" name="Jakie inne (poza zarobkami) efekty kształcenia na ocenianej uczelni się dostrzegasz obecnie?39" totalsRowDxfId="245"/>
    <tableColumn id="104" xr3:uid="{1F0E0013-CC4E-4656-BDA5-9028148E569A}" name="Czy jesteś aktualnie pracownikiem naukowym lub dydaktycznym uczelni wyższej?" totalsRowFunction="custom" dataDxfId="244" totalsRowDxfId="243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2"/>
    <tableColumn id="106" xr3:uid="{FAD00E10-66DF-401D-8721-330410755C4C}" name="Na jakim wydziale pracujesz?41" totalsRowDxfId="241"/>
    <tableColumn id="107" xr3:uid="{3ED79AD9-3A2A-4796-A7F7-27B53055A7C5}" name="Moja satysfakcja z pracy na ocenianej uczelni jest wysoka.42" totalsRowDxfId="240"/>
    <tableColumn id="108" xr3:uid="{88F3FD29-277A-4D3B-9F35-812F832A00F4}" name="Atmosfera w zespole współpracowników jest dobra.43" totalsRowDxfId="239"/>
    <tableColumn id="109" xr3:uid="{DC511D2A-6FF2-4B52-B52A-324E6688C5E0}" name="Moje zarobki są satysfakcjonujące.44" totalsRowDxfId="238"/>
    <tableColumn id="110" xr3:uid="{3C031862-BB50-46FB-A01C-928A7B955B19}" name="Praca na ocenianej uczelni daje mi duże szanse rozwoju.45" totalsRowDxfId="237"/>
    <tableColumn id="111" xr3:uid="{26178753-38CF-4749-A317-A1E5F425DF12}" name="Wartość wykształcenia zdobywanego przez studentów ocenianej uczelni jest wysoka.46" totalsRowDxfId="236"/>
    <tableColumn id="112" xr3:uid="{889B113B-59F9-4196-9536-C41274799622}" name="Zdobyte na ocenianej uczelni wykształcenie ma pozytywny wpływ na zwiększenie zarobków absolwentów.47" totalsRowDxfId="235"/>
    <tableColumn id="113" xr3:uid="{018446A9-87AE-432A-96CE-C29A37692C27}" name="Jakie inne (poza zarobkami) efekty kształcenia na ocenianej uczelni dostrzegasz obecnie?48" totalsRowDxfId="234"/>
    <tableColumn id="114" xr3:uid="{D11A2879-2C85-42C1-9C08-4BA4A9592DB0}" name="Czy jesteś przedstawicielem władz uczelni z grupy rektorów, prorektorów, dziekanów, prodziekanów, członków senatu lub członków rady uczelni?" totalsRowFunction="custom" dataDxfId="233" totalsRowDxfId="232">
      <totalsRowFormula>COUNTA((DL3:DL159))</totalsRowFormula>
    </tableColumn>
    <tableColumn id="115" xr3:uid="{758B3CD0-0C56-4596-8D61-D90700A05DA1}" name="Proszę podać pełnioną funkcję" totalsRowDxfId="231"/>
    <tableColumn id="116" xr3:uid="{E904AED4-A38D-42EF-9D38-709BB163A619}" name="Kolumna3" totalsRowDxfId="230"/>
    <tableColumn id="117" xr3:uid="{AF0D4680-ECCA-4738-825E-AB146FC0FF8F}" name="Kolumna4" totalsRowDxfId="229"/>
    <tableColumn id="118" xr3:uid="{65A15536-DE99-4D16-A20B-206F127C5BFB}" name="Kolumna5" totalsRowDxfId="228"/>
    <tableColumn id="119" xr3:uid="{E05782FB-7FE9-42ED-94C4-B7F653167A0F}" name="Jak się nazywa uczelnia którą będziesz oceniać (jako przedstawiciel jej władz)?" totalsRowDxfId="227"/>
    <tableColumn id="120" xr3:uid="{1B7FA187-1663-4FBF-A3C5-EA8D6A053A25}" name="Efekty działań ocenianej uczelni na rzesz jakości edukacji są dobre" totalsRowDxfId="226"/>
    <tableColumn id="121" xr3:uid="{8A6C2138-0511-4784-9BCB-D7F056FD5756}" name="Wartość wykształcenia zdobywanego przez studentów na ocenianej uczelni jest wysoka." totalsRowDxfId="225"/>
    <tableColumn id="122" xr3:uid="{33664698-CEF8-4115-B63B-828882A6D501}" name="Zdobyte przez studentów ocenianej uczelni wykształcenie miało/ma pozytywny wpływ na ich zarobki." totalsRowDxfId="224"/>
    <tableColumn id="123" xr3:uid="{6548C317-5775-47D8-8BB5-03CE96ABFB2C}" name="Efekty działań ocenianej uczelni na rzecz jakości edukacji mają dobry wpływ na rozwój regionu." totalsRowDxfId="223"/>
    <tableColumn id="124" xr3:uid="{04271A5C-5560-4CF8-90D9-89BA9B015FBC}" name="Efekty działań ocenianej uczelni na rzecz jakości edukacji mają dobry wpływ na rozwój Polski." totalsRowDxfId="222"/>
    <tableColumn id="125" xr3:uid="{123DE0DC-02B2-4F9B-BEEB-704DB06821EE}" name="Współpraca ocenianej uczelni z biznesem ma pozytywne efekty dla rozwoju regionu / kraju." totalsRowDxfId="221"/>
    <tableColumn id="126" xr3:uid="{A0DF07F0-161A-4193-A1E6-2065A1C8B63E}" name="Ogólny poziom mojej satysfakcji z jakości usług edukacyjnych ocenianej uczelni jest wysoki." totalsRowDxfId="220"/>
    <tableColumn id="127" xr3:uid="{78D52D23-A055-4089-AEA3-0D0030CEAC4A}" name="Studenci : wybierz wartość z listy rozwijanej" totalsRowDxfId="219"/>
    <tableColumn id="128" xr3:uid="{3C88D815-7B36-4940-B457-1D4916A18A9A}" name="Absolwenci : wybierz wartość z listy rozwijanej" totalsRowDxfId="218"/>
    <tableColumn id="129" xr3:uid="{B7AADA93-8D0B-47F3-BCD2-912D3D3EFF96}" name="Rodzice absolwentów : wybierz wartość z listy rozwijanej" totalsRowDxfId="217"/>
    <tableColumn id="130" xr3:uid="{2419B54D-E941-464A-ABB8-3A728F2F5596}" name="Pracownicy administracyjni : wybierz wartość z listy rozwijanej" totalsRowDxfId="216"/>
    <tableColumn id="131" xr3:uid="{BAB27B7B-2698-4085-8E82-FA14AF164B29}" name="Pracownicy naukowi i dydaktyczni : wybierz wartość z listy rozwijanej" totalsRowDxfId="215"/>
    <tableColumn id="132" xr3:uid="{6A6F970F-B3EB-4E50-9DE6-C8C4C7CAA18A}" name="Pracodawcy : wybierz wartość z listy rozwijanej" totalsRowDxfId="214"/>
    <tableColumn id="133" xr3:uid="{09A6A719-E450-4AC4-8182-90B1F383E84C}" name="Władze samorządowe i centralne : wybierz wartość z listy rozwijanej" totalsRowDxfId="213"/>
    <tableColumn id="134" xr3:uid="{2E207BF2-E2F1-4F2B-9DAE-D3B78D867559}" name="Pole dodatkowe4" totalsRowDxfId="212"/>
    <tableColumn id="135" xr3:uid="{EEB77D73-5571-4E17-8266-02BB1710B8F0}" name="Studenci : wybierz wartość z listy rozwijanej5" totalsRowDxfId="211"/>
    <tableColumn id="136" xr3:uid="{81EA592A-292B-42BA-AA88-85A430ABBA5B}" name="Absolwenci : wybierz wartość z listy rozwijanej6" totalsRowDxfId="210"/>
    <tableColumn id="137" xr3:uid="{AC693E91-1370-42E2-8C6B-A2DEAEDAD6D8}" name="Rodzice absolwentów : wybierz wartość z listy rozwijanej7" totalsRowDxfId="209"/>
    <tableColumn id="138" xr3:uid="{C972A3A6-50AF-4CF0-9221-51F3F1B825B5}" name="Pracownicy administracyjni : wybierz wartość z listy rozwijanej8" totalsRowDxfId="208"/>
    <tableColumn id="139" xr3:uid="{8A17F47D-C5DA-4436-9144-E5A1DC2CE401}" name="Pracownicy naukowi i dydaktyczni : wybierz wartość z listy rozwijanej9" totalsRowDxfId="207"/>
    <tableColumn id="140" xr3:uid="{9C9F0784-2723-4BBD-AE36-08FD5221319D}" name="Pracodawcy : wybierz wartość z listy rozwijanej10" totalsRowDxfId="206"/>
    <tableColumn id="141" xr3:uid="{AAE33EE1-D3BE-432C-9A2D-5D55BE9F26EC}" name="Władze samorządowe i centralne : wybierz wartość z listy rozwijanej11" totalsRowDxfId="205"/>
    <tableColumn id="142" xr3:uid="{C7BCF657-B75F-43D7-A19C-E0A38F71C79A}" name="Pole dodatkowe12" totalsRowDxfId="204"/>
    <tableColumn id="143" xr3:uid="{027BA0BD-D7CE-4B61-BD34-CD9336762A59}" name="Czy jesteś przedstawicielem firmy, w której są zatrudniani absolwenci uczelni wyższych (tytuł licencjata, magistra lub wyższy)?" totalsRowFunction="custom" dataDxfId="203" totalsRowDxfId="202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1"/>
    <tableColumn id="145" xr3:uid="{A9C11981-CE44-482B-9485-624EB4CFA91B}" name="Ile uczelni będziesz oceniać?" totalsRowDxfId="200"/>
    <tableColumn id="146" xr3:uid="{822F037D-C81E-4AA1-A477-75B7599C4C4E}" name="Jak się nazywa uczelnia, którą ocenisz? " totalsRowDxfId="199"/>
    <tableColumn id="147" xr3:uid="{B879E027-4001-4F17-98A9-1FF6DD06C0F9}" name="Moja satysfakcja z (efektów) usług edukacyjnych na ocenianej uczelni jest wysoka." totalsRowDxfId="198"/>
    <tableColumn id="148" xr3:uid="{887E2640-884A-454A-B596-856E217BE2DD}" name="Kompetencje absolwentów ocenianej uczelni są wysokie." totalsRowDxfId="197"/>
    <tableColumn id="149" xr3:uid="{478F5E65-AE32-4F52-99FA-3830D9323C3C}" name="Zarobki absolwentów ocenianej uczelni zatrudnionych w mojej firmie są wyższe od zarobków absolwentów innych polskich uczelni." totalsRowDxfId="196"/>
    <tableColumn id="150" xr3:uid="{E5D4AD52-FA66-4019-983E-25DC2AF5A5A8}" name="Czy w Twojej firmie są zatrudniani absolwenci uczelni w pierwszym roku po ukończeniu studiów (do 12 miesięcy od uzyskania dyplomu)?" totalsRowDxfId="195"/>
    <tableColumn id="151" xr3:uid="{FDC480C9-E39B-4D41-9995-A191329D3555}" name="Jakie kompetencje absolwentów ocenianej uczelni są w Twojej firmie najwyżej wyceniane?" totalsRowDxfId="194"/>
    <tableColumn id="152" xr3:uid="{558E6650-0292-450C-9D81-46BC7B7FA1C9}" name="Jakiego rodzaju prace wykonują absolwenci ocenianej uczelni w Twojej firmie?" totalsRowDxfId="193"/>
    <tableColumn id="153" xr3:uid="{9E8CE1F9-05B3-4737-AC9A-FAE812FD292C}" name="Czy będziesz oceniał drugą uczelnię?" totalsRowDxfId="192"/>
    <tableColumn id="154" xr3:uid="{CEB66B10-0E60-4952-A1B0-1E5C8784E791}" name="Jak się nazywa uczelnia, którą ocenisz? 13" totalsRowDxfId="191"/>
    <tableColumn id="155" xr3:uid="{2864E703-440A-477E-8352-68DEA39F85CD}" name="Moja satysfakcja z (efektów) usług edukacyjnych na ocenianej uczelni jest wysoka.14" totalsRowDxfId="190"/>
    <tableColumn id="156" xr3:uid="{B38513D8-CC85-41E0-85A1-82AC6807323C}" name="Kompetencje absolwentów ocenianej uczelni są wysokie.15" totalsRowDxfId="189"/>
    <tableColumn id="157" xr3:uid="{204ADF47-FBCC-47A6-95D9-5D3E03854768}" name="Zarobki absolwentów ocenianej uczelni zatrudnionych w mojej firmie są wyższe od zarobków absolwentów innych polskich uczelni.16" totalsRowDxfId="188"/>
    <tableColumn id="158" xr3:uid="{7E6A13F3-C53A-4FC9-B3AE-9EA25D9CBCE6}" name="Czy w Twojej firmie są zatrudniani absolwenci uczelni w pierwszym roku po ukończeniu studiów (do 12 miesięcy od uzyskania dyplomu)?17" totalsRowDxfId="187"/>
    <tableColumn id="159" xr3:uid="{83E7A1CC-295A-477E-8CD0-1E43143ACFF6}" name="Jakie kompetencje absolwentów ocenianej uczelni są w Twojej firmie najwyżej wyceniane?18" totalsRowDxfId="186"/>
    <tableColumn id="160" xr3:uid="{C3F49389-F342-4110-8A16-536B6EC87EC2}" name="Jakiego rodzaju prace wykonują absolwenci ocenianej uczelni w Twojej firmie?19" totalsRowDxfId="185"/>
    <tableColumn id="161" xr3:uid="{2BBFB49D-5EDF-4AC5-9179-70BCC6FA0B96}" name="Czy będziesz oceniał trzecią uczelnię techniczną?" totalsRowDxfId="184"/>
    <tableColumn id="162" xr3:uid="{829F7D1E-D133-43C4-A756-6D0B7542D44F}" name="Jak się nazywa uczelnia, którą ocenisz? 20" totalsRowDxfId="183"/>
    <tableColumn id="163" xr3:uid="{8758E395-9800-4CA8-BF43-3BFBF9507549}" name="Moja satysfakcja z (efektów) usług edukacyjnych na ocenianej uczelni jest wysoka.21" totalsRowDxfId="182"/>
    <tableColumn id="164" xr3:uid="{14ABF48C-A9EC-4153-B011-421959501B3A}" name="Kompetencje absolwentów ocenianej uczelni są wysokie.22" totalsRowDxfId="181"/>
    <tableColumn id="165" xr3:uid="{E8A014C5-F146-4C5D-B50B-6E968A7F8B46}" name="Zarobki absolwentów ocenianej uczelni zatrudnionych w mojej firmie są wyższe od zarobków absolwentów innych polskich uczelni.23" totalsRowDxfId="180"/>
    <tableColumn id="166" xr3:uid="{1FF6D355-AF16-4EB9-8805-4741E5F2867E}" name="Czy w Twojej firmie są zatrudniani absolwenci uczelni w pierwszym roku po ukończeniu studiów (do 12 miesięcy od uzyskania dyplomu)?24" totalsRowDxfId="179"/>
    <tableColumn id="167" xr3:uid="{71809E9D-42EC-47FD-9E58-0596DB8FD07D}" name="Jakie kompetencje absolwentów ocenianej uczelni są w Twojej firmie najwyżej wyceniane?25" totalsRowDxfId="178"/>
    <tableColumn id="168" xr3:uid="{6CA2A8B4-3095-459E-BDF0-43522EA7E403}" name="Jakiego rodzaju prace wykonują absolwenci ocenianej uczelni są w Twojej firmie?" totalsRowDxfId="177"/>
    <tableColumn id="169" xr3:uid="{6AEC3D33-E058-4E5E-AEC6-C091FCB970C9}" name="Czy jesteś przedstawicielem władz samorządowych lub centralnych Rzeczypospolitej Polskiej?" totalsRowFunction="custom" dataDxfId="176" totalsRowDxfId="175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74">
      <totalsRowFormula>COUNTA((GZ3:GZ159))</totalsRowFormula>
    </tableColumn>
    <tableColumn id="207" xr3:uid="{17374C0D-5C50-4F2D-9998-48F1A5105C49}" name="Rok urodzenia" totalsRowFunction="custom" totalsRowDxfId="173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2">
      <totalsRowFormula>COUNTA((HB3:HB159))</totalsRowFormula>
    </tableColumn>
    <tableColumn id="209" xr3:uid="{12CD2E72-E534-4809-A75E-AF29F5F5F088}" name="Pole dodatkowe52" totalsRowFunction="custom" totalsRowDxfId="171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0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69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68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66" totalsRowDxfId="165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64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3" totalsRowDxfId="162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1"/>
    <tableColumn id="16" xr3:uid="{AA3DBEFA-9D73-475E-A9A5-2D42522C9072}" name="Czy studiujesz na kierunku technicznym, tzn. takim, po którym uzyskasz tytuł inżyniera?" totalsRowDxfId="160"/>
    <tableColumn id="17" xr3:uid="{8AAAEBAF-D354-47D3-8A57-BF9F06131A1E}" name="Jak się nazywa kierunek, na którym studiujesz?" totalsRowDxfId="159"/>
    <tableColumn id="18" xr3:uid="{CD9C7D41-ABD7-4C41-89ED-89A659BAC655}" name="Moja satysfakcja z usług edukacyjnych ocenianej uczelni jest wysoka." totalsRowDxfId="158"/>
    <tableColumn id="19" xr3:uid="{31FED63E-2530-44F3-A0E2-6B96989E02A8}" name="Usługi edukacyjne ocenianej uczelni mają wysoką wartość (okazja / szansa rozwoju własnego lub kariery)." totalsRowDxfId="157"/>
    <tableColumn id="20" xr3:uid="{378DDC9B-58A3-4DE4-A300-A19FD721A037}" name="Kształcenie na ocenianej uczelni ma/będzie miało pozytywny wpływ na zwiększenie moich zarobków." totalsRowDxfId="156"/>
    <tableColumn id="21" xr3:uid="{C6A24480-7451-49D9-8645-BC69D7F99331}" name="Kolumna1" totalsRowDxfId="155"/>
    <tableColumn id="22" xr3:uid="{D80E567D-CCDD-4B11-B18B-072D893C7687}" name="w pierwszym roku po ukończeniu studiów : wybierz wartość z listy rozwijanej" totalsRowDxfId="154"/>
    <tableColumn id="23" xr3:uid="{CF51D676-6C20-46B0-A565-D78CD8D4C947}" name="w 3 lata po ukończeniu studiów : wybierz wartość z listy rozwijanej" totalsRowDxfId="153"/>
    <tableColumn id="24" xr3:uid="{0F1B2099-4D7F-463D-AC59-617503BC5E14}" name="Jakich innych (poza zarobkami) efektów kształcenia na ocenianej uczelni się spodziewasz?" totalsRowDxfId="152"/>
    <tableColumn id="25" xr3:uid="{35D57207-52B7-455E-A9ED-A6AD95338EC7}" name="Co wpływa na Twoją satysfakcję ze studiowania?" totalsRowDxfId="151"/>
    <tableColumn id="26" xr3:uid="{CAD83457-32FA-404F-A708-C1B3C759AC6E}" name="Kolumna2" totalsRowDxfId="150"/>
    <tableColumn id="27" xr3:uid="{ADC35906-6D65-48D1-81AC-C4B4957B05D5}" name="Jakiego rodzaju są Twoje studia?" totalsRowDxfId="149"/>
    <tableColumn id="28" xr3:uid="{E068B642-DF74-4CAA-A88E-B517DC5FC386}" name="Pole dodatkowe" totalsRowDxfId="148"/>
    <tableColumn id="29" xr3:uid="{38F90488-07A7-4B7C-882D-784B03584081}" name="Na którym semestrze studiujesz obecnie?" totalsRowDxfId="147"/>
    <tableColumn id="30" xr3:uid="{5A578F2D-0AA4-4797-8F97-B23C8F9552C7}" name="Czy jesteś absolwentem uczelni wyższej?" totalsRowFunction="custom" dataDxfId="146" totalsRowDxfId="145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44"/>
    <tableColumn id="32" xr3:uid="{E591DDF7-3A8B-45B3-9972-7C4BB854C0A9}" name="W którym roku ukończyłaś/eś studia (rok w którym uzyskano dyplom ukończenia studiów drugiego stopnia, albo pierwszego stopnia, jeśli nie uzyskano dyplomu 2. stopnia)?" totalsRowDxfId="143"/>
    <tableColumn id="33" xr3:uid="{B826B930-988D-4AF8-9D52-5EF6AF6A7F20}" name="Czy ukończony kierunek był kierunkiem technicznym, tzn. takim, po którym uzyskałaś/eś tytuł inżyniera?" totalsRowDxfId="142"/>
    <tableColumn id="34" xr3:uid="{0507FF43-58D2-4683-81A2-9CE2C2FA5844}" name="Jak się nazywa kierunek, który ukończyłaś/eś?" totalsRowDxfId="141"/>
    <tableColumn id="35" xr3:uid="{AC65CB7E-A5EF-4C79-B96D-EA85400721B9}" name="Moja satysfakcja z (efektów) usług edukacyjnych ocenianej uczelni jest wysoka." totalsRowDxfId="140"/>
    <tableColumn id="36" xr3:uid="{36BB94DA-A6A2-46AA-A0C4-3AAE4ADCC084}" name="Usługi edukacyjne ocenianej uczelni mają wysoką wartość (okazja / szansa rozwoju własnego lub kariery).3" totalsRowDxfId="139"/>
    <tableColumn id="37" xr3:uid="{46DF242C-10FA-47FE-BC6B-045B295812CA}" name="Kształcenie na ocenianej uczelni ma/miało pozytywny wpływ na zwiększenie moich zarobków." totalsRowDxfId="138"/>
    <tableColumn id="38" xr3:uid="{22DB960F-1A91-4EB9-90EA-0C8BB104EBCF}" name="Moje zarobki w pierwszym roku po ukończeniu studiów były satysfakcjonujące." totalsRowDxfId="137"/>
    <tableColumn id="39" xr3:uid="{1AC1C2EA-FD9C-42F6-8732-E88F90068CC4}" name="Moje zarobki po 3. latach po ukończeniu studiów były satysfakcjonujące." totalsRowDxfId="136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35"/>
    <tableColumn id="41" xr3:uid="{53D325CD-E5E6-4C9E-81B0-775315EF4E8E}" name="w pierwszym roku po ukończeniu studiów : wybierz wartość z listy rozwijanej4" totalsRowDxfId="134"/>
    <tableColumn id="42" xr3:uid="{A6B799C8-D5F2-4C68-B71E-F83C3A6075B7}" name="w 3 lata po ukończeniu studiów : wybierz wartość z listy rozwijanej5" totalsRowDxfId="133"/>
    <tableColumn id="43" xr3:uid="{BC589F24-9BD1-4C2F-9397-D51311E5EC39}" name="Jakie inne (poza zarobkami) efekty kształcenia na ocenianej uczelni dostrzegasz obecnie?" totalsRowDxfId="132"/>
    <tableColumn id="44" xr3:uid="{A11C2A67-EC51-4621-92CF-198235F6DDC5}" name="Co wpływało na twoją satysfakcję ze studiowania?_x000a_" totalsRowDxfId="131"/>
    <tableColumn id="45" xr3:uid="{D388932F-1A0A-4689-AB91-4A4F282D3CA9}" name="Kolumna6" totalsRowDxfId="130"/>
    <tableColumn id="46" xr3:uid="{F488CAF2-B800-439E-8332-DDBED1146AB6}" name="Jakiego rodzaju były Twoje studia?" totalsRowDxfId="129"/>
    <tableColumn id="47" xr3:uid="{00FDD7E1-EBD3-4653-98C4-D74FA980AF99}" name="Pole dodatkowe7" totalsRowDxfId="128"/>
    <tableColumn id="48" xr3:uid="{E33AE7B1-7892-48E4-9DBC-AE5EF9034B4E}" name="Czy jesteś rodzicem / opiekunem absolwenta uczelni wyższej?" totalsRowFunction="custom" dataDxfId="127" totalsRowDxfId="126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25"/>
    <tableColumn id="50" xr3:uid="{6BB0F22F-B640-446D-B936-91DFADFA81F1}" name="Jak się nazywa uczelnia, którą ukończył/a Twoja/Twój podopieczna/podopieczny? (proszę o wybranie jednej uczelni podlegającej ocenie)" totalsRowDxfId="124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3"/>
    <tableColumn id="52" xr3:uid="{26244E73-3F31-4ED7-99CC-718C75773980}" name="Czy ukończony kierunek był kierunkiem technicznym, tzn. takim, po którym uzyskano tytuł inżyniera?" totalsRowDxfId="122"/>
    <tableColumn id="53" xr3:uid="{F00033CF-BE1C-4649-B99E-A3FC496AF05C}" name="Jak się nazywa kierunek, który ukończył/a Twoja/Twój podopieczna/podopieczny?" totalsRowDxfId="121"/>
    <tableColumn id="54" xr3:uid="{8AE8E0B0-E59A-4253-8E89-6503DDEE44E9}" name="Moja satysfakcja z (efektów) usług edukacyjnych ocenianej uczelni jest wysoka.8" totalsRowDxfId="120"/>
    <tableColumn id="55" xr3:uid="{D72C8628-4CEE-4A6D-BD58-0114E59C605E}" name="Usługi edukacyjne ocenianej uczelni mają wysoką wartość (okazja / szansa rozwoju własnego lub kariery).9" totalsRowDxfId="119"/>
    <tableColumn id="56" xr3:uid="{53B5753F-3212-43BB-931D-3559FF6976DF}" name="Kształcenie na ocenianej uczelni ma/będzie miało pozytywny wpływ na zwiększenie zarobków mojej/mojego podopiecznej/podopiecznego." totalsRowDxfId="118"/>
    <tableColumn id="57" xr3:uid="{A9563BF9-19A1-46BF-9F31-4690E6A2385C}" name="Zarobki uzyskiwane przez mojego/moją podopieczną/podopiecznego w pierwszym roku po ukończeniu studiów były satysfakcjonujące (z mojego punktu widzenia)" totalsRowDxfId="117"/>
    <tableColumn id="58" xr3:uid="{BCC66B2D-86FD-4227-A5E9-2164B45893B0}" name="Zarobki uzyskiwane przez mojego/moją podopieczną/podopiecznego w 3 lata po ukończeniu studiów były satysfakcjonujące (z mojego punktu widzenia)" totalsRowDxfId="116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15"/>
    <tableColumn id="60" xr3:uid="{94345A4F-9EAB-4FE8-A337-CCC43CF7D9D3}" name="Jakie inne (poza zarobkami) efekty kształcenia na ocenianej uczelni się dostrzegasz obecnie?" totalsRowDxfId="114"/>
    <tableColumn id="61" xr3:uid="{05A46EBB-09E0-4294-881F-C45E3B66E515}" name="Jakiego rodzaju były studia, które ukończył/a Twoja/Twój podopieczna/podopieczny?" totalsRowDxfId="113"/>
    <tableColumn id="62" xr3:uid="{FE0A86D0-775F-435F-8B90-2A7B29B0B462}" name="Pole dodatkowe10" totalsRowDxfId="112"/>
    <tableColumn id="63" xr3:uid="{3C426FB0-5F3F-46C5-9E34-DD901FAA5A82}" name="Jeśli Twoja/Twój podopieczna/podopieczny ukończył/a również inne szkoły / kierunki studiów to proszę wpisz je tutaj." totalsRowDxfId="111"/>
    <tableColumn id="64" xr3:uid="{7B6238C1-79C7-4C59-B174-F693B78A54C8}" name="Czy będziesz oceniał uczelnię ukończoną przez drugiego podopiecznego?" totalsRowDxfId="110"/>
    <tableColumn id="65" xr3:uid="{72E69603-FDA8-458A-B355-C3F6177E2961}" name="Jak się nazywa uczelnia, którą ukończył/a Twoja/Twój podopieczna/podopieczny? (proszę o wybranie jednej uczelni podlegającej ocenie)11" totalsRowDxfId="109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08"/>
    <tableColumn id="67" xr3:uid="{51123307-FDE7-45CE-81D3-F8045A68CEB5}" name="Czy ukończony kierunek był kierunkiem technicznym, tzn. takim, po którym uzyskano tytuł inżyniera?13" totalsRowDxfId="107"/>
    <tableColumn id="68" xr3:uid="{E4E7F2FA-608F-4A76-95F9-FC633CF4A850}" name="Jak się nazywa kierunek, który ukończył/a Twoja/Twój podopieczna/podopieczny?14" totalsRowDxfId="106"/>
    <tableColumn id="69" xr3:uid="{2E0E2D92-CA45-4C29-AD1B-4107E60D2F5C}" name="Moja satysfakcja z (efektów) usług edukacyjnych ocenianej uczelni jest wysoka.15" totalsRowDxfId="105"/>
    <tableColumn id="70" xr3:uid="{22160B39-79EF-424B-9B2E-4205C1098DC4}" name="Usługi edukacyjne ocenianej uczelni mają wysoką wartość (okazja / szansa rozwoju własnego lub kariery).16" totalsRowDxfId="104"/>
    <tableColumn id="71" xr3:uid="{C5566328-CB9E-4672-AFA5-9A52C7FB1583}" name="Kształcenie na ocenianej uczelni ma/będzie miało pozytywny wpływ na zwiększenie zarobków mojej/mojego podopiecznej/podopiecznego.17" totalsRowDxfId="103"/>
    <tableColumn id="72" xr3:uid="{ED11287D-6F12-40C0-8EAE-0190C96B2475}" name="Zarobki uzyskiwane przez mojego/moją podopieczną/podopiecznego w pierwszym roku po ukończeniu studiów były satysfakcjonujące (z mojego punktu widzenia)18" totalsRowDxfId="102"/>
    <tableColumn id="73" xr3:uid="{5767066B-CB1E-4AC7-93CC-8721926057A1}" name="Zarobki uzyskiwane przez mojego/moją podopieczną/podopiecznego w 3 lata po ukończeniu studiów były satysfakcjonujące (z mojego punktu widzenia)19" totalsRowDxfId="101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0"/>
    <tableColumn id="75" xr3:uid="{91099E12-4AAE-4B3A-8B21-456B23B8E9C4}" name="Jakie inne (poza zarobkami) efekty kształcenia na ocenianej uczelni się dostrzegasz obecnie?21" totalsRowDxfId="99"/>
    <tableColumn id="76" xr3:uid="{F99FCD0E-141B-4162-9375-D912B829669B}" name="Jakiego rodzaju były studia, które ukończył/a Twoja/Twój podopieczna/podopieczny?22" totalsRowDxfId="98"/>
    <tableColumn id="77" xr3:uid="{9A935095-7069-4B79-9C19-ABCE05DB2953}" name="Pole dodatkowe23" totalsRowDxfId="97"/>
    <tableColumn id="78" xr3:uid="{73C50495-9837-4BA7-BE74-ED58E001D39F}" name="Jeśli Twoja/Twój podopieczna/podopieczny ukończył/a również inne szkoły / kierunki studiów to proszę wpisz je tutaj.24" totalsRowDxfId="96"/>
    <tableColumn id="79" xr3:uid="{2D9E6799-1116-4EBA-A4A6-EC67B715E65E}" name="Czy będziesz oceniał uczelnię ukończoną przez trzeciego podopiecznego?" totalsRowDxfId="95"/>
    <tableColumn id="80" xr3:uid="{98900E64-17FE-4566-98C9-57CB606D4413}" name="Jak się nazywa uczelnia, którą ukończył/a Twoja/Twój podopieczna/podopieczny? (proszę o wybranie jednej uczelni podlegającej ocenie)25" totalsRowDxfId="94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3"/>
    <tableColumn id="82" xr3:uid="{367FC414-3E67-4B03-A303-77F5139ABED4}" name="Czy ukończony kierunek był kierunkiem technicznym, tzn. takim, po którym uzyskano tytuł inżyniera?27" totalsRowDxfId="92"/>
    <tableColumn id="83" xr3:uid="{641F2969-C09A-425E-81A7-806949B38666}" name="Jak się nazywa kierunek, który ukończył/a Twoja/Twój podopieczna/podopieczny?28" totalsRowDxfId="91"/>
    <tableColumn id="84" xr3:uid="{6B2F3F5A-F4BF-41A2-85FA-BAC6E179E9A9}" name="Moja satysfakcja z (efektów) usług edukacyjnych ocenianej uczelni jest wysoka.29" totalsRowDxfId="90"/>
    <tableColumn id="85" xr3:uid="{792FE0EC-454A-47B2-9DEE-09E82A55AC5F}" name="Usługi edukacyjne ocenianej uczelni mają wysoką wartość (okazja / szansa rozwoju własnego lub kariery).30" totalsRowDxfId="89"/>
    <tableColumn id="86" xr3:uid="{4BD46113-3AB9-405D-8A53-F153B50E863D}" name="Kształcenie na ocenianej uczelni ma/będzie miało pozytywny wpływ na zwiększenie zarobków mojej/mojego podopiecznej/podopiecznego.31" totalsRowDxfId="88"/>
    <tableColumn id="87" xr3:uid="{4CA1C5A8-3427-428B-B7BA-106EBBA85C17}" name="Zarobki uzyskiwane przez mojego/moją podopieczną/podopiecznego w pierwszym roku po ukończeniu studiów były satysfakcjonujące (z mojego punktu widzenia)32" totalsRowDxfId="87"/>
    <tableColumn id="88" xr3:uid="{C37B06BC-EDB5-471E-9C95-05232AC9EACD}" name="Zarobki uzyskiwane przez mojego/moją podopieczną/podopiecznego w 3 lata po ukończeniu studiów były satysfakcjonujące (z mojego punktu widzenia)33" totalsRowDxfId="86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85"/>
    <tableColumn id="90" xr3:uid="{CEEBCBE8-4DF4-40BE-ADF0-2750A2BF2609}" name="Jakie inne (poza zarobkami) efekty kształcenia na ocenianej uczelni się dostrzegasz obecnie?35" totalsRowDxfId="84"/>
    <tableColumn id="91" xr3:uid="{F1A613DC-A59A-419D-8838-D041B4273E91}" name="Jakiego rodzaju były studia, które ukończył/a Twoja/Twój podopieczna/podopieczny?36" totalsRowDxfId="83"/>
    <tableColumn id="92" xr3:uid="{E26BB465-B221-4E80-9D41-43786B72F743}" name="Pole dodatkowe37" totalsRowDxfId="82"/>
    <tableColumn id="93" xr3:uid="{12E07FC6-6ACA-44C4-A376-689F504EB460}" name="Jeśli Twoja/Twój podopieczna/podopieczny ukończył/a również inne szkoły / kierunki studiów to proszę wpisz je tutaj.38" totalsRowDxfId="81"/>
    <tableColumn id="94" xr3:uid="{4FBA703D-33E9-44C4-BD22-B3FC7B168C76}" name="Czy jesteś aktualnie pracownikiem administracyjnym uczelni wyższej?" totalsRowFunction="custom" dataDxfId="80" totalsRowDxfId="79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78"/>
    <tableColumn id="96" xr3:uid="{43902112-5836-47AC-AA75-A65F0D4C7817}" name="Na jakim wydziale pracujesz?" totalsRowDxfId="77"/>
    <tableColumn id="97" xr3:uid="{68D4A5FB-B6F1-410C-BBCE-5D895E75D7EF}" name="Moja satysfakcja z pracy na ocenianej uczelni jest wysoka." totalsRowDxfId="76"/>
    <tableColumn id="98" xr3:uid="{097FDF01-C103-4396-9EE5-DC463D453E58}" name="Atmosfera w zespole współpracowników jest dobra." totalsRowDxfId="75"/>
    <tableColumn id="99" xr3:uid="{5B99CA3A-6D7C-4D3E-B448-2EDAF4856B42}" name="Moje zarobki są satysfakcjonujące." totalsRowDxfId="74"/>
    <tableColumn id="100" xr3:uid="{90B0699F-2BC7-4D96-9800-8B1DB165F81E}" name="Praca na ocenianej uczelni daje mi duże szanse rozwoju." totalsRowDxfId="73"/>
    <tableColumn id="101" xr3:uid="{5CB95189-87A6-4F97-B291-A05336B23F22}" name="Wartość wykształcenia zdobywanego przez studentów ocenianej uczelni jest wysoka." totalsRowDxfId="72"/>
    <tableColumn id="102" xr3:uid="{056CF7BB-B947-41A0-AC24-42A1CBCF15BD}" name="Zdobyte na ocenianej uczelni wykształcenie ma pozytywny wpływ na zwiększenie zarobków absolwentów." totalsRowDxfId="71"/>
    <tableColumn id="103" xr3:uid="{2AB65CA7-05ED-4EB7-B603-B864E6D6745F}" name="Jakie inne (poza zarobkami) efekty kształcenia na ocenianej uczelni się dostrzegasz obecnie?39" totalsRowDxfId="70"/>
    <tableColumn id="104" xr3:uid="{DC472BA3-8D88-44A6-B5C1-5BF9558627FA}" name="Czy jesteś aktualnie pracownikiem naukowym lub dydaktycznym uczelni wyższej?" totalsRowFunction="custom" dataDxfId="69" totalsRowDxfId="68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67"/>
    <tableColumn id="106" xr3:uid="{2E39D77C-CC0F-41F1-8F10-30523EA3DE78}" name="Na jakim wydziale pracujesz?41" totalsRowDxfId="66"/>
    <tableColumn id="107" xr3:uid="{B9CFBDFF-9DC1-4556-855E-D4463D760A19}" name="Moja satysfakcja z pracy na ocenianej uczelni jest wysoka.42" totalsRowDxfId="65"/>
    <tableColumn id="108" xr3:uid="{158CA86A-249B-4193-A207-D38756E887C7}" name="Atmosfera w zespole współpracowników jest dobra.43" totalsRowDxfId="64"/>
    <tableColumn id="109" xr3:uid="{AC3090A9-EC3C-4C62-8AA9-F261EAB7887F}" name="Moje zarobki są satysfakcjonujące.44" totalsRowDxfId="63"/>
    <tableColumn id="110" xr3:uid="{9E04970F-962C-490E-A570-2D0912A5E57D}" name="Praca na ocenianej uczelni daje mi duże szanse rozwoju.45" totalsRowDxfId="62"/>
    <tableColumn id="111" xr3:uid="{C148AE52-9ADC-45EF-8DBC-27F0F1F05355}" name="Wartość wykształcenia zdobywanego przez studentów ocenianej uczelni jest wysoka.46" totalsRowDxfId="61"/>
    <tableColumn id="112" xr3:uid="{63921520-0FA3-4905-ACEB-02AFFB69B471}" name="Zdobyte na ocenianej uczelni wykształcenie ma pozytywny wpływ na zwiększenie zarobków absolwentów.47" totalsRowDxfId="60"/>
    <tableColumn id="113" xr3:uid="{E32B227A-B5B2-41A4-9CEB-B75A56696D75}" name="Jakie inne (poza zarobkami) efekty kształcenia na ocenianej uczelni dostrzegasz obecnie?48" totalsRowDxfId="59"/>
    <tableColumn id="114" xr3:uid="{98E95A67-6B14-4A2E-AB34-682AE1A049DC}" name="Czy jesteś przedstawicielem władz uczelni z grupy rektorów, prorektorów, dziekanów, prodziekanów, członków senatu lub członków rady uczelni?" totalsRowFunction="custom" dataDxfId="58" totalsRowDxfId="57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56"/>
    <tableColumn id="116" xr3:uid="{55CD3327-D03D-49EA-AD7A-8A8492F8FF76}" name="Kolumna3" totalsRowDxfId="55"/>
    <tableColumn id="117" xr3:uid="{BF356D61-903B-4604-89F3-2B471880C5B8}" name="Kolumna4" totalsRowDxfId="54"/>
    <tableColumn id="118" xr3:uid="{7173EDEB-5382-4DCE-AA15-A72B322560D6}" name="Kolumna5" totalsRowDxfId="53"/>
    <tableColumn id="119" xr3:uid="{6200F07F-FA1F-4A3F-B8ED-B934678483AF}" name="Jak się nazywa uczelnia którą będziesz oceniać (jako przedstawiciel jej władz)?" totalsRowDxfId="52"/>
    <tableColumn id="120" xr3:uid="{E6250DE6-1A12-41F3-90EE-1B4F673F6E58}" name="Efekty działań ocenianej uczelni na rzesz jakości edukacji są dobre" totalsRowDxfId="51"/>
    <tableColumn id="121" xr3:uid="{8AE05FEE-B731-4F93-90B6-915E5774E346}" name="Wartość wykształcenia zdobywanego przez studentów na ocenianej uczelni jest wysoka." totalsRowDxfId="50"/>
    <tableColumn id="122" xr3:uid="{E115058D-8C9C-450E-8DA2-D64EB971F57D}" name="Zdobyte przez studentów ocenianej uczelni wykształcenie miało/ma pozytywny wpływ na ich zarobki." totalsRowDxfId="49"/>
    <tableColumn id="123" xr3:uid="{6FEBB446-227D-4EA1-B507-206156E53809}" name="Efekty działań ocenianej uczelni na rzecz jakości edukacji mają dobry wpływ na rozwój regionu." totalsRowDxfId="48"/>
    <tableColumn id="124" xr3:uid="{01E38E74-9E44-4BFF-97FF-3B0FF3F7CDD0}" name="Efekty działań ocenianej uczelni na rzecz jakości edukacji mają dobry wpływ na rozwój Polski." totalsRowDxfId="47"/>
    <tableColumn id="125" xr3:uid="{F17A6FA5-F0F2-48AD-B639-9161F59ACD49}" name="Współpraca ocenianej uczelni z biznesem ma pozytywne efekty dla rozwoju regionu / kraju." totalsRowDxfId="46"/>
    <tableColumn id="126" xr3:uid="{81D0BDE5-B5BD-41AD-AE49-0F05E206FF4F}" name="Ogólny poziom mojej satysfakcji z jakości usług edukacyjnych ocenianej uczelni jest wysoki." totalsRowDxfId="45"/>
    <tableColumn id="127" xr3:uid="{E1B74221-E8AC-4764-9FBA-17BC7A8DAB4F}" name="Studenci : wybierz wartość z listy rozwijanej" totalsRowDxfId="44"/>
    <tableColumn id="128" xr3:uid="{9521E128-6D78-41F6-9BED-3F1F3009376D}" name="Absolwenci : wybierz wartość z listy rozwijanej" totalsRowDxfId="43"/>
    <tableColumn id="129" xr3:uid="{F972B7F0-4237-45DD-B8D9-6E5F80BC382C}" name="Rodzice absolwentów : wybierz wartość z listy rozwijanej" totalsRowDxfId="42"/>
    <tableColumn id="130" xr3:uid="{D18127FA-4AAC-43F7-8718-648B089DA3AE}" name="Pracownicy administracyjni : wybierz wartość z listy rozwijanej" totalsRowDxfId="41"/>
    <tableColumn id="131" xr3:uid="{9AD30943-8FF3-4081-BC52-0A68F33FA1E6}" name="Pracownicy naukowi i dydaktyczni : wybierz wartość z listy rozwijanej" totalsRowDxfId="40"/>
    <tableColumn id="132" xr3:uid="{F15383FF-5030-41F2-B790-DA1B9ACCD614}" name="Pracodawcy : wybierz wartość z listy rozwijanej" totalsRowDxfId="39"/>
    <tableColumn id="133" xr3:uid="{A113041C-1CEA-48AE-A9F9-6427226B931F}" name="Władze samorządowe i centralne : wybierz wartość z listy rozwijanej" totalsRowDxfId="38"/>
    <tableColumn id="134" xr3:uid="{2391059C-06A8-4E9F-9A30-2923C913E592}" name="Pole dodatkowe4" totalsRowDxfId="37"/>
    <tableColumn id="135" xr3:uid="{87323607-8918-4675-942B-66DDA6ACC52D}" name="Studenci : wybierz wartość z listy rozwijanej5" totalsRowDxfId="36"/>
    <tableColumn id="136" xr3:uid="{575464E3-342E-4010-A0B5-F16E0DA7F25D}" name="Absolwenci : wybierz wartość z listy rozwijanej6" totalsRowDxfId="35"/>
    <tableColumn id="137" xr3:uid="{3C4E7A29-9534-46F7-9E09-353DAEA57455}" name="Rodzice absolwentów : wybierz wartość z listy rozwijanej7" totalsRowDxfId="34"/>
    <tableColumn id="138" xr3:uid="{5EFF4867-813D-4D19-AFD2-41795D704E9D}" name="Pracownicy administracyjni : wybierz wartość z listy rozwijanej8" totalsRowDxfId="33"/>
    <tableColumn id="139" xr3:uid="{BD3A3545-6744-40C8-B6F9-128B604A0016}" name="Pracownicy naukowi i dydaktyczni : wybierz wartość z listy rozwijanej9" totalsRowDxfId="32"/>
    <tableColumn id="140" xr3:uid="{A370427A-746A-432F-8439-DE3E0F05E90C}" name="Pracodawcy : wybierz wartość z listy rozwijanej10" totalsRowDxfId="31"/>
    <tableColumn id="141" xr3:uid="{A6D0879A-E0B6-4F9C-B8AB-CCB9C168853D}" name="Władze samorządowe i centralne : wybierz wartość z listy rozwijanej11" totalsRowDxfId="30"/>
    <tableColumn id="142" xr3:uid="{ED69D784-3A72-4212-8A94-FFF937BB5636}" name="Pole dodatkowe12" totalsRowDxfId="29"/>
    <tableColumn id="143" xr3:uid="{F9376235-C8DC-451D-B95A-275409F154F3}" name="Czy jesteś przedstawicielem firmy, w której są zatrudniani absolwenci uczelni wyższych (tytuł licencjata, magistra lub wyższy)?" totalsRowFunction="custom" dataDxfId="28" totalsRowDxfId="27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26"/>
    <tableColumn id="145" xr3:uid="{FEA12265-815B-4115-947C-C4D7389958E8}" name="Ile uczelni będziesz oceniać?" totalsRowDxfId="25"/>
    <tableColumn id="146" xr3:uid="{26F5BBF0-E63C-4FC8-A2F3-F0ADC728D5E4}" name="Jak się nazywa uczelnia, którą ocenisz? " totalsRowDxfId="24"/>
    <tableColumn id="147" xr3:uid="{61714612-8B24-4377-BCF5-066C33634E6F}" name="Moja satysfakcja z (efektów) usług edukacyjnych na ocenianej uczelni jest wysoka." totalsRowDxfId="23"/>
    <tableColumn id="148" xr3:uid="{043BF385-CFC6-4AC5-BD7D-2DC21351418F}" name="Kompetencje absolwentów ocenianej uczelni są wysokie." totalsRowDxfId="22"/>
    <tableColumn id="149" xr3:uid="{35B1450E-E76E-4137-923C-C1196FE6A242}" name="Zarobki absolwentów ocenianej uczelni zatrudnionych w mojej firmie są wyższe od zarobków absolwentów innych polskich uczelni." totalsRowDxfId="21"/>
    <tableColumn id="150" xr3:uid="{46264593-E5FF-4A8E-9E32-B5CDAD83DB38}" name="Czy w Twojej firmie są zatrudniani absolwenci uczelni w pierwszym roku po ukończeniu studiów (do 12 miesięcy od uzyskania dyplomu)?" totalsRowDxfId="20"/>
    <tableColumn id="151" xr3:uid="{AFEC3724-7638-4FBB-9B74-E3C5F372DFD7}" name="Jakie kompetencje absolwentów ocenianej uczelni są w Twojej firmie najwyżej wyceniane?" totalsRowDxfId="19"/>
    <tableColumn id="152" xr3:uid="{7C41F20E-87DA-419A-A4DC-8FC7E15280E1}" name="Jakiego rodzaju prace wykonują absolwenci ocenianej uczelni w Twojej firmie?" totalsRowDxfId="18"/>
    <tableColumn id="153" xr3:uid="{A53B26E4-0EB5-4875-918F-C84DFA999490}" name="Czy będziesz oceniał drugą uczelnię?" totalsRowDxfId="17"/>
    <tableColumn id="154" xr3:uid="{C51996BB-6F72-462D-AF3A-889816D9376D}" name="Jak się nazywa uczelnia, którą ocenisz? 13" totalsRowDxfId="16"/>
    <tableColumn id="155" xr3:uid="{C4DC7D31-6CB7-4667-BEF7-8EFAA1443E26}" name="Moja satysfakcja z (efektów) usług edukacyjnych na ocenianej uczelni jest wysoka.14" totalsRowDxfId="15"/>
    <tableColumn id="156" xr3:uid="{6BE5AEB2-D87C-4FAD-8A78-12F3665EA35B}" name="Kompetencje absolwentów ocenianej uczelni są wysokie.15" totalsRowDxfId="14"/>
    <tableColumn id="157" xr3:uid="{E68B03D6-C361-4634-B98C-870BC31CEDD8}" name="Zarobki absolwentów ocenianej uczelni zatrudnionych w mojej firmie są wyższe od zarobków absolwentów innych polskich uczelni.16" totalsRowDxfId="13"/>
    <tableColumn id="158" xr3:uid="{7AE77260-6064-4321-A8D8-8F0B2D560514}" name="Czy w Twojej firmie są zatrudniani absolwenci uczelni w pierwszym roku po ukończeniu studiów (do 12 miesięcy od uzyskania dyplomu)?17" totalsRowDxfId="12"/>
    <tableColumn id="159" xr3:uid="{02179DC7-236C-405B-9717-3820DB37DCDE}" name="Jakie kompetencje absolwentów ocenianej uczelni są w Twojej firmie najwyżej wyceniane?18" totalsRowDxfId="11"/>
    <tableColumn id="160" xr3:uid="{ACD9DA00-A265-43F3-A8CD-4AB9D52D21A7}" name="Jakiego rodzaju prace wykonują absolwenci ocenianej uczelni w Twojej firmie?19" totalsRowDxfId="10"/>
    <tableColumn id="161" xr3:uid="{40C65435-9246-41B9-9D13-8617AD0D615B}" name="Czy będziesz oceniał trzecią uczelnię techniczną?" totalsRowDxfId="9"/>
    <tableColumn id="162" xr3:uid="{6D52B5AA-D38E-4A9C-9FC4-C5F27711E4B2}" name="Jak się nazywa uczelnia, którą ocenisz? 20" totalsRowDxfId="8"/>
    <tableColumn id="163" xr3:uid="{121D311A-63E4-4EF2-A0DA-FAA985067046}" name="Moja satysfakcja z (efektów) usług edukacyjnych na ocenianej uczelni jest wysoka.21" totalsRowDxfId="7"/>
    <tableColumn id="164" xr3:uid="{F282EA05-D156-4529-9BC1-8600524F81FD}" name="Kompetencje absolwentów ocenianej uczelni są wysokie.22" totalsRowDxfId="6"/>
    <tableColumn id="165" xr3:uid="{58F11C5E-414B-4C75-8CE5-1580D3F448A9}" name="Zarobki absolwentów ocenianej uczelni zatrudnionych w mojej firmie są wyższe od zarobków absolwentów innych polskich uczelni.23" totalsRowDxfId="5"/>
    <tableColumn id="166" xr3:uid="{3E1C84AB-DCF6-4B96-B25A-E3AA8A32B928}" name="Czy w Twojej firmie są zatrudniani absolwenci uczelni w pierwszym roku po ukończeniu studiów (do 12 miesięcy od uzyskania dyplomu)?24" totalsRowDxfId="4"/>
    <tableColumn id="167" xr3:uid="{4C87DA44-3851-4B6F-8471-F5B274EEF69E}" name="Jakie kompetencje absolwentów ocenianej uczelni są w Twojej firmie najwyżej wyceniane?25" totalsRowDxfId="3"/>
    <tableColumn id="168" xr3:uid="{4889D3B6-442C-490C-9642-B9781EC55E1C}" name="Jakiego rodzaju prace wykonują absolwenci ocenianej uczelni są w Twojej firmie?" totalsRowDxfId="2"/>
    <tableColumn id="169" xr3:uid="{370CF6EE-F46C-4CFF-9496-7844071DF992}" name="Czy jesteś przedstawicielem władz samorządowych lub centralnych Rzeczypospolitej Polskiej?" totalsRowFunction="custom" dataDxfId="1" totalsRowDxfId="0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656"/>
  <sheetViews>
    <sheetView topLeftCell="A28" workbookViewId="0">
      <selection activeCell="B51" sqref="B51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 t="shared" ref="L134:L140" si="9"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10">(A135-$D$142)^2</f>
        <v>0.86224489795918413</v>
      </c>
      <c r="F135">
        <f t="shared" ref="F135:F140" si="11">PRODUCT(C135,E135)</f>
        <v>1.7244897959183683</v>
      </c>
      <c r="G135" s="44">
        <f>VLOOKUP(A135,TabeleGrup!C46:D52,2,0)</f>
        <v>6.1428571428571423</v>
      </c>
      <c r="H135" s="44">
        <f t="shared" ref="H135:H140" si="12">(G135-$D$142)/$F$143</f>
        <v>0.71824300614277869</v>
      </c>
      <c r="I135" s="44">
        <f t="shared" ref="I135:I140" si="13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 t="shared" si="9"/>
        <v>-0.89219346712001624</v>
      </c>
      <c r="M135" s="44">
        <f t="shared" ref="M135:M140" si="14">L135^2</f>
        <v>0.79600918277163546</v>
      </c>
      <c r="N135" s="44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10"/>
        <v>5.1020408163264946E-3</v>
      </c>
      <c r="F136">
        <f t="shared" si="11"/>
        <v>2.5510204081632473E-2</v>
      </c>
      <c r="G136" s="44">
        <f>VLOOKUP(A136,TabeleGrup!C47:D53,2,0)</f>
        <v>5.2857142857142856</v>
      </c>
      <c r="H136" s="44">
        <f t="shared" si="12"/>
        <v>0.14364860122855586</v>
      </c>
      <c r="I136" s="44">
        <f t="shared" si="13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 t="shared" si="9"/>
        <v>1.8660001676770199</v>
      </c>
      <c r="M136" s="44">
        <f t="shared" si="14"/>
        <v>3.4819566257706667</v>
      </c>
      <c r="N136" s="44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10"/>
        <v>1.1479591836734688</v>
      </c>
      <c r="F137">
        <f t="shared" si="11"/>
        <v>2.2959183673469377</v>
      </c>
      <c r="G137" s="44">
        <f>VLOOKUP(A137,TabeleGrup!C48:D54,2,0)</f>
        <v>4.4285714285714288</v>
      </c>
      <c r="H137" s="44">
        <f t="shared" si="12"/>
        <v>-0.43094580368566698</v>
      </c>
      <c r="I137" s="44">
        <f t="shared" si="13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 t="shared" si="9"/>
        <v>-0.4630968570306786</v>
      </c>
      <c r="M137" s="44">
        <f t="shared" si="14"/>
        <v>0.21445869899169279</v>
      </c>
      <c r="N137" s="44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10"/>
        <v>4.290816326530611</v>
      </c>
      <c r="F138">
        <f t="shared" si="11"/>
        <v>4.290816326530611</v>
      </c>
      <c r="G138" s="44">
        <f>VLOOKUP(A138,TabeleGrup!C49:D55,2,0)</f>
        <v>3.5714285714285716</v>
      </c>
      <c r="H138" s="44">
        <f t="shared" si="12"/>
        <v>-1.0055402085998901</v>
      </c>
      <c r="I138" s="44">
        <f t="shared" si="13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 t="shared" si="9"/>
        <v>-0.40392529415929834</v>
      </c>
      <c r="M138" s="44">
        <f t="shared" si="14"/>
        <v>0.1631556432616757</v>
      </c>
      <c r="N138" s="44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10"/>
        <v>9.4336734693877542</v>
      </c>
      <c r="F139">
        <f t="shared" si="11"/>
        <v>9.4336734693877542</v>
      </c>
      <c r="G139" s="44">
        <f>VLOOKUP(A139,TabeleGrup!C50:D56,2,0)</f>
        <v>2.7142857142857144</v>
      </c>
      <c r="H139" s="44">
        <f t="shared" si="12"/>
        <v>-1.5801346135141132</v>
      </c>
      <c r="I139" s="44">
        <f t="shared" si="13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 t="shared" si="9"/>
        <v>0.41974902559005178</v>
      </c>
      <c r="M139" s="44">
        <f t="shared" si="14"/>
        <v>0.17618924448379794</v>
      </c>
      <c r="N139" s="44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10"/>
        <v>16.576530612244895</v>
      </c>
      <c r="F140">
        <f t="shared" si="11"/>
        <v>0</v>
      </c>
      <c r="G140" s="44">
        <f>VLOOKUP(A140,TabeleGrup!C51:D57,2,0)</f>
        <v>1.8571428571428572</v>
      </c>
      <c r="H140" s="44">
        <f t="shared" si="12"/>
        <v>-2.1547290184283363</v>
      </c>
      <c r="I140" s="44">
        <f t="shared" si="13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 t="shared" si="9"/>
        <v>-0.2182813193565927</v>
      </c>
      <c r="M140" s="44">
        <f t="shared" si="14"/>
        <v>4.764673438005481E-2</v>
      </c>
      <c r="N140" s="44">
        <f t="shared" si="15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2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5" spans="1:7" x14ac:dyDescent="0.45">
      <c r="G145" s="42">
        <f>G144-E144</f>
        <v>1.7226048401949043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44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44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44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44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44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44">
        <f t="shared" si="17"/>
        <v>14.331632653061224</v>
      </c>
      <c r="F153">
        <f t="shared" si="18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44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44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44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44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44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44">
        <f t="shared" si="20"/>
        <v>12.755102040816325</v>
      </c>
      <c r="F165">
        <f t="shared" si="21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44">
        <f t="shared" ref="E174:E179" si="23">(A174-$D$181)^2</f>
        <v>0.6508014970694157</v>
      </c>
      <c r="F174">
        <f t="shared" ref="F174:F179" si="24">PRODUCT(C174,E174)</f>
        <v>27.984464373984874</v>
      </c>
      <c r="G174" s="44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44">
        <f t="shared" si="23"/>
        <v>3.7356118918155573E-2</v>
      </c>
      <c r="F175">
        <f t="shared" si="24"/>
        <v>1.1953958053809783</v>
      </c>
      <c r="G175" s="44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44">
        <f t="shared" si="23"/>
        <v>1.4239107407668954</v>
      </c>
      <c r="F176">
        <f t="shared" si="24"/>
        <v>11.391285926135163</v>
      </c>
      <c r="G176" s="44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44">
        <f t="shared" si="23"/>
        <v>4.8104653626156351</v>
      </c>
      <c r="F177">
        <f t="shared" si="24"/>
        <v>57.725584351387624</v>
      </c>
      <c r="G177" s="44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44">
        <f t="shared" si="23"/>
        <v>10.197019984464376</v>
      </c>
      <c r="F178">
        <f t="shared" si="24"/>
        <v>61.182119906786255</v>
      </c>
      <c r="G178" s="44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44">
        <f t="shared" si="23"/>
        <v>17.583574606313114</v>
      </c>
      <c r="F179">
        <f t="shared" si="24"/>
        <v>17.583574606313114</v>
      </c>
      <c r="G179" s="44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2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  <c r="G184" s="42">
        <f>G183-E183</f>
        <v>0.50968622980126099</v>
      </c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44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44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44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44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44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44">
        <f t="shared" si="33"/>
        <v>16.885883765270812</v>
      </c>
      <c r="F192">
        <f t="shared" si="34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44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44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44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44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44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44">
        <f t="shared" si="36"/>
        <v>15.665630958265661</v>
      </c>
      <c r="F204">
        <f t="shared" si="37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21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  <c r="M209" s="20" t="s">
        <v>2435</v>
      </c>
      <c r="N209" s="20" t="s">
        <v>2423</v>
      </c>
      <c r="O209" s="20" t="s">
        <v>2424</v>
      </c>
      <c r="P209" s="20" t="s">
        <v>2425</v>
      </c>
      <c r="Q209" s="20" t="s">
        <v>2426</v>
      </c>
      <c r="R209" s="20" t="s">
        <v>2427</v>
      </c>
      <c r="S209" s="20" t="s">
        <v>2428</v>
      </c>
      <c r="T209" s="20" t="s">
        <v>2429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  <c r="M210" s="44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44">
        <f t="shared" ref="K211:K216" si="44">(A211-$J$218)^2</f>
        <v>9.2627599243856079E-2</v>
      </c>
      <c r="L211">
        <f t="shared" ref="L211:L216" si="45">PRODUCT(F211,K211)</f>
        <v>0.64839319470699253</v>
      </c>
      <c r="M211" s="44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44">
        <f t="shared" si="44"/>
        <v>0.48393194706994386</v>
      </c>
      <c r="L212">
        <f t="shared" si="45"/>
        <v>1.4517958412098315</v>
      </c>
      <c r="M212" s="44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44">
        <f t="shared" si="44"/>
        <v>2.8752362948960317</v>
      </c>
      <c r="L213">
        <f t="shared" si="45"/>
        <v>11.500945179584127</v>
      </c>
      <c r="M213" s="44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44">
        <f t="shared" si="44"/>
        <v>7.2665406427221191</v>
      </c>
      <c r="L214">
        <f t="shared" si="45"/>
        <v>0</v>
      </c>
      <c r="M214" s="44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44">
        <f t="shared" si="44"/>
        <v>13.657844990548208</v>
      </c>
      <c r="L215">
        <f t="shared" si="45"/>
        <v>13.657844990548208</v>
      </c>
      <c r="M215" s="44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44">
        <f t="shared" si="44"/>
        <v>22.049149338374296</v>
      </c>
      <c r="L216">
        <f t="shared" si="45"/>
        <v>0</v>
      </c>
      <c r="M216" s="44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2430</v>
      </c>
    </row>
    <row r="217" spans="1:21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7">
        <f>SUM(P210:P216)</f>
        <v>0.83071237545739829</v>
      </c>
      <c r="Q217" s="47">
        <f>SUM(Q210:Q216)</f>
        <v>13.291398007318373</v>
      </c>
      <c r="S217" s="20" t="s">
        <v>2431</v>
      </c>
      <c r="T217" s="48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44">
        <f>SUM(G210:G217)/$C219</f>
        <v>5.8125</v>
      </c>
      <c r="H218" s="44">
        <f t="shared" ref="H218:I218" si="53">SUM(H210:H217)/$C219</f>
        <v>1.75</v>
      </c>
      <c r="I218" s="44">
        <f t="shared" si="53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  <c r="T218" s="20" t="s">
        <v>2432</v>
      </c>
    </row>
    <row r="219" spans="1:21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21" x14ac:dyDescent="0.45">
      <c r="B221" s="20"/>
      <c r="D221" s="33"/>
      <c r="F221" s="44"/>
      <c r="M221" s="42">
        <f>M220-K220</f>
        <v>1.4525588256493478</v>
      </c>
    </row>
    <row r="222" spans="1:21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44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44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44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44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44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44">
        <f t="shared" si="59"/>
        <v>23.712665406427224</v>
      </c>
      <c r="L229">
        <f t="shared" si="60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44">
        <f>SUM(G223:G230)/$C232</f>
        <v>5.9375</v>
      </c>
      <c r="H231" s="44">
        <f t="shared" ref="H231" si="61">SUM(H223:H230)/$C232</f>
        <v>1.8125</v>
      </c>
      <c r="I231" s="44">
        <f t="shared" ref="I231" si="62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44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44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44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44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44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44">
        <f t="shared" si="68"/>
        <v>20.054820415879021</v>
      </c>
      <c r="L241">
        <f t="shared" si="69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44">
        <f>SUM(G235:G242)/$C244</f>
        <v>5.5</v>
      </c>
      <c r="H243" s="44">
        <f t="shared" ref="H243" si="70">SUM(H235:H242)/$C244</f>
        <v>1.625</v>
      </c>
      <c r="I243" s="44">
        <f t="shared" ref="I243" si="71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44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44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44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44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44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44">
        <f t="shared" si="73"/>
        <v>33.0625</v>
      </c>
      <c r="F256">
        <f t="shared" si="74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2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  <c r="G261" s="42">
        <f>G260-E260</f>
        <v>1.5912231526418541</v>
      </c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44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44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44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44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44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44">
        <f t="shared" si="76"/>
        <v>27.5625</v>
      </c>
      <c r="F269">
        <f t="shared" si="77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44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44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44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44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44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44">
        <f t="shared" si="79"/>
        <v>25</v>
      </c>
      <c r="F281">
        <f t="shared" si="80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44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44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44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44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44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44">
        <f t="shared" si="82"/>
        <v>33.0625</v>
      </c>
      <c r="F293">
        <f t="shared" si="83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44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44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44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44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44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44">
        <f t="shared" si="85"/>
        <v>30.25</v>
      </c>
      <c r="F305">
        <f t="shared" si="86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44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44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44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44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44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44">
        <f t="shared" si="88"/>
        <v>30.25</v>
      </c>
      <c r="F317">
        <f t="shared" si="89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5" x14ac:dyDescent="0.45">
      <c r="A322" s="29" t="s">
        <v>2361</v>
      </c>
      <c r="C322" t="s">
        <v>2353</v>
      </c>
      <c r="E322" s="20" t="s">
        <v>2367</v>
      </c>
      <c r="F322" s="20" t="s">
        <v>2368</v>
      </c>
      <c r="G322" s="20" t="s">
        <v>2435</v>
      </c>
      <c r="H322" s="20" t="s">
        <v>2423</v>
      </c>
      <c r="I322" s="20" t="s">
        <v>2424</v>
      </c>
      <c r="J322" s="20" t="s">
        <v>2425</v>
      </c>
      <c r="K322" s="20" t="s">
        <v>2426</v>
      </c>
      <c r="L322" s="20" t="s">
        <v>2427</v>
      </c>
      <c r="M322" s="20" t="s">
        <v>2428</v>
      </c>
      <c r="N322" s="20" t="s">
        <v>2429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  <c r="G323" s="44">
        <f>VLOOKUP(A323,TabeleGrup!$C$45:$D$51,2,0)</f>
        <v>6.9999999999999991</v>
      </c>
      <c r="H323" s="44">
        <f>(G323-$D$331)/$F$332</f>
        <v>0.66421116415507087</v>
      </c>
      <c r="I323" s="44">
        <f>NORMDIST(H323,0,1,1)</f>
        <v>0.74672241547547968</v>
      </c>
      <c r="J323" s="44">
        <f>I323-I324</f>
        <v>0.20892458390242186</v>
      </c>
      <c r="K323" s="44">
        <f>$C$332*J323</f>
        <v>3.3427933424387497</v>
      </c>
      <c r="L323" s="44">
        <f>C323-K323</f>
        <v>3.6572066575612503</v>
      </c>
      <c r="M323" s="44">
        <f>L323^2</f>
        <v>13.375160536110332</v>
      </c>
      <c r="N323" s="44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44">
        <f t="shared" ref="E324:E329" si="91">(A324-$D$331)^2</f>
        <v>0</v>
      </c>
      <c r="F324">
        <f t="shared" ref="F324:F329" si="92">PRODUCT(C324,E324)</f>
        <v>0</v>
      </c>
      <c r="G324" s="44">
        <f>VLOOKUP(A324,TabeleGrup!$C$45:$D$51,2,0)</f>
        <v>6.1428571428571423</v>
      </c>
      <c r="H324" s="44">
        <f t="shared" ref="H324:H329" si="93">(G324-$D$331)/$F$332</f>
        <v>9.488730916500987E-2</v>
      </c>
      <c r="I324" s="44">
        <f t="shared" ref="I324:I329" si="94">NORMDIST(H324,0,1,1)</f>
        <v>0.53779783157305783</v>
      </c>
      <c r="J324" s="44">
        <f t="shared" ref="J324:J329" si="95">I324-I325</f>
        <v>0.22020351293028306</v>
      </c>
      <c r="K324" s="44">
        <f t="shared" ref="K324:K329" si="96">$C$332*J324</f>
        <v>3.523256206884529</v>
      </c>
      <c r="L324" s="44">
        <f t="shared" ref="L324:L329" si="97">C324-K324</f>
        <v>2.476743793115471</v>
      </c>
      <c r="M324" s="44">
        <f t="shared" ref="M324:M329" si="98">L324^2</f>
        <v>6.1342598167360114</v>
      </c>
      <c r="N324" s="44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44">
        <f t="shared" si="91"/>
        <v>1</v>
      </c>
      <c r="F325">
        <f t="shared" si="92"/>
        <v>2</v>
      </c>
      <c r="G325" s="44">
        <f>VLOOKUP(A325,TabeleGrup!$C$45:$D$51,2,0)</f>
        <v>5.2857142857142856</v>
      </c>
      <c r="H325" s="44">
        <f t="shared" si="93"/>
        <v>-0.47443654582505113</v>
      </c>
      <c r="I325" s="44">
        <f t="shared" si="94"/>
        <v>0.31759431864277476</v>
      </c>
      <c r="J325" s="44">
        <f t="shared" si="95"/>
        <v>0.16929619022200773</v>
      </c>
      <c r="K325" s="44">
        <f t="shared" si="96"/>
        <v>2.7087390435521237</v>
      </c>
      <c r="L325" s="44">
        <f t="shared" si="97"/>
        <v>-0.70873904355212369</v>
      </c>
      <c r="M325" s="44">
        <f t="shared" si="98"/>
        <v>0.50231103185517911</v>
      </c>
      <c r="N325" s="44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44">
        <f t="shared" si="91"/>
        <v>4</v>
      </c>
      <c r="F326">
        <f t="shared" si="92"/>
        <v>0</v>
      </c>
      <c r="G326" s="44">
        <f>VLOOKUP(A326,TabeleGrup!$C$45:$D$51,2,0)</f>
        <v>4.4285714285714288</v>
      </c>
      <c r="H326" s="44">
        <f t="shared" si="93"/>
        <v>-1.0437604008151122</v>
      </c>
      <c r="I326" s="44">
        <f t="shared" si="94"/>
        <v>0.14829812842076703</v>
      </c>
      <c r="J326" s="44">
        <f t="shared" si="95"/>
        <v>9.4935026471882566E-2</v>
      </c>
      <c r="K326" s="44">
        <f t="shared" si="96"/>
        <v>1.5189604235501211</v>
      </c>
      <c r="L326" s="44">
        <f t="shared" si="97"/>
        <v>-1.5189604235501211</v>
      </c>
      <c r="M326" s="44">
        <f t="shared" si="98"/>
        <v>2.307240768311563</v>
      </c>
      <c r="N326" s="44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44">
        <f t="shared" si="91"/>
        <v>9</v>
      </c>
      <c r="F327">
        <f t="shared" si="92"/>
        <v>0</v>
      </c>
      <c r="G327" s="44">
        <f>VLOOKUP(A327,TabeleGrup!$C$45:$D$51,2,0)</f>
        <v>3.5714285714285716</v>
      </c>
      <c r="H327" s="44">
        <f t="shared" si="93"/>
        <v>-1.6130842558051735</v>
      </c>
      <c r="I327" s="44">
        <f t="shared" si="94"/>
        <v>5.3363101948884467E-2</v>
      </c>
      <c r="J327" s="44">
        <f t="shared" si="95"/>
        <v>3.8823388819432314E-2</v>
      </c>
      <c r="K327" s="44">
        <f t="shared" si="96"/>
        <v>0.62117422111091702</v>
      </c>
      <c r="L327" s="44">
        <f t="shared" si="97"/>
        <v>-0.62117422111091702</v>
      </c>
      <c r="M327" s="44">
        <f t="shared" si="98"/>
        <v>0.38585741297275444</v>
      </c>
      <c r="N327" s="44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44">
        <f t="shared" si="91"/>
        <v>16</v>
      </c>
      <c r="F328">
        <f t="shared" si="92"/>
        <v>0</v>
      </c>
      <c r="G328" s="44">
        <f>VLOOKUP(A328,TabeleGrup!$C$45:$D$51,2,0)</f>
        <v>2.7142857142857144</v>
      </c>
      <c r="H328" s="44">
        <f t="shared" si="93"/>
        <v>-2.1824081107952349</v>
      </c>
      <c r="I328" s="44">
        <f t="shared" si="94"/>
        <v>1.4539713129452157E-2</v>
      </c>
      <c r="J328" s="44">
        <f t="shared" si="95"/>
        <v>1.157566217788504E-2</v>
      </c>
      <c r="K328" s="44">
        <f t="shared" si="96"/>
        <v>0.18521059484616065</v>
      </c>
      <c r="L328" s="44">
        <f t="shared" si="97"/>
        <v>-0.18521059484616065</v>
      </c>
      <c r="M328" s="44">
        <f t="shared" si="98"/>
        <v>3.430296444326867E-2</v>
      </c>
      <c r="N328" s="44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44">
        <f t="shared" si="91"/>
        <v>25</v>
      </c>
      <c r="F329">
        <f t="shared" si="92"/>
        <v>25</v>
      </c>
      <c r="G329" s="44">
        <f>VLOOKUP(A329,TabeleGrup!$C$45:$D$51,2,0)</f>
        <v>1.8571428571428572</v>
      </c>
      <c r="H329" s="44">
        <f t="shared" si="93"/>
        <v>-2.7517319657852957</v>
      </c>
      <c r="I329" s="44">
        <f t="shared" si="94"/>
        <v>2.9640509515671165E-3</v>
      </c>
      <c r="J329" s="44">
        <f t="shared" si="95"/>
        <v>2.9640509515671165E-3</v>
      </c>
      <c r="K329" s="44">
        <f t="shared" si="96"/>
        <v>4.7424815225073864E-2</v>
      </c>
      <c r="L329" s="44">
        <f t="shared" si="97"/>
        <v>0.95257518477492609</v>
      </c>
      <c r="M329" s="44">
        <f t="shared" si="98"/>
        <v>0.90739948264898462</v>
      </c>
      <c r="N329" s="44">
        <f t="shared" si="99"/>
        <v>19.133432114443654</v>
      </c>
      <c r="O329" s="20" t="s">
        <v>2430</v>
      </c>
    </row>
    <row r="330" spans="1:15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7">
        <f>SUM(J323:J329)</f>
        <v>0.74672241547547968</v>
      </c>
      <c r="K330" s="47">
        <f>SUM(K323:K329)</f>
        <v>11.947558647607675</v>
      </c>
      <c r="M330" s="20" t="s">
        <v>2431</v>
      </c>
      <c r="N330" s="48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H331" s="20" t="s">
        <v>2410</v>
      </c>
      <c r="N331" s="20" t="s">
        <v>2433</v>
      </c>
    </row>
    <row r="332" spans="1:15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5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4" spans="1:15" x14ac:dyDescent="0.45">
      <c r="G334" s="42">
        <f>G333-E333</f>
        <v>1.6044969285265971</v>
      </c>
    </row>
    <row r="335" spans="1:15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44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44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44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44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44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44">
        <f t="shared" si="101"/>
        <v>25.62890625</v>
      </c>
      <c r="F342">
        <f t="shared" si="102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44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44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44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44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44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44">
        <f t="shared" si="104"/>
        <v>19.69140625</v>
      </c>
      <c r="F354">
        <f t="shared" si="105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44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44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44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44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44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44">
        <f t="shared" si="107"/>
        <v>23.765625</v>
      </c>
      <c r="F366">
        <f t="shared" si="108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44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44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44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44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44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44">
        <f t="shared" si="110"/>
        <v>21.97265625</v>
      </c>
      <c r="F378">
        <f t="shared" si="111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44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44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44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44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44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44">
        <f t="shared" si="113"/>
        <v>19.69140625</v>
      </c>
      <c r="F390">
        <f t="shared" si="114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44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44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44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44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44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44">
        <f t="shared" si="116"/>
        <v>23.04</v>
      </c>
      <c r="F402">
        <f t="shared" si="117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  <c r="G407" s="42">
        <f>G406-E406</f>
        <v>2.0777012673671358</v>
      </c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44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44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44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44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44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44">
        <f t="shared" si="119"/>
        <v>23.04</v>
      </c>
      <c r="F415">
        <f t="shared" si="120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44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44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44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44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44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44">
        <f t="shared" si="122"/>
        <v>25</v>
      </c>
      <c r="F427">
        <f t="shared" si="123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44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44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44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44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44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44">
        <f t="shared" si="125"/>
        <v>21.159999999999997</v>
      </c>
      <c r="F439">
        <f t="shared" si="126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44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44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44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44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44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44">
        <f t="shared" si="128"/>
        <v>22.5625</v>
      </c>
      <c r="F451">
        <f t="shared" si="129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44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44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44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44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44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44">
        <f t="shared" si="131"/>
        <v>22.5625</v>
      </c>
      <c r="F463">
        <f t="shared" si="132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44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44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44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44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44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44">
        <f t="shared" si="134"/>
        <v>25</v>
      </c>
      <c r="F475">
        <f t="shared" si="135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44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44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44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44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44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44">
        <f t="shared" si="137"/>
        <v>16.955017301038058</v>
      </c>
      <c r="F487">
        <f t="shared" si="138"/>
        <v>0</v>
      </c>
    </row>
    <row r="488" spans="1:20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20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20" x14ac:dyDescent="0.45">
      <c r="B491" s="20"/>
      <c r="D491" s="33"/>
      <c r="F491" s="44"/>
    </row>
    <row r="492" spans="1:20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  <c r="M492" s="20" t="s">
        <v>2435</v>
      </c>
      <c r="N492" s="20" t="s">
        <v>2423</v>
      </c>
      <c r="O492" s="20" t="s">
        <v>2424</v>
      </c>
      <c r="P492" s="20" t="s">
        <v>2425</v>
      </c>
      <c r="Q492" s="20" t="s">
        <v>2426</v>
      </c>
      <c r="R492" s="20" t="s">
        <v>2427</v>
      </c>
      <c r="S492" s="20" t="s">
        <v>2428</v>
      </c>
      <c r="T492" s="20" t="s">
        <v>2429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  <c r="M493" s="44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44">
        <f t="shared" ref="K494:K499" si="142">(A494-$J$501)^2</f>
        <v>1.4400000000000004</v>
      </c>
      <c r="L494">
        <f t="shared" ref="L494:L499" si="143">PRODUCT(F494,K494)</f>
        <v>4.3200000000000012</v>
      </c>
      <c r="M494" s="44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44">
        <f t="shared" si="142"/>
        <v>4.000000000000007E-2</v>
      </c>
      <c r="L495">
        <f t="shared" si="143"/>
        <v>0.20000000000000034</v>
      </c>
      <c r="M495" s="44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44">
        <f t="shared" si="142"/>
        <v>0.63999999999999968</v>
      </c>
      <c r="L496">
        <f t="shared" si="143"/>
        <v>1.2799999999999994</v>
      </c>
      <c r="M496" s="44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44">
        <f t="shared" si="142"/>
        <v>3.2399999999999993</v>
      </c>
      <c r="L497">
        <f t="shared" si="143"/>
        <v>3.2399999999999993</v>
      </c>
      <c r="M497" s="44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44">
        <f t="shared" si="142"/>
        <v>7.839999999999999</v>
      </c>
      <c r="L498">
        <f t="shared" si="143"/>
        <v>23.519999999999996</v>
      </c>
      <c r="M498" s="44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44">
        <f t="shared" si="142"/>
        <v>14.44</v>
      </c>
      <c r="L499">
        <f t="shared" si="143"/>
        <v>14.44</v>
      </c>
      <c r="M499" s="44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2430</v>
      </c>
    </row>
    <row r="500" spans="1:21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7">
        <f>SUM(P493:P499)</f>
        <v>0.8721208685699996</v>
      </c>
      <c r="Q500" s="47">
        <f>SUM(Q493:Q499)</f>
        <v>14.826054765689991</v>
      </c>
      <c r="S500" s="20" t="s">
        <v>2431</v>
      </c>
      <c r="T500" s="48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  <c r="T501" s="20" t="s">
        <v>2433</v>
      </c>
    </row>
    <row r="502" spans="1:21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21" x14ac:dyDescent="0.45">
      <c r="B504" s="20"/>
      <c r="D504" s="33"/>
      <c r="F504" s="44"/>
      <c r="M504" s="42">
        <f>M503-K503</f>
        <v>1.9906054638766104</v>
      </c>
    </row>
    <row r="505" spans="1:21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44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44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44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44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44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44">
        <f t="shared" si="154"/>
        <v>14.0625</v>
      </c>
      <c r="L512">
        <f t="shared" si="155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44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44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44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44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44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44">
        <f t="shared" si="159"/>
        <v>7.0225</v>
      </c>
      <c r="L524">
        <f t="shared" si="160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44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44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44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44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44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44">
        <f t="shared" si="161"/>
        <v>30.25</v>
      </c>
      <c r="F536">
        <f t="shared" si="163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44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44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44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44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44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44">
        <f t="shared" si="165"/>
        <v>25</v>
      </c>
      <c r="F550">
        <f t="shared" si="166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44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44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44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44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44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44">
        <f t="shared" si="168"/>
        <v>25</v>
      </c>
      <c r="F562">
        <f t="shared" si="169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44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44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44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44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44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44">
        <f t="shared" si="171"/>
        <v>30.25</v>
      </c>
      <c r="F574">
        <f t="shared" si="172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44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44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44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44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44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44">
        <f t="shared" si="174"/>
        <v>30.25</v>
      </c>
      <c r="F586">
        <f t="shared" si="175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44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44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44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44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44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44">
        <f t="shared" si="177"/>
        <v>25</v>
      </c>
      <c r="F598">
        <f t="shared" si="178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44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44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44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44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44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44">
        <f t="shared" si="180"/>
        <v>25</v>
      </c>
      <c r="F610">
        <f t="shared" si="181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  <row r="618" spans="1:7" x14ac:dyDescent="0.45">
      <c r="B618" s="20" t="s">
        <v>2439</v>
      </c>
      <c r="C618" s="53">
        <v>5.0709999999999997</v>
      </c>
    </row>
    <row r="619" spans="1:7" x14ac:dyDescent="0.45">
      <c r="B619" s="20" t="s">
        <v>2440</v>
      </c>
      <c r="C619" s="53">
        <v>5.1929999999999996</v>
      </c>
    </row>
    <row r="620" spans="1:7" x14ac:dyDescent="0.45">
      <c r="B620" s="20" t="s">
        <v>2441</v>
      </c>
      <c r="C620" s="53">
        <v>5.6959999999999997</v>
      </c>
    </row>
    <row r="621" spans="1:7" x14ac:dyDescent="0.45">
      <c r="B621" s="20" t="s">
        <v>2442</v>
      </c>
      <c r="C621" s="53">
        <v>6.75</v>
      </c>
    </row>
    <row r="622" spans="1:7" x14ac:dyDescent="0.45">
      <c r="B622" s="20" t="s">
        <v>2443</v>
      </c>
      <c r="C622" s="53">
        <v>6</v>
      </c>
    </row>
    <row r="623" spans="1:7" x14ac:dyDescent="0.45">
      <c r="B623" s="20" t="s">
        <v>2444</v>
      </c>
      <c r="C623" s="53">
        <v>5.8</v>
      </c>
    </row>
    <row r="624" spans="1:7" x14ac:dyDescent="0.45">
      <c r="B624" s="20" t="s">
        <v>2445</v>
      </c>
      <c r="C624" s="53">
        <v>4.8</v>
      </c>
    </row>
    <row r="625" spans="1:16" x14ac:dyDescent="0.45">
      <c r="B625" s="20" t="s">
        <v>2446</v>
      </c>
      <c r="C625" s="53">
        <v>6.5</v>
      </c>
    </row>
    <row r="628" spans="1:16" x14ac:dyDescent="0.45">
      <c r="B628" s="20" t="s">
        <v>2438</v>
      </c>
      <c r="C628" s="44">
        <f>AVERAGE(C618:C625)</f>
        <v>5.7262499999999994</v>
      </c>
    </row>
    <row r="631" spans="1:16" x14ac:dyDescent="0.45">
      <c r="A631" t="s">
        <v>2447</v>
      </c>
    </row>
    <row r="633" spans="1:16" x14ac:dyDescent="0.45">
      <c r="A633" s="55" t="s">
        <v>53</v>
      </c>
      <c r="I633" s="55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2448</v>
      </c>
      <c r="B637" t="s">
        <v>2449</v>
      </c>
      <c r="F637" s="20" t="s">
        <v>2450</v>
      </c>
    </row>
    <row r="638" spans="1:16" x14ac:dyDescent="0.45">
      <c r="A638" s="20" t="s">
        <v>2296</v>
      </c>
      <c r="B638" s="30">
        <v>0.22</v>
      </c>
      <c r="D638" s="20" t="s">
        <v>2439</v>
      </c>
      <c r="E638" s="53">
        <v>5.0709999999999997</v>
      </c>
      <c r="F638" s="44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2440</v>
      </c>
      <c r="E639" s="53">
        <v>5.1929999999999996</v>
      </c>
      <c r="F639" s="44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2441</v>
      </c>
      <c r="E640" s="53">
        <v>5.6959999999999997</v>
      </c>
      <c r="F640" s="44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2442</v>
      </c>
      <c r="E641" s="53">
        <v>6.75</v>
      </c>
      <c r="F641" s="44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2443</v>
      </c>
      <c r="E642" s="53">
        <v>6</v>
      </c>
      <c r="F642" s="44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2444</v>
      </c>
      <c r="E643" s="53">
        <v>5.8</v>
      </c>
      <c r="F643" s="44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2445</v>
      </c>
      <c r="E644" s="53">
        <v>4.8</v>
      </c>
      <c r="F644" s="44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2446</v>
      </c>
      <c r="E645" s="53">
        <v>6.5</v>
      </c>
      <c r="F645" s="44">
        <f t="shared" si="182"/>
        <v>0.65</v>
      </c>
    </row>
    <row r="646" spans="1:7" x14ac:dyDescent="0.45">
      <c r="F646" s="54">
        <f>SUM(F638:F645)</f>
        <v>5.572724</v>
      </c>
    </row>
    <row r="647" spans="1:7" ht="28.5" x14ac:dyDescent="0.45">
      <c r="A647" s="28" t="s">
        <v>2451</v>
      </c>
      <c r="B647" t="s">
        <v>2449</v>
      </c>
      <c r="F647" s="20" t="s">
        <v>2450</v>
      </c>
    </row>
    <row r="648" spans="1:7" x14ac:dyDescent="0.45">
      <c r="A648" s="20" t="s">
        <v>2296</v>
      </c>
      <c r="B648" s="30">
        <v>0.18</v>
      </c>
      <c r="D648" s="20" t="s">
        <v>2439</v>
      </c>
      <c r="E648" s="53">
        <v>5.0709999999999997</v>
      </c>
      <c r="F648" s="44">
        <f t="shared" ref="F648:F655" si="183">B648*E648</f>
        <v>0.91277999999999992</v>
      </c>
      <c r="G648" s="44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2440</v>
      </c>
      <c r="E649" s="53">
        <v>5.1929999999999996</v>
      </c>
      <c r="F649" s="44">
        <f t="shared" si="183"/>
        <v>1.1943900000000001</v>
      </c>
      <c r="G649" s="44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2441</v>
      </c>
      <c r="E650" s="53">
        <v>5.6959999999999997</v>
      </c>
      <c r="F650" s="44">
        <f t="shared" si="183"/>
        <v>1.1391999999999999E-2</v>
      </c>
      <c r="G650" s="44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2442</v>
      </c>
      <c r="E651" s="53">
        <v>6.75</v>
      </c>
      <c r="F651" s="44">
        <f t="shared" si="183"/>
        <v>0.66149999999999998</v>
      </c>
      <c r="G651" s="44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2443</v>
      </c>
      <c r="E652" s="53">
        <v>6</v>
      </c>
      <c r="F652" s="44">
        <f t="shared" si="183"/>
        <v>1.5</v>
      </c>
      <c r="G652" s="44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2444</v>
      </c>
      <c r="E653" s="53">
        <v>5.8</v>
      </c>
      <c r="F653" s="44">
        <f t="shared" si="183"/>
        <v>0</v>
      </c>
      <c r="G653" s="44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2445</v>
      </c>
      <c r="E654" s="53">
        <v>4.8</v>
      </c>
      <c r="F654" s="44">
        <f t="shared" si="183"/>
        <v>0.57599999999999996</v>
      </c>
      <c r="G654" s="44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2446</v>
      </c>
      <c r="E655" s="53">
        <v>6.5</v>
      </c>
      <c r="F655" s="44">
        <f t="shared" si="183"/>
        <v>0.78</v>
      </c>
      <c r="G655" s="44">
        <f t="shared" si="184"/>
        <v>0.13</v>
      </c>
    </row>
    <row r="656" spans="1:7" x14ac:dyDescent="0.45">
      <c r="F656" s="54">
        <f>SUM(F648:F655)</f>
        <v>5.6360619999999999</v>
      </c>
    </row>
  </sheetData>
  <conditionalFormatting sqref="N141">
    <cfRule type="cellIs" dxfId="522" priority="6" operator="lessThan">
      <formula>O141</formula>
    </cfRule>
  </conditionalFormatting>
  <conditionalFormatting sqref="N180">
    <cfRule type="cellIs" dxfId="521" priority="5" operator="lessThan">
      <formula>O180</formula>
    </cfRule>
  </conditionalFormatting>
  <conditionalFormatting sqref="N330">
    <cfRule type="cellIs" dxfId="520" priority="2" operator="lessThan">
      <formula>O330</formula>
    </cfRule>
  </conditionalFormatting>
  <conditionalFormatting sqref="T217">
    <cfRule type="cellIs" dxfId="519" priority="3" operator="lessThan">
      <formula>U217</formula>
    </cfRule>
  </conditionalFormatting>
  <conditionalFormatting sqref="T500">
    <cfRule type="cellIs" dxfId="518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I142"/>
  <sheetViews>
    <sheetView tabSelected="1" topLeftCell="EQ1" workbookViewId="0">
      <pane ySplit="2" topLeftCell="A3" activePane="bottomLeft" state="frozen"/>
      <selection activeCell="J1" sqref="J1"/>
      <selection pane="bottomLeft" activeCell="R2" sqref="R2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1" width="14.59765625" hidden="1" customWidth="1" outlineLevel="1"/>
    <col min="22" max="32" width="8.1328125" hidden="1" customWidth="1" outlineLevel="1"/>
    <col min="33" max="33" width="11.796875" customWidth="1" collapsed="1"/>
    <col min="34" max="51" width="23.1328125" customWidth="1" outlineLevel="1"/>
    <col min="52" max="52" width="11.796875" customWidth="1"/>
    <col min="53" max="53" width="8.1328125" hidden="1" customWidth="1" outlineLevel="1"/>
    <col min="54" max="97" width="26.3984375" hidden="1" customWidth="1" outlineLevel="1"/>
    <col min="98" max="98" width="11.796875" customWidth="1" collapsed="1"/>
    <col min="99" max="107" width="19.9296875" hidden="1" customWidth="1" outlineLevel="1"/>
    <col min="108" max="108" width="11.796875" customWidth="1" collapsed="1"/>
    <col min="109" max="117" width="23.33203125" hidden="1" customWidth="1" outlineLevel="1"/>
    <col min="118" max="118" width="11.796875" customWidth="1" collapsed="1"/>
    <col min="119" max="146" width="8.1328125" hidden="1" customWidth="1" outlineLevel="1"/>
    <col min="147" max="147" width="11.796875" customWidth="1" collapsed="1"/>
    <col min="148" max="172" width="8.1328125" hidden="1" customWidth="1" outlineLevel="1"/>
    <col min="173" max="173" width="11.796875" customWidth="1" collapsed="1"/>
    <col min="174" max="209" width="8.1328125" hidden="1" customWidth="1" outlineLevel="1"/>
    <col min="210" max="210" width="9.46484375" customWidth="1" collapsed="1"/>
    <col min="213" max="213" width="28.59765625" customWidth="1"/>
  </cols>
  <sheetData>
    <row r="1" spans="1:217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X1" t="s">
        <v>18</v>
      </c>
      <c r="Y1" t="s">
        <v>19</v>
      </c>
      <c r="AA1" t="s">
        <v>20</v>
      </c>
      <c r="AB1" t="s">
        <v>21</v>
      </c>
      <c r="AD1" t="s">
        <v>22</v>
      </c>
      <c r="AF1" t="s">
        <v>23</v>
      </c>
      <c r="AG1" s="3" t="s">
        <v>24</v>
      </c>
      <c r="AH1" t="s">
        <v>25</v>
      </c>
      <c r="AJ1" t="s">
        <v>26</v>
      </c>
      <c r="AK1" t="s">
        <v>27</v>
      </c>
      <c r="AL1" t="s">
        <v>28</v>
      </c>
      <c r="AM1" t="s">
        <v>17</v>
      </c>
      <c r="AR1" t="s">
        <v>29</v>
      </c>
      <c r="AS1" t="s">
        <v>30</v>
      </c>
      <c r="AU1" t="s">
        <v>31</v>
      </c>
      <c r="AV1" t="s">
        <v>32</v>
      </c>
      <c r="AX1" t="s">
        <v>33</v>
      </c>
      <c r="AZ1" s="3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17</v>
      </c>
      <c r="BK1" t="s">
        <v>40</v>
      </c>
      <c r="BL1" t="s">
        <v>41</v>
      </c>
      <c r="BM1" t="s">
        <v>42</v>
      </c>
      <c r="BO1" t="s">
        <v>43</v>
      </c>
      <c r="BP1" t="s">
        <v>44</v>
      </c>
      <c r="BQ1" t="s">
        <v>36</v>
      </c>
      <c r="BR1" t="s">
        <v>37</v>
      </c>
      <c r="BS1" t="s">
        <v>38</v>
      </c>
      <c r="BT1" t="s">
        <v>39</v>
      </c>
      <c r="BU1" t="s">
        <v>17</v>
      </c>
      <c r="BZ1" t="s">
        <v>40</v>
      </c>
      <c r="CA1" t="s">
        <v>41</v>
      </c>
      <c r="CB1" t="s">
        <v>42</v>
      </c>
      <c r="CD1" t="s">
        <v>43</v>
      </c>
      <c r="CE1" t="s">
        <v>45</v>
      </c>
      <c r="CF1" t="s">
        <v>36</v>
      </c>
      <c r="CG1" t="s">
        <v>37</v>
      </c>
      <c r="CH1" t="s">
        <v>38</v>
      </c>
      <c r="CI1" t="s">
        <v>39</v>
      </c>
      <c r="CJ1" t="s">
        <v>17</v>
      </c>
      <c r="CO1" t="s">
        <v>40</v>
      </c>
      <c r="CP1" t="s">
        <v>41</v>
      </c>
      <c r="CQ1" t="s">
        <v>42</v>
      </c>
      <c r="CS1" t="s">
        <v>43</v>
      </c>
      <c r="CT1" s="3" t="s">
        <v>46</v>
      </c>
      <c r="CU1" t="s">
        <v>47</v>
      </c>
      <c r="CV1" t="s">
        <v>48</v>
      </c>
      <c r="CW1" t="s">
        <v>17</v>
      </c>
      <c r="DC1" t="s">
        <v>41</v>
      </c>
      <c r="DD1" s="3" t="s">
        <v>49</v>
      </c>
      <c r="DE1" t="s">
        <v>47</v>
      </c>
      <c r="DF1" t="s">
        <v>48</v>
      </c>
      <c r="DG1" t="s">
        <v>17</v>
      </c>
      <c r="DM1" t="s">
        <v>31</v>
      </c>
      <c r="DN1" s="3" t="s">
        <v>50</v>
      </c>
      <c r="DO1" t="s">
        <v>51</v>
      </c>
      <c r="DS1" t="s">
        <v>52</v>
      </c>
      <c r="DT1" t="s">
        <v>17</v>
      </c>
      <c r="EA1" t="s">
        <v>53</v>
      </c>
      <c r="EI1" t="s">
        <v>54</v>
      </c>
      <c r="EQ1" s="3" t="s">
        <v>55</v>
      </c>
      <c r="ER1" t="s">
        <v>56</v>
      </c>
      <c r="ES1" t="s">
        <v>57</v>
      </c>
      <c r="ET1" t="s">
        <v>58</v>
      </c>
      <c r="EU1" t="s">
        <v>17</v>
      </c>
      <c r="EX1" t="s">
        <v>59</v>
      </c>
      <c r="EY1" t="s">
        <v>60</v>
      </c>
      <c r="EZ1" t="s">
        <v>61</v>
      </c>
      <c r="FA1" t="s">
        <v>62</v>
      </c>
      <c r="FB1" t="s">
        <v>58</v>
      </c>
      <c r="FC1" t="s">
        <v>17</v>
      </c>
      <c r="FF1" t="s">
        <v>59</v>
      </c>
      <c r="FG1" t="s">
        <v>60</v>
      </c>
      <c r="FH1" t="s">
        <v>61</v>
      </c>
      <c r="FI1" t="s">
        <v>63</v>
      </c>
      <c r="FJ1" t="s">
        <v>58</v>
      </c>
      <c r="FK1" t="s">
        <v>17</v>
      </c>
      <c r="FN1" t="s">
        <v>59</v>
      </c>
      <c r="FO1" t="s">
        <v>60</v>
      </c>
      <c r="FP1" t="s">
        <v>64</v>
      </c>
      <c r="FQ1" s="3" t="s">
        <v>65</v>
      </c>
      <c r="FR1" t="s">
        <v>66</v>
      </c>
      <c r="FS1" t="s">
        <v>67</v>
      </c>
      <c r="FT1" t="s">
        <v>57</v>
      </c>
      <c r="FU1" t="s">
        <v>68</v>
      </c>
      <c r="FV1" t="s">
        <v>17</v>
      </c>
      <c r="GD1" t="s">
        <v>69</v>
      </c>
      <c r="GE1" t="s">
        <v>70</v>
      </c>
      <c r="GF1" t="s">
        <v>68</v>
      </c>
      <c r="GG1" t="s">
        <v>17</v>
      </c>
      <c r="GN1" t="s">
        <v>71</v>
      </c>
      <c r="GO1" t="s">
        <v>72</v>
      </c>
      <c r="GP1" t="s">
        <v>68</v>
      </c>
      <c r="GQ1" t="s">
        <v>17</v>
      </c>
      <c r="GX1" t="s">
        <v>71</v>
      </c>
      <c r="GY1" t="s">
        <v>73</v>
      </c>
      <c r="HB1" t="s">
        <v>74</v>
      </c>
      <c r="HC1" t="s">
        <v>75</v>
      </c>
      <c r="HE1" t="s">
        <v>76</v>
      </c>
      <c r="HG1" t="s">
        <v>77</v>
      </c>
      <c r="HH1" t="s">
        <v>78</v>
      </c>
      <c r="HI1" t="s">
        <v>79</v>
      </c>
    </row>
    <row r="2" spans="1:217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2452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t="s">
        <v>81</v>
      </c>
      <c r="W2" t="s">
        <v>82</v>
      </c>
      <c r="X2" t="s">
        <v>2065</v>
      </c>
      <c r="Y2" t="s">
        <v>83</v>
      </c>
      <c r="Z2" t="s">
        <v>84</v>
      </c>
      <c r="AA2" t="s">
        <v>20</v>
      </c>
      <c r="AB2" t="s">
        <v>2265</v>
      </c>
      <c r="AC2" t="s">
        <v>2266</v>
      </c>
      <c r="AD2" t="s">
        <v>22</v>
      </c>
      <c r="AE2" t="s">
        <v>85</v>
      </c>
      <c r="AF2" t="s">
        <v>23</v>
      </c>
      <c r="AG2" s="1" t="s">
        <v>24</v>
      </c>
      <c r="AH2" t="s">
        <v>25</v>
      </c>
      <c r="AI2" s="20" t="s">
        <v>2329</v>
      </c>
      <c r="AJ2" t="s">
        <v>26</v>
      </c>
      <c r="AK2" t="s">
        <v>27</v>
      </c>
      <c r="AL2" t="s">
        <v>28</v>
      </c>
      <c r="AM2" t="s">
        <v>86</v>
      </c>
      <c r="AN2" t="s">
        <v>2071</v>
      </c>
      <c r="AO2" t="s">
        <v>87</v>
      </c>
      <c r="AP2" t="s">
        <v>88</v>
      </c>
      <c r="AQ2" t="s">
        <v>89</v>
      </c>
      <c r="AR2" t="s">
        <v>29</v>
      </c>
      <c r="AS2" t="s">
        <v>2072</v>
      </c>
      <c r="AT2" t="s">
        <v>2073</v>
      </c>
      <c r="AU2" t="s">
        <v>31</v>
      </c>
      <c r="AV2" t="s">
        <v>32</v>
      </c>
      <c r="AW2" t="s">
        <v>2070</v>
      </c>
      <c r="AX2" t="s">
        <v>33</v>
      </c>
      <c r="AY2" t="s">
        <v>2074</v>
      </c>
      <c r="AZ2" s="1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s="20" t="s">
        <v>2075</v>
      </c>
      <c r="BG2" t="s">
        <v>2076</v>
      </c>
      <c r="BH2" t="s">
        <v>90</v>
      </c>
      <c r="BI2" t="s">
        <v>91</v>
      </c>
      <c r="BJ2" t="s">
        <v>92</v>
      </c>
      <c r="BK2" t="s">
        <v>40</v>
      </c>
      <c r="BL2" t="s">
        <v>41</v>
      </c>
      <c r="BM2" t="s">
        <v>42</v>
      </c>
      <c r="BN2" t="s">
        <v>2077</v>
      </c>
      <c r="BO2" t="s">
        <v>43</v>
      </c>
      <c r="BP2" t="s">
        <v>44</v>
      </c>
      <c r="BQ2" t="s">
        <v>2078</v>
      </c>
      <c r="BR2" t="s">
        <v>2079</v>
      </c>
      <c r="BS2" t="s">
        <v>2080</v>
      </c>
      <c r="BT2" t="s">
        <v>2081</v>
      </c>
      <c r="BU2" t="s">
        <v>2082</v>
      </c>
      <c r="BV2" t="s">
        <v>2083</v>
      </c>
      <c r="BW2" t="s">
        <v>2084</v>
      </c>
      <c r="BX2" t="s">
        <v>2085</v>
      </c>
      <c r="BY2" t="s">
        <v>2086</v>
      </c>
      <c r="BZ2" t="s">
        <v>2087</v>
      </c>
      <c r="CA2" t="s">
        <v>2088</v>
      </c>
      <c r="CB2" t="s">
        <v>2089</v>
      </c>
      <c r="CC2" t="s">
        <v>2090</v>
      </c>
      <c r="CD2" t="s">
        <v>2091</v>
      </c>
      <c r="CE2" t="s">
        <v>45</v>
      </c>
      <c r="CF2" t="s">
        <v>2092</v>
      </c>
      <c r="CG2" t="s">
        <v>2093</v>
      </c>
      <c r="CH2" t="s">
        <v>2094</v>
      </c>
      <c r="CI2" t="s">
        <v>2095</v>
      </c>
      <c r="CJ2" t="s">
        <v>2096</v>
      </c>
      <c r="CK2" t="s">
        <v>2097</v>
      </c>
      <c r="CL2" t="s">
        <v>2098</v>
      </c>
      <c r="CM2" t="s">
        <v>2099</v>
      </c>
      <c r="CN2" t="s">
        <v>2100</v>
      </c>
      <c r="CO2" t="s">
        <v>2101</v>
      </c>
      <c r="CP2" t="s">
        <v>2102</v>
      </c>
      <c r="CQ2" t="s">
        <v>2103</v>
      </c>
      <c r="CR2" t="s">
        <v>2104</v>
      </c>
      <c r="CS2" t="s">
        <v>2105</v>
      </c>
      <c r="CT2" s="1" t="s">
        <v>46</v>
      </c>
      <c r="CU2" t="s">
        <v>47</v>
      </c>
      <c r="CV2" t="s">
        <v>48</v>
      </c>
      <c r="CW2" t="s">
        <v>93</v>
      </c>
      <c r="CX2" t="s">
        <v>94</v>
      </c>
      <c r="CY2" s="20" t="s">
        <v>95</v>
      </c>
      <c r="CZ2" s="20" t="s">
        <v>96</v>
      </c>
      <c r="DA2" t="s">
        <v>97</v>
      </c>
      <c r="DB2" t="s">
        <v>98</v>
      </c>
      <c r="DC2" t="s">
        <v>2106</v>
      </c>
      <c r="DD2" s="1" t="s">
        <v>49</v>
      </c>
      <c r="DE2" t="s">
        <v>2107</v>
      </c>
      <c r="DF2" t="s">
        <v>2108</v>
      </c>
      <c r="DG2" t="s">
        <v>2109</v>
      </c>
      <c r="DH2" s="20" t="s">
        <v>2110</v>
      </c>
      <c r="DI2" s="20" t="s">
        <v>2111</v>
      </c>
      <c r="DJ2" s="20" t="s">
        <v>2112</v>
      </c>
      <c r="DK2" s="20" t="s">
        <v>2113</v>
      </c>
      <c r="DL2" t="s">
        <v>2114</v>
      </c>
      <c r="DM2" t="s">
        <v>2115</v>
      </c>
      <c r="DN2" s="1" t="s">
        <v>50</v>
      </c>
      <c r="DO2" t="s">
        <v>51</v>
      </c>
      <c r="DP2" t="s">
        <v>2067</v>
      </c>
      <c r="DQ2" t="s">
        <v>2068</v>
      </c>
      <c r="DR2" t="s">
        <v>2069</v>
      </c>
      <c r="DS2" t="s">
        <v>52</v>
      </c>
      <c r="DT2" s="20" t="s">
        <v>99</v>
      </c>
      <c r="DU2" s="20" t="s">
        <v>100</v>
      </c>
      <c r="DV2" s="20" t="s">
        <v>101</v>
      </c>
      <c r="DW2" t="s">
        <v>102</v>
      </c>
      <c r="DX2" t="s">
        <v>103</v>
      </c>
      <c r="DY2" s="20" t="s">
        <v>104</v>
      </c>
      <c r="DZ2" s="20" t="s">
        <v>105</v>
      </c>
      <c r="EA2" t="s">
        <v>106</v>
      </c>
      <c r="EB2" t="s">
        <v>107</v>
      </c>
      <c r="EC2" t="s">
        <v>108</v>
      </c>
      <c r="ED2" t="s">
        <v>109</v>
      </c>
      <c r="EE2" t="s">
        <v>110</v>
      </c>
      <c r="EF2" t="s">
        <v>111</v>
      </c>
      <c r="EG2" t="s">
        <v>112</v>
      </c>
      <c r="EH2" t="s">
        <v>2116</v>
      </c>
      <c r="EI2" t="s">
        <v>2117</v>
      </c>
      <c r="EJ2" t="s">
        <v>2118</v>
      </c>
      <c r="EK2" t="s">
        <v>2119</v>
      </c>
      <c r="EL2" t="s">
        <v>2120</v>
      </c>
      <c r="EM2" t="s">
        <v>2121</v>
      </c>
      <c r="EN2" t="s">
        <v>2122</v>
      </c>
      <c r="EO2" t="s">
        <v>2123</v>
      </c>
      <c r="EP2" t="s">
        <v>2124</v>
      </c>
      <c r="EQ2" s="1" t="s">
        <v>55</v>
      </c>
      <c r="ER2" t="s">
        <v>56</v>
      </c>
      <c r="ES2" t="s">
        <v>57</v>
      </c>
      <c r="ET2" t="s">
        <v>58</v>
      </c>
      <c r="EU2" s="20" t="s">
        <v>113</v>
      </c>
      <c r="EV2" t="s">
        <v>114</v>
      </c>
      <c r="EW2" t="s">
        <v>115</v>
      </c>
      <c r="EX2" t="s">
        <v>59</v>
      </c>
      <c r="EY2" t="s">
        <v>60</v>
      </c>
      <c r="EZ2" t="s">
        <v>61</v>
      </c>
      <c r="FA2" t="s">
        <v>62</v>
      </c>
      <c r="FB2" t="s">
        <v>2125</v>
      </c>
      <c r="FC2" t="s">
        <v>2126</v>
      </c>
      <c r="FD2" t="s">
        <v>2127</v>
      </c>
      <c r="FE2" t="s">
        <v>2128</v>
      </c>
      <c r="FF2" t="s">
        <v>2129</v>
      </c>
      <c r="FG2" t="s">
        <v>2130</v>
      </c>
      <c r="FH2" t="s">
        <v>2131</v>
      </c>
      <c r="FI2" t="s">
        <v>63</v>
      </c>
      <c r="FJ2" t="s">
        <v>2132</v>
      </c>
      <c r="FK2" t="s">
        <v>2133</v>
      </c>
      <c r="FL2" t="s">
        <v>2134</v>
      </c>
      <c r="FM2" t="s">
        <v>2135</v>
      </c>
      <c r="FN2" t="s">
        <v>2136</v>
      </c>
      <c r="FO2" t="s">
        <v>2137</v>
      </c>
      <c r="FP2" t="s">
        <v>64</v>
      </c>
      <c r="FQ2" s="1" t="s">
        <v>65</v>
      </c>
      <c r="FR2" t="s">
        <v>66</v>
      </c>
      <c r="FS2" t="s">
        <v>67</v>
      </c>
      <c r="FT2" t="s">
        <v>2138</v>
      </c>
      <c r="FU2" t="s">
        <v>68</v>
      </c>
      <c r="FV2" s="20" t="s">
        <v>116</v>
      </c>
      <c r="FW2" t="s">
        <v>2139</v>
      </c>
      <c r="FX2" t="s">
        <v>2140</v>
      </c>
      <c r="FY2" t="s">
        <v>2141</v>
      </c>
      <c r="FZ2" t="s">
        <v>2142</v>
      </c>
      <c r="GA2" t="s">
        <v>2143</v>
      </c>
      <c r="GB2" t="s">
        <v>2144</v>
      </c>
      <c r="GC2" t="s">
        <v>2145</v>
      </c>
      <c r="GD2" t="s">
        <v>69</v>
      </c>
      <c r="GE2" t="s">
        <v>70</v>
      </c>
      <c r="GF2" t="s">
        <v>2146</v>
      </c>
      <c r="GG2" t="s">
        <v>2147</v>
      </c>
      <c r="GH2" t="s">
        <v>2148</v>
      </c>
      <c r="GI2" t="s">
        <v>2149</v>
      </c>
      <c r="GJ2" t="s">
        <v>2150</v>
      </c>
      <c r="GK2" t="s">
        <v>2151</v>
      </c>
      <c r="GL2" t="s">
        <v>2152</v>
      </c>
      <c r="GM2" t="s">
        <v>2153</v>
      </c>
      <c r="GN2" t="s">
        <v>71</v>
      </c>
      <c r="GO2" t="s">
        <v>72</v>
      </c>
      <c r="GP2" t="s">
        <v>2154</v>
      </c>
      <c r="GQ2" t="s">
        <v>2155</v>
      </c>
      <c r="GR2" t="s">
        <v>2156</v>
      </c>
      <c r="GS2" t="s">
        <v>2157</v>
      </c>
      <c r="GT2" t="s">
        <v>2158</v>
      </c>
      <c r="GU2" t="s">
        <v>2159</v>
      </c>
      <c r="GV2" t="s">
        <v>2160</v>
      </c>
      <c r="GW2" t="s">
        <v>2161</v>
      </c>
      <c r="GX2" t="s">
        <v>2162</v>
      </c>
      <c r="GY2" t="s">
        <v>73</v>
      </c>
      <c r="GZ2" t="s">
        <v>2163</v>
      </c>
      <c r="HA2" t="s">
        <v>2164</v>
      </c>
      <c r="HB2" t="s">
        <v>74</v>
      </c>
      <c r="HC2" t="s">
        <v>75</v>
      </c>
      <c r="HD2" s="20" t="s">
        <v>2320</v>
      </c>
      <c r="HE2" t="s">
        <v>76</v>
      </c>
      <c r="HF2" t="s">
        <v>2165</v>
      </c>
      <c r="HG2" t="s">
        <v>77</v>
      </c>
      <c r="HH2" t="s">
        <v>78</v>
      </c>
      <c r="HI2" t="s">
        <v>79</v>
      </c>
    </row>
    <row r="3" spans="1:217" hidden="1" x14ac:dyDescent="0.45">
      <c r="A3">
        <v>1</v>
      </c>
      <c r="B3">
        <f>_xlfn.IFNA(VLOOKUP(AnalizaCzyste[[#This Row],[Zakończono wypełnianie]],Zakończone[],2,0),"BRAK")</f>
        <v>1</v>
      </c>
      <c r="C3">
        <f t="shared" ref="C3:C34" si="0">COUNTA(P3:HI3)</f>
        <v>37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O3">
        <v>0</v>
      </c>
      <c r="P3" t="s">
        <v>122</v>
      </c>
      <c r="Q3" s="1" t="s">
        <v>123</v>
      </c>
      <c r="AG3" s="1" t="s">
        <v>124</v>
      </c>
      <c r="AH3" s="20" t="s">
        <v>191</v>
      </c>
      <c r="AI3" s="20" t="str">
        <f>VLOOKUP(AnalizaCzyste[[#This Row],[Jak się nazywa uczelnia którą ukończyłeś? (proszę o wybranie jednej uczelni podlegającej ocenie)]],KategorieUczelni[],2,0)</f>
        <v>Publiczna</v>
      </c>
      <c r="AJ3" s="42">
        <v>2011</v>
      </c>
      <c r="AK3" t="s">
        <v>126</v>
      </c>
      <c r="AL3" t="s">
        <v>127</v>
      </c>
      <c r="AM3" t="s">
        <v>128</v>
      </c>
      <c r="AN3" t="s">
        <v>128</v>
      </c>
      <c r="AO3" t="s">
        <v>129</v>
      </c>
      <c r="AP3" t="s">
        <v>129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Y3" t="s">
        <v>136</v>
      </c>
      <c r="AZ3" s="1" t="s">
        <v>123</v>
      </c>
      <c r="CT3" s="1" t="s">
        <v>123</v>
      </c>
      <c r="DD3" s="1" t="s">
        <v>123</v>
      </c>
      <c r="DN3" s="1" t="s">
        <v>123</v>
      </c>
      <c r="EQ3" s="1" t="s">
        <v>123</v>
      </c>
      <c r="FQ3" s="1" t="s">
        <v>123</v>
      </c>
      <c r="FR3" t="s">
        <v>132</v>
      </c>
      <c r="GY3" t="s">
        <v>137</v>
      </c>
      <c r="GZ3" t="s">
        <v>138</v>
      </c>
      <c r="HA3" t="s">
        <v>139</v>
      </c>
      <c r="HB3" t="s">
        <v>140</v>
      </c>
      <c r="HC3">
        <v>1987</v>
      </c>
      <c r="HD3" t="str">
        <f>VLOOKUP(AnalizaCzyste[[#This Row],[Rok urodzenia]],KategorieWiekowe[],2,1)</f>
        <v>26-35 lat</v>
      </c>
      <c r="HE3" t="s">
        <v>141</v>
      </c>
      <c r="HG3" t="s">
        <v>142</v>
      </c>
      <c r="HH3" t="s">
        <v>142</v>
      </c>
      <c r="HI3" t="s">
        <v>143</v>
      </c>
    </row>
    <row r="4" spans="1:217" hidden="1" x14ac:dyDescent="0.45">
      <c r="A4">
        <v>2</v>
      </c>
      <c r="B4">
        <f>_xlfn.IFNA(VLOOKUP(AnalizaCzyste[[#This Row],[Zakończono wypełnianie]],Zakończone[],2,0),"BRAK")</f>
        <v>2</v>
      </c>
      <c r="C4">
        <f t="shared" si="0"/>
        <v>97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O4">
        <v>0</v>
      </c>
      <c r="P4" t="s">
        <v>122</v>
      </c>
      <c r="Q4" s="1" t="s">
        <v>123</v>
      </c>
      <c r="AG4" s="1" t="s">
        <v>124</v>
      </c>
      <c r="AH4" t="s">
        <v>234</v>
      </c>
      <c r="AI4" t="str">
        <f>VLOOKUP(AnalizaCzyste[[#This Row],[Jak się nazywa uczelnia którą ukończyłeś? (proszę o wybranie jednej uczelni podlegającej ocenie)]],KategorieUczelni[],2,0)</f>
        <v>Publiczna</v>
      </c>
      <c r="AJ4">
        <v>1986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 t="s">
        <v>150</v>
      </c>
      <c r="AR4">
        <v>3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s">
        <v>158</v>
      </c>
      <c r="AZ4" s="1" t="s">
        <v>159</v>
      </c>
      <c r="BA4">
        <v>2</v>
      </c>
      <c r="BB4" t="s">
        <v>160</v>
      </c>
      <c r="BC4">
        <v>2013</v>
      </c>
      <c r="BD4" t="s">
        <v>148</v>
      </c>
      <c r="BE4" t="s">
        <v>161</v>
      </c>
      <c r="BF4" t="s">
        <v>162</v>
      </c>
      <c r="BG4" t="s">
        <v>150</v>
      </c>
      <c r="BH4" t="s">
        <v>150</v>
      </c>
      <c r="BI4" t="s">
        <v>150</v>
      </c>
      <c r="BJ4" t="s">
        <v>150</v>
      </c>
      <c r="BK4" t="s">
        <v>163</v>
      </c>
      <c r="BL4" t="s">
        <v>164</v>
      </c>
      <c r="BM4" t="s">
        <v>157</v>
      </c>
      <c r="BO4" t="s">
        <v>165</v>
      </c>
      <c r="BP4" t="s">
        <v>166</v>
      </c>
      <c r="BQ4" t="s">
        <v>167</v>
      </c>
      <c r="BR4">
        <v>2015</v>
      </c>
      <c r="BS4" t="s">
        <v>148</v>
      </c>
      <c r="BT4" t="s">
        <v>168</v>
      </c>
      <c r="BU4" t="s">
        <v>150</v>
      </c>
      <c r="BV4" t="s">
        <v>169</v>
      </c>
      <c r="BW4" t="s">
        <v>150</v>
      </c>
      <c r="BX4" t="s">
        <v>150</v>
      </c>
      <c r="BY4" t="s">
        <v>150</v>
      </c>
      <c r="BZ4" t="s">
        <v>170</v>
      </c>
      <c r="CA4" t="s">
        <v>171</v>
      </c>
      <c r="CB4" t="s">
        <v>172</v>
      </c>
      <c r="CE4" t="s">
        <v>173</v>
      </c>
      <c r="CT4" s="1" t="s">
        <v>123</v>
      </c>
      <c r="DD4" s="1" t="s">
        <v>123</v>
      </c>
      <c r="DN4" s="1" t="s">
        <v>174</v>
      </c>
      <c r="DR4" t="s">
        <v>175</v>
      </c>
      <c r="DS4" t="s">
        <v>176</v>
      </c>
      <c r="DT4" t="s">
        <v>162</v>
      </c>
      <c r="DU4" t="s">
        <v>150</v>
      </c>
      <c r="DV4" t="s">
        <v>151</v>
      </c>
      <c r="DW4" t="s">
        <v>151</v>
      </c>
      <c r="DX4" t="s">
        <v>162</v>
      </c>
      <c r="DY4" t="s">
        <v>162</v>
      </c>
      <c r="DZ4" t="s">
        <v>150</v>
      </c>
      <c r="EA4">
        <v>25</v>
      </c>
      <c r="EB4">
        <v>25</v>
      </c>
      <c r="EC4">
        <v>2</v>
      </c>
      <c r="ED4">
        <v>5</v>
      </c>
      <c r="EE4">
        <v>8</v>
      </c>
      <c r="EF4">
        <v>25</v>
      </c>
      <c r="EG4">
        <v>10</v>
      </c>
      <c r="EI4">
        <v>20</v>
      </c>
      <c r="EJ4">
        <v>20</v>
      </c>
      <c r="EK4">
        <v>1</v>
      </c>
      <c r="EL4">
        <v>4</v>
      </c>
      <c r="EM4">
        <v>25</v>
      </c>
      <c r="EN4">
        <v>25</v>
      </c>
      <c r="EO4">
        <v>5</v>
      </c>
      <c r="EQ4" s="1" t="s">
        <v>177</v>
      </c>
      <c r="ER4" t="s">
        <v>178</v>
      </c>
      <c r="ES4">
        <v>1</v>
      </c>
      <c r="ET4" t="s">
        <v>179</v>
      </c>
      <c r="EU4" t="s">
        <v>150</v>
      </c>
      <c r="EV4" t="s">
        <v>150</v>
      </c>
      <c r="EW4" t="s">
        <v>151</v>
      </c>
      <c r="EX4" t="s">
        <v>180</v>
      </c>
      <c r="EY4" t="s">
        <v>181</v>
      </c>
      <c r="EZ4" t="s">
        <v>182</v>
      </c>
      <c r="FA4" t="s">
        <v>173</v>
      </c>
      <c r="FQ4" s="1" t="s">
        <v>123</v>
      </c>
      <c r="FR4" t="s">
        <v>132</v>
      </c>
      <c r="GY4" t="s">
        <v>183</v>
      </c>
      <c r="GZ4" t="s">
        <v>184</v>
      </c>
      <c r="HA4" t="s">
        <v>185</v>
      </c>
      <c r="HB4" t="s">
        <v>186</v>
      </c>
      <c r="HC4">
        <v>1961</v>
      </c>
      <c r="HD4" t="str">
        <f>VLOOKUP(AnalizaCzyste[[#This Row],[Rok urodzenia]],KategorieWiekowe[],2,1)</f>
        <v>56-65 lat</v>
      </c>
      <c r="HE4" t="s">
        <v>141</v>
      </c>
      <c r="HG4" t="s">
        <v>187</v>
      </c>
    </row>
    <row r="5" spans="1:217" hidden="1" x14ac:dyDescent="0.45">
      <c r="A5">
        <v>3</v>
      </c>
      <c r="B5">
        <f>_xlfn.IFNA(VLOOKUP(AnalizaCzyste[[#This Row],[Zakończono wypełnianie]],Zakończone[],2,0),"BRAK")</f>
        <v>3</v>
      </c>
      <c r="C5">
        <f t="shared" si="0"/>
        <v>35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O5">
        <v>0</v>
      </c>
      <c r="P5" t="s">
        <v>122</v>
      </c>
      <c r="Q5" s="1" t="s">
        <v>123</v>
      </c>
      <c r="AG5" s="1" t="s">
        <v>124</v>
      </c>
      <c r="AH5" t="s">
        <v>191</v>
      </c>
      <c r="AI5" t="str">
        <f>VLOOKUP(AnalizaCzyste[[#This Row],[Jak się nazywa uczelnia którą ukończyłeś? (proszę o wybranie jednej uczelni podlegającej ocenie)]],KategorieUczelni[],2,0)</f>
        <v>Publiczna</v>
      </c>
      <c r="AJ5">
        <v>2017</v>
      </c>
      <c r="AK5" t="s">
        <v>126</v>
      </c>
      <c r="AL5" t="s">
        <v>192</v>
      </c>
      <c r="AM5" t="s">
        <v>150</v>
      </c>
      <c r="AN5" t="s">
        <v>150</v>
      </c>
      <c r="AO5" t="s">
        <v>162</v>
      </c>
      <c r="AP5" t="s">
        <v>169</v>
      </c>
      <c r="AQ5" t="s">
        <v>169</v>
      </c>
      <c r="AR5" t="s">
        <v>193</v>
      </c>
      <c r="AS5" t="s">
        <v>194</v>
      </c>
      <c r="AT5" t="s">
        <v>194</v>
      </c>
      <c r="AU5" t="s">
        <v>195</v>
      </c>
      <c r="AV5" t="s">
        <v>196</v>
      </c>
      <c r="AW5" t="s">
        <v>197</v>
      </c>
      <c r="AX5" t="s">
        <v>157</v>
      </c>
      <c r="AZ5" s="1" t="s">
        <v>123</v>
      </c>
      <c r="CT5" s="1" t="s">
        <v>123</v>
      </c>
      <c r="DD5" s="1" t="s">
        <v>123</v>
      </c>
      <c r="DN5" s="1" t="s">
        <v>123</v>
      </c>
      <c r="EQ5" s="1" t="s">
        <v>123</v>
      </c>
      <c r="FQ5" s="1" t="s">
        <v>123</v>
      </c>
      <c r="FR5" t="s">
        <v>132</v>
      </c>
      <c r="GY5" t="s">
        <v>198</v>
      </c>
      <c r="GZ5" t="s">
        <v>199</v>
      </c>
      <c r="HA5" t="s">
        <v>200</v>
      </c>
      <c r="HB5" t="s">
        <v>186</v>
      </c>
      <c r="HC5">
        <v>1991</v>
      </c>
      <c r="HD5" t="str">
        <f>VLOOKUP(AnalizaCzyste[[#This Row],[Rok urodzenia]],KategorieWiekowe[],2,1)</f>
        <v>26-35 lat</v>
      </c>
      <c r="HE5" t="s">
        <v>141</v>
      </c>
      <c r="HG5" t="s">
        <v>201</v>
      </c>
    </row>
    <row r="6" spans="1:217" hidden="1" x14ac:dyDescent="0.45">
      <c r="A6">
        <v>4</v>
      </c>
      <c r="B6">
        <f>_xlfn.IFNA(VLOOKUP(AnalizaCzyste[[#This Row],[Zakończono wypełnianie]],Zakończone[],2,0),"BRAK")</f>
        <v>4</v>
      </c>
      <c r="C6">
        <f t="shared" si="0"/>
        <v>46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O6">
        <v>0</v>
      </c>
      <c r="P6" t="s">
        <v>122</v>
      </c>
      <c r="Q6" s="1" t="s">
        <v>123</v>
      </c>
      <c r="AG6" s="1" t="s">
        <v>124</v>
      </c>
      <c r="AH6" t="s">
        <v>234</v>
      </c>
      <c r="AI6" t="str">
        <f>VLOOKUP(AnalizaCzyste[[#This Row],[Jak się nazywa uczelnia którą ukończyłeś? (proszę o wybranie jednej uczelni podlegającej ocenie)]],KategorieUczelni[],2,0)</f>
        <v>Publiczna</v>
      </c>
      <c r="AJ6">
        <v>1986</v>
      </c>
      <c r="AK6" t="s">
        <v>148</v>
      </c>
      <c r="AL6" t="s">
        <v>207</v>
      </c>
      <c r="AM6" t="s">
        <v>150</v>
      </c>
      <c r="AN6" t="s">
        <v>150</v>
      </c>
      <c r="AO6" t="s">
        <v>162</v>
      </c>
      <c r="AP6" t="s">
        <v>162</v>
      </c>
      <c r="AQ6" t="s">
        <v>162</v>
      </c>
      <c r="AR6" t="s">
        <v>208</v>
      </c>
      <c r="AS6" t="s">
        <v>209</v>
      </c>
      <c r="AT6" t="s">
        <v>209</v>
      </c>
      <c r="AU6" t="s">
        <v>210</v>
      </c>
      <c r="AV6" t="s">
        <v>211</v>
      </c>
      <c r="AW6" t="s">
        <v>212</v>
      </c>
      <c r="AX6" t="s">
        <v>157</v>
      </c>
      <c r="AY6" t="s">
        <v>213</v>
      </c>
      <c r="AZ6" s="1" t="s">
        <v>123</v>
      </c>
      <c r="CT6" s="1" t="s">
        <v>123</v>
      </c>
      <c r="DD6" s="1" t="s">
        <v>214</v>
      </c>
      <c r="DE6" t="s">
        <v>205</v>
      </c>
      <c r="DF6" t="s">
        <v>215</v>
      </c>
      <c r="DG6" t="s">
        <v>150</v>
      </c>
      <c r="DH6" t="s">
        <v>169</v>
      </c>
      <c r="DI6" t="s">
        <v>169</v>
      </c>
      <c r="DJ6" t="s">
        <v>150</v>
      </c>
      <c r="DK6" t="s">
        <v>151</v>
      </c>
      <c r="DL6" t="s">
        <v>151</v>
      </c>
      <c r="DM6" t="s">
        <v>216</v>
      </c>
      <c r="DN6" s="1" t="s">
        <v>123</v>
      </c>
      <c r="EQ6" s="1" t="s">
        <v>123</v>
      </c>
      <c r="ER6" t="s">
        <v>178</v>
      </c>
      <c r="ES6" t="s">
        <v>132</v>
      </c>
      <c r="FQ6" s="1" t="s">
        <v>123</v>
      </c>
      <c r="FR6" t="s">
        <v>132</v>
      </c>
      <c r="GY6" t="s">
        <v>217</v>
      </c>
      <c r="GZ6" t="s">
        <v>218</v>
      </c>
      <c r="HA6" t="s">
        <v>219</v>
      </c>
      <c r="HB6" t="s">
        <v>140</v>
      </c>
      <c r="HC6">
        <v>1961</v>
      </c>
      <c r="HD6" t="str">
        <f>VLOOKUP(AnalizaCzyste[[#This Row],[Rok urodzenia]],KategorieWiekowe[],2,1)</f>
        <v>56-65 lat</v>
      </c>
      <c r="HE6" t="s">
        <v>220</v>
      </c>
    </row>
    <row r="7" spans="1:217" hidden="1" x14ac:dyDescent="0.45">
      <c r="A7">
        <v>5</v>
      </c>
      <c r="B7">
        <f>_xlfn.IFNA(VLOOKUP(AnalizaCzyste[[#This Row],[Zakończono wypełnianie]],Zakończone[],2,0),"BRAK")</f>
        <v>5</v>
      </c>
      <c r="C7">
        <f t="shared" si="0"/>
        <v>85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O7">
        <v>0</v>
      </c>
      <c r="P7" t="s">
        <v>122</v>
      </c>
      <c r="Q7" s="1" t="s">
        <v>123</v>
      </c>
      <c r="AG7" s="1" t="s">
        <v>124</v>
      </c>
      <c r="AH7" t="s">
        <v>223</v>
      </c>
      <c r="AI7" t="str">
        <f>VLOOKUP(AnalizaCzyste[[#This Row],[Jak się nazywa uczelnia którą ukończyłeś? (proszę o wybranie jednej uczelni podlegającej ocenie)]],KategorieUczelni[],2,0)</f>
        <v>Publiczna</v>
      </c>
      <c r="AJ7">
        <v>1999</v>
      </c>
      <c r="AK7" t="s">
        <v>148</v>
      </c>
      <c r="AL7" t="s">
        <v>224</v>
      </c>
      <c r="AM7" t="s">
        <v>162</v>
      </c>
      <c r="AN7" t="s">
        <v>162</v>
      </c>
      <c r="AO7" t="s">
        <v>150</v>
      </c>
      <c r="AP7" t="s">
        <v>150</v>
      </c>
      <c r="AQ7" t="s">
        <v>169</v>
      </c>
      <c r="AR7" t="s">
        <v>225</v>
      </c>
      <c r="AS7" t="s">
        <v>153</v>
      </c>
      <c r="AT7" t="s">
        <v>226</v>
      </c>
      <c r="AU7" t="s">
        <v>227</v>
      </c>
      <c r="AV7" t="s">
        <v>228</v>
      </c>
      <c r="AW7" t="s">
        <v>229</v>
      </c>
      <c r="AX7" t="s">
        <v>230</v>
      </c>
      <c r="AZ7" s="1" t="s">
        <v>159</v>
      </c>
      <c r="BA7">
        <v>3</v>
      </c>
      <c r="BB7" t="s">
        <v>191</v>
      </c>
      <c r="BC7">
        <v>2011</v>
      </c>
      <c r="BD7" t="s">
        <v>126</v>
      </c>
      <c r="BE7" t="s">
        <v>2273</v>
      </c>
      <c r="BF7" t="s">
        <v>169</v>
      </c>
      <c r="BG7" t="s">
        <v>169</v>
      </c>
      <c r="BH7" t="s">
        <v>150</v>
      </c>
      <c r="BI7" t="s">
        <v>162</v>
      </c>
      <c r="BJ7" t="s">
        <v>150</v>
      </c>
      <c r="BK7">
        <v>1</v>
      </c>
      <c r="BL7" t="s">
        <v>232</v>
      </c>
      <c r="BM7" t="s">
        <v>157</v>
      </c>
      <c r="BO7" t="s">
        <v>233</v>
      </c>
      <c r="BP7" t="s">
        <v>166</v>
      </c>
      <c r="BQ7" t="s">
        <v>234</v>
      </c>
      <c r="BR7">
        <v>2011</v>
      </c>
      <c r="BS7" t="s">
        <v>148</v>
      </c>
      <c r="BT7" t="s">
        <v>235</v>
      </c>
      <c r="BU7" t="s">
        <v>151</v>
      </c>
      <c r="BV7" t="s">
        <v>128</v>
      </c>
      <c r="BW7" t="s">
        <v>236</v>
      </c>
      <c r="BX7" t="s">
        <v>128</v>
      </c>
      <c r="BY7" t="s">
        <v>162</v>
      </c>
      <c r="BZ7" t="s">
        <v>237</v>
      </c>
      <c r="CB7" t="s">
        <v>172</v>
      </c>
      <c r="CD7" t="s">
        <v>233</v>
      </c>
      <c r="CE7" t="s">
        <v>238</v>
      </c>
      <c r="CF7" t="s">
        <v>223</v>
      </c>
      <c r="CG7">
        <v>2016</v>
      </c>
      <c r="CH7" t="s">
        <v>148</v>
      </c>
      <c r="CI7" t="s">
        <v>239</v>
      </c>
      <c r="CJ7" t="s">
        <v>169</v>
      </c>
      <c r="CK7" t="s">
        <v>169</v>
      </c>
      <c r="CL7" t="s">
        <v>169</v>
      </c>
      <c r="CM7" t="s">
        <v>150</v>
      </c>
      <c r="CN7" t="s">
        <v>150</v>
      </c>
      <c r="CO7">
        <v>1</v>
      </c>
      <c r="CP7" t="s">
        <v>240</v>
      </c>
      <c r="CQ7" t="s">
        <v>157</v>
      </c>
      <c r="CS7" t="s">
        <v>233</v>
      </c>
      <c r="CT7" s="1" t="s">
        <v>123</v>
      </c>
      <c r="DD7" s="1" t="s">
        <v>214</v>
      </c>
      <c r="DE7" t="s">
        <v>234</v>
      </c>
      <c r="DF7" t="s">
        <v>241</v>
      </c>
      <c r="DG7" t="s">
        <v>162</v>
      </c>
      <c r="DH7" t="s">
        <v>169</v>
      </c>
      <c r="DI7" t="s">
        <v>169</v>
      </c>
      <c r="DJ7" t="s">
        <v>151</v>
      </c>
      <c r="DK7" t="s">
        <v>151</v>
      </c>
      <c r="DL7" t="s">
        <v>151</v>
      </c>
      <c r="DM7" t="s">
        <v>242</v>
      </c>
      <c r="DN7" s="1" t="s">
        <v>123</v>
      </c>
      <c r="EQ7" s="1" t="s">
        <v>123</v>
      </c>
      <c r="FQ7" s="1" t="s">
        <v>123</v>
      </c>
      <c r="FR7" t="s">
        <v>132</v>
      </c>
      <c r="GY7" t="s">
        <v>243</v>
      </c>
      <c r="GZ7" t="s">
        <v>244</v>
      </c>
      <c r="HA7" t="s">
        <v>245</v>
      </c>
      <c r="HB7" t="s">
        <v>186</v>
      </c>
      <c r="HC7">
        <v>1961</v>
      </c>
      <c r="HD7" t="str">
        <f>VLOOKUP(AnalizaCzyste[[#This Row],[Rok urodzenia]],KategorieWiekowe[],2,1)</f>
        <v>56-65 lat</v>
      </c>
      <c r="HE7" t="s">
        <v>246</v>
      </c>
      <c r="HG7" t="s">
        <v>247</v>
      </c>
    </row>
    <row r="8" spans="1:217" hidden="1" x14ac:dyDescent="0.45">
      <c r="A8">
        <v>6</v>
      </c>
      <c r="B8">
        <f>_xlfn.IFNA(VLOOKUP(AnalizaCzyste[[#This Row],[Zakończono wypełnianie]],Zakończone[],2,0),"BRAK")</f>
        <v>6</v>
      </c>
      <c r="C8">
        <f t="shared" si="0"/>
        <v>34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O8">
        <v>0</v>
      </c>
      <c r="P8" t="s">
        <v>122</v>
      </c>
      <c r="Q8" s="1" t="s">
        <v>123</v>
      </c>
      <c r="AG8" s="1" t="s">
        <v>124</v>
      </c>
      <c r="AH8" t="s">
        <v>191</v>
      </c>
      <c r="AI8" t="str">
        <f>VLOOKUP(AnalizaCzyste[[#This Row],[Jak się nazywa uczelnia którą ukończyłeś? (proszę o wybranie jednej uczelni podlegającej ocenie)]],KategorieUczelni[],2,0)</f>
        <v>Publiczna</v>
      </c>
      <c r="AJ8">
        <v>2013</v>
      </c>
      <c r="AK8" t="s">
        <v>126</v>
      </c>
      <c r="AL8" t="s">
        <v>251</v>
      </c>
      <c r="AM8" t="s">
        <v>162</v>
      </c>
      <c r="AN8" t="s">
        <v>162</v>
      </c>
      <c r="AO8" t="s">
        <v>151</v>
      </c>
      <c r="AP8" t="s">
        <v>132</v>
      </c>
      <c r="AQ8" t="s">
        <v>132</v>
      </c>
      <c r="AR8" t="s">
        <v>252</v>
      </c>
      <c r="AS8" t="s">
        <v>132</v>
      </c>
      <c r="AT8" t="s">
        <v>132</v>
      </c>
      <c r="AU8" t="s">
        <v>253</v>
      </c>
      <c r="AV8" t="s">
        <v>254</v>
      </c>
      <c r="AW8" t="s">
        <v>255</v>
      </c>
      <c r="AX8" t="s">
        <v>157</v>
      </c>
      <c r="AZ8" s="1" t="s">
        <v>123</v>
      </c>
      <c r="CT8" s="1" t="s">
        <v>123</v>
      </c>
      <c r="DD8" s="1" t="s">
        <v>123</v>
      </c>
      <c r="DN8" s="1" t="s">
        <v>123</v>
      </c>
      <c r="EQ8" s="1" t="s">
        <v>123</v>
      </c>
      <c r="FQ8" s="1" t="s">
        <v>123</v>
      </c>
      <c r="FR8" t="s">
        <v>132</v>
      </c>
      <c r="GY8" t="s">
        <v>256</v>
      </c>
      <c r="GZ8" t="s">
        <v>257</v>
      </c>
      <c r="HA8" t="s">
        <v>258</v>
      </c>
      <c r="HB8" t="s">
        <v>140</v>
      </c>
      <c r="HC8">
        <v>1988</v>
      </c>
      <c r="HD8" t="str">
        <f>VLOOKUP(AnalizaCzyste[[#This Row],[Rok urodzenia]],KategorieWiekowe[],2,1)</f>
        <v>26-35 lat</v>
      </c>
      <c r="HE8" t="s">
        <v>141</v>
      </c>
    </row>
    <row r="9" spans="1:217" hidden="1" x14ac:dyDescent="0.45">
      <c r="A9">
        <v>7</v>
      </c>
      <c r="B9">
        <f>_xlfn.IFNA(VLOOKUP(AnalizaCzyste[[#This Row],[Zakończono wypełnianie]],Zakończone[],2,0),"BRAK")</f>
        <v>7</v>
      </c>
      <c r="C9">
        <f t="shared" si="0"/>
        <v>39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O9">
        <v>0</v>
      </c>
      <c r="P9" t="s">
        <v>122</v>
      </c>
      <c r="Q9" s="1" t="s">
        <v>123</v>
      </c>
      <c r="AG9" s="1" t="s">
        <v>124</v>
      </c>
      <c r="AH9" t="s">
        <v>191</v>
      </c>
      <c r="AI9" t="str">
        <f>VLOOKUP(AnalizaCzyste[[#This Row],[Jak się nazywa uczelnia którą ukończyłeś? (proszę o wybranie jednej uczelni podlegającej ocenie)]],KategorieUczelni[],2,0)</f>
        <v>Publiczna</v>
      </c>
      <c r="AJ9">
        <v>2013</v>
      </c>
      <c r="AK9" t="s">
        <v>126</v>
      </c>
      <c r="AL9" t="s">
        <v>263</v>
      </c>
      <c r="AM9" t="s">
        <v>169</v>
      </c>
      <c r="AN9" t="s">
        <v>150</v>
      </c>
      <c r="AO9" t="s">
        <v>169</v>
      </c>
      <c r="AP9" t="s">
        <v>169</v>
      </c>
      <c r="AQ9" t="s">
        <v>169</v>
      </c>
      <c r="AR9">
        <v>4</v>
      </c>
      <c r="AS9" t="s">
        <v>153</v>
      </c>
      <c r="AT9" t="s">
        <v>153</v>
      </c>
      <c r="AU9" t="s">
        <v>264</v>
      </c>
      <c r="AV9" t="s">
        <v>265</v>
      </c>
      <c r="AW9" t="s">
        <v>266</v>
      </c>
      <c r="AX9" t="s">
        <v>157</v>
      </c>
      <c r="AZ9" s="1" t="s">
        <v>123</v>
      </c>
      <c r="CT9" s="1" t="s">
        <v>123</v>
      </c>
      <c r="DD9" s="1" t="s">
        <v>123</v>
      </c>
      <c r="DN9" s="1" t="s">
        <v>123</v>
      </c>
      <c r="EQ9" s="1" t="s">
        <v>123</v>
      </c>
      <c r="ER9" t="s">
        <v>180</v>
      </c>
      <c r="ES9" t="s">
        <v>132</v>
      </c>
      <c r="FQ9" s="1" t="s">
        <v>123</v>
      </c>
      <c r="FR9" t="s">
        <v>132</v>
      </c>
      <c r="FT9" t="s">
        <v>132</v>
      </c>
      <c r="GY9" t="s">
        <v>267</v>
      </c>
      <c r="GZ9" t="s">
        <v>267</v>
      </c>
      <c r="HA9" t="s">
        <v>267</v>
      </c>
      <c r="HB9" t="s">
        <v>186</v>
      </c>
      <c r="HC9">
        <v>1988</v>
      </c>
      <c r="HD9" t="str">
        <f>VLOOKUP(AnalizaCzyste[[#This Row],[Rok urodzenia]],KategorieWiekowe[],2,1)</f>
        <v>26-35 lat</v>
      </c>
      <c r="HE9" t="s">
        <v>220</v>
      </c>
      <c r="HG9" t="s">
        <v>268</v>
      </c>
      <c r="HH9" t="s">
        <v>268</v>
      </c>
    </row>
    <row r="10" spans="1:217" hidden="1" x14ac:dyDescent="0.45">
      <c r="A10">
        <v>8</v>
      </c>
      <c r="B10">
        <f>_xlfn.IFNA(VLOOKUP(AnalizaCzyste[[#This Row],[Zakończono wypełnianie]],Zakończone[],2,0),"BRAK")</f>
        <v>8</v>
      </c>
      <c r="C10">
        <f t="shared" si="0"/>
        <v>60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O10">
        <v>0</v>
      </c>
      <c r="P10" t="s">
        <v>122</v>
      </c>
      <c r="Q10" s="1" t="s">
        <v>123</v>
      </c>
      <c r="AG10" s="1" t="s">
        <v>124</v>
      </c>
      <c r="AH10" t="s">
        <v>160</v>
      </c>
      <c r="AI10" t="str">
        <f>VLOOKUP(AnalizaCzyste[[#This Row],[Jak się nazywa uczelnia którą ukończyłeś? (proszę o wybranie jednej uczelni podlegającej ocenie)]],KategorieUczelni[],2,0)</f>
        <v>Publiczna</v>
      </c>
      <c r="AJ10">
        <v>1973</v>
      </c>
      <c r="AK10" t="s">
        <v>148</v>
      </c>
      <c r="AL10" t="s">
        <v>272</v>
      </c>
      <c r="AM10" t="s">
        <v>169</v>
      </c>
      <c r="AN10" s="20" t="s">
        <v>169</v>
      </c>
      <c r="AO10" t="s">
        <v>150</v>
      </c>
      <c r="AP10" t="s">
        <v>129</v>
      </c>
      <c r="AQ10" t="s">
        <v>129</v>
      </c>
      <c r="AR10">
        <v>0</v>
      </c>
      <c r="AS10" t="s">
        <v>152</v>
      </c>
      <c r="AT10" t="s">
        <v>152</v>
      </c>
      <c r="AU10" t="s">
        <v>273</v>
      </c>
      <c r="AV10" t="s">
        <v>274</v>
      </c>
      <c r="AW10" t="s">
        <v>275</v>
      </c>
      <c r="AX10" t="s">
        <v>172</v>
      </c>
      <c r="AZ10" s="1" t="s">
        <v>159</v>
      </c>
      <c r="BA10">
        <v>3</v>
      </c>
      <c r="BB10" t="s">
        <v>160</v>
      </c>
      <c r="BC10" t="s">
        <v>276</v>
      </c>
      <c r="BD10" t="s">
        <v>148</v>
      </c>
      <c r="BE10" t="s">
        <v>277</v>
      </c>
      <c r="BF10" t="s">
        <v>169</v>
      </c>
      <c r="BG10" t="s">
        <v>169</v>
      </c>
      <c r="BH10" t="s">
        <v>236</v>
      </c>
      <c r="BI10" t="s">
        <v>236</v>
      </c>
      <c r="BJ10" t="s">
        <v>236</v>
      </c>
      <c r="BK10">
        <v>0</v>
      </c>
      <c r="BL10" t="s">
        <v>278</v>
      </c>
      <c r="BM10" t="s">
        <v>172</v>
      </c>
      <c r="BP10" t="s">
        <v>173</v>
      </c>
      <c r="CT10" s="1" t="s">
        <v>123</v>
      </c>
      <c r="DD10" s="1" t="s">
        <v>214</v>
      </c>
      <c r="DE10" t="s">
        <v>862</v>
      </c>
      <c r="DF10" t="s">
        <v>280</v>
      </c>
      <c r="DG10" t="s">
        <v>150</v>
      </c>
      <c r="DH10" t="s">
        <v>150</v>
      </c>
      <c r="DI10" t="s">
        <v>150</v>
      </c>
      <c r="DJ10" t="s">
        <v>150</v>
      </c>
      <c r="DK10" t="s">
        <v>150</v>
      </c>
      <c r="DL10" t="s">
        <v>150</v>
      </c>
      <c r="DM10" t="s">
        <v>281</v>
      </c>
      <c r="DN10" s="1" t="s">
        <v>123</v>
      </c>
      <c r="EQ10" s="1" t="s">
        <v>123</v>
      </c>
      <c r="ER10" t="s">
        <v>180</v>
      </c>
      <c r="ES10" t="s">
        <v>132</v>
      </c>
      <c r="FQ10" s="1" t="s">
        <v>123</v>
      </c>
      <c r="FR10" t="s">
        <v>132</v>
      </c>
      <c r="FT10" t="s">
        <v>132</v>
      </c>
      <c r="GY10" t="s">
        <v>282</v>
      </c>
      <c r="GZ10" t="s">
        <v>283</v>
      </c>
      <c r="HA10" t="s">
        <v>284</v>
      </c>
      <c r="HB10" t="s">
        <v>186</v>
      </c>
      <c r="HC10">
        <v>1950</v>
      </c>
      <c r="HD10" t="str">
        <f>VLOOKUP(AnalizaCzyste[[#This Row],[Rok urodzenia]],KategorieWiekowe[],2,1)</f>
        <v>powyżej 65 lat</v>
      </c>
      <c r="HE10" t="s">
        <v>141</v>
      </c>
    </row>
    <row r="11" spans="1:217" hidden="1" x14ac:dyDescent="0.45">
      <c r="A11">
        <v>10</v>
      </c>
      <c r="B11">
        <f>_xlfn.IFNA(VLOOKUP(AnalizaCzyste[[#This Row],[Zakończono wypełnianie]],Zakończone[],2,0),"BRAK")</f>
        <v>9</v>
      </c>
      <c r="C11">
        <f t="shared" si="0"/>
        <v>35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O11">
        <v>0</v>
      </c>
      <c r="P11" t="s">
        <v>122</v>
      </c>
      <c r="Q11" s="1" t="s">
        <v>123</v>
      </c>
      <c r="AG11" s="1" t="s">
        <v>124</v>
      </c>
      <c r="AH11" t="s">
        <v>191</v>
      </c>
      <c r="AI11" t="str">
        <f>VLOOKUP(AnalizaCzyste[[#This Row],[Jak się nazywa uczelnia którą ukończyłeś? (proszę o wybranie jednej uczelni podlegającej ocenie)]],KategorieUczelni[],2,0)</f>
        <v>Publiczna</v>
      </c>
      <c r="AJ11">
        <v>2013</v>
      </c>
      <c r="AK11" t="s">
        <v>126</v>
      </c>
      <c r="AL11" t="s">
        <v>291</v>
      </c>
      <c r="AM11" t="s">
        <v>150</v>
      </c>
      <c r="AN11" t="s">
        <v>150</v>
      </c>
      <c r="AO11" t="s">
        <v>169</v>
      </c>
      <c r="AP11" t="s">
        <v>151</v>
      </c>
      <c r="AQ11" t="s">
        <v>162</v>
      </c>
      <c r="AR11">
        <v>1</v>
      </c>
      <c r="AS11" t="s">
        <v>131</v>
      </c>
      <c r="AT11" t="s">
        <v>153</v>
      </c>
      <c r="AU11" t="s">
        <v>292</v>
      </c>
      <c r="AV11" t="s">
        <v>293</v>
      </c>
      <c r="AW11" t="s">
        <v>294</v>
      </c>
      <c r="AX11" t="s">
        <v>157</v>
      </c>
      <c r="AZ11" s="1" t="s">
        <v>123</v>
      </c>
      <c r="CT11" s="1" t="s">
        <v>123</v>
      </c>
      <c r="DD11" s="1" t="s">
        <v>123</v>
      </c>
      <c r="DN11" s="1" t="s">
        <v>123</v>
      </c>
      <c r="EQ11" s="1" t="s">
        <v>123</v>
      </c>
      <c r="FQ11" s="1" t="s">
        <v>123</v>
      </c>
      <c r="FR11" t="s">
        <v>132</v>
      </c>
      <c r="FT11" t="s">
        <v>132</v>
      </c>
      <c r="GY11" t="s">
        <v>295</v>
      </c>
      <c r="GZ11" t="s">
        <v>296</v>
      </c>
      <c r="HA11" t="s">
        <v>297</v>
      </c>
      <c r="HB11" t="s">
        <v>186</v>
      </c>
      <c r="HC11">
        <v>1988</v>
      </c>
      <c r="HD11" t="str">
        <f>VLOOKUP(AnalizaCzyste[[#This Row],[Rok urodzenia]],KategorieWiekowe[],2,1)</f>
        <v>26-35 lat</v>
      </c>
      <c r="HE11" t="s">
        <v>141</v>
      </c>
    </row>
    <row r="12" spans="1:217" hidden="1" x14ac:dyDescent="0.45">
      <c r="A12">
        <v>11</v>
      </c>
      <c r="B12">
        <f>_xlfn.IFNA(VLOOKUP(AnalizaCzyste[[#This Row],[Zakończono wypełnianie]],Zakończone[],2,0),"BRAK")</f>
        <v>10</v>
      </c>
      <c r="C12">
        <f t="shared" si="0"/>
        <v>64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O12">
        <v>0</v>
      </c>
      <c r="P12" t="s">
        <v>122</v>
      </c>
      <c r="Q12" s="1" t="s">
        <v>123</v>
      </c>
      <c r="AG12" s="1" t="s">
        <v>124</v>
      </c>
      <c r="AH12" t="s">
        <v>191</v>
      </c>
      <c r="AI12" t="str">
        <f>VLOOKUP(AnalizaCzyste[[#This Row],[Jak się nazywa uczelnia którą ukończyłeś? (proszę o wybranie jednej uczelni podlegającej ocenie)]],KategorieUczelni[],2,0)</f>
        <v>Publiczna</v>
      </c>
      <c r="AJ12">
        <v>1986</v>
      </c>
      <c r="AK12" t="s">
        <v>126</v>
      </c>
      <c r="AL12" t="s">
        <v>301</v>
      </c>
      <c r="AM12" t="s">
        <v>150</v>
      </c>
      <c r="AN12" t="s">
        <v>150</v>
      </c>
      <c r="AO12" t="s">
        <v>162</v>
      </c>
      <c r="AP12" t="s">
        <v>151</v>
      </c>
      <c r="AQ12" t="s">
        <v>151</v>
      </c>
      <c r="AR12">
        <v>2</v>
      </c>
      <c r="AS12" t="s">
        <v>302</v>
      </c>
      <c r="AT12" t="s">
        <v>153</v>
      </c>
      <c r="AU12" t="s">
        <v>303</v>
      </c>
      <c r="AV12" t="s">
        <v>304</v>
      </c>
      <c r="AW12" t="s">
        <v>305</v>
      </c>
      <c r="AX12" t="s">
        <v>157</v>
      </c>
      <c r="AZ12" s="1" t="s">
        <v>159</v>
      </c>
      <c r="BA12">
        <v>1</v>
      </c>
      <c r="BB12" t="s">
        <v>223</v>
      </c>
      <c r="BC12">
        <v>2011</v>
      </c>
      <c r="BD12" t="s">
        <v>148</v>
      </c>
      <c r="BE12" t="s">
        <v>127</v>
      </c>
      <c r="BF12" t="s">
        <v>150</v>
      </c>
      <c r="BG12" t="s">
        <v>150</v>
      </c>
      <c r="BH12" t="s">
        <v>169</v>
      </c>
      <c r="BI12" t="s">
        <v>169</v>
      </c>
      <c r="BJ12" t="s">
        <v>169</v>
      </c>
      <c r="BK12">
        <v>1</v>
      </c>
      <c r="BL12" t="s">
        <v>306</v>
      </c>
      <c r="BM12" t="s">
        <v>157</v>
      </c>
      <c r="BO12" t="s">
        <v>307</v>
      </c>
      <c r="BP12" t="s">
        <v>173</v>
      </c>
      <c r="CT12" s="1" t="s">
        <v>123</v>
      </c>
      <c r="DD12" s="1" t="s">
        <v>214</v>
      </c>
      <c r="DE12" t="s">
        <v>191</v>
      </c>
      <c r="DF12" t="s">
        <v>308</v>
      </c>
      <c r="DG12" t="s">
        <v>150</v>
      </c>
      <c r="DH12" t="s">
        <v>150</v>
      </c>
      <c r="DI12" t="s">
        <v>162</v>
      </c>
      <c r="DJ12" t="s">
        <v>150</v>
      </c>
      <c r="DK12" t="s">
        <v>150</v>
      </c>
      <c r="DL12" t="s">
        <v>150</v>
      </c>
      <c r="DM12" t="s">
        <v>309</v>
      </c>
      <c r="DN12" s="1" t="s">
        <v>123</v>
      </c>
      <c r="EQ12" s="1" t="s">
        <v>123</v>
      </c>
      <c r="ER12" t="s">
        <v>180</v>
      </c>
      <c r="ES12" t="s">
        <v>132</v>
      </c>
      <c r="FQ12" s="1" t="s">
        <v>123</v>
      </c>
      <c r="FR12" t="s">
        <v>132</v>
      </c>
      <c r="FT12" t="s">
        <v>132</v>
      </c>
      <c r="GY12" t="s">
        <v>310</v>
      </c>
      <c r="GZ12" t="s">
        <v>311</v>
      </c>
      <c r="HA12" t="s">
        <v>312</v>
      </c>
      <c r="HB12" t="s">
        <v>186</v>
      </c>
      <c r="HC12">
        <v>1963</v>
      </c>
      <c r="HD12" t="str">
        <f>VLOOKUP(AnalizaCzyste[[#This Row],[Rok urodzenia]],KategorieWiekowe[],2,1)</f>
        <v>56-65 lat</v>
      </c>
      <c r="HE12" t="s">
        <v>141</v>
      </c>
      <c r="HF12" t="s">
        <v>313</v>
      </c>
      <c r="HG12" t="s">
        <v>314</v>
      </c>
      <c r="HH12" t="s">
        <v>315</v>
      </c>
    </row>
    <row r="13" spans="1:217" hidden="1" x14ac:dyDescent="0.45">
      <c r="A13">
        <v>12</v>
      </c>
      <c r="B13">
        <f>_xlfn.IFNA(VLOOKUP(AnalizaCzyste[[#This Row],[Zakończono wypełnianie]],Zakończone[],2,0),"BRAK")</f>
        <v>11</v>
      </c>
      <c r="C13">
        <f t="shared" si="0"/>
        <v>37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O13">
        <v>0</v>
      </c>
      <c r="P13" t="s">
        <v>122</v>
      </c>
      <c r="Q13" s="1" t="s">
        <v>123</v>
      </c>
      <c r="AG13" s="1" t="s">
        <v>124</v>
      </c>
      <c r="AH13" t="s">
        <v>191</v>
      </c>
      <c r="AI13" t="str">
        <f>VLOOKUP(AnalizaCzyste[[#This Row],[Jak się nazywa uczelnia którą ukończyłeś? (proszę o wybranie jednej uczelni podlegającej ocenie)]],KategorieUczelni[],2,0)</f>
        <v>Publiczna</v>
      </c>
      <c r="AJ13">
        <v>2010</v>
      </c>
      <c r="AK13" t="s">
        <v>126</v>
      </c>
      <c r="AL13" t="s">
        <v>319</v>
      </c>
      <c r="AM13" t="s">
        <v>236</v>
      </c>
      <c r="AN13" t="s">
        <v>128</v>
      </c>
      <c r="AO13" t="s">
        <v>162</v>
      </c>
      <c r="AP13" t="s">
        <v>162</v>
      </c>
      <c r="AQ13" t="s">
        <v>162</v>
      </c>
      <c r="AR13">
        <v>6</v>
      </c>
      <c r="AS13" t="s">
        <v>131</v>
      </c>
      <c r="AT13" t="s">
        <v>302</v>
      </c>
      <c r="AU13" t="s">
        <v>320</v>
      </c>
      <c r="AV13" t="s">
        <v>321</v>
      </c>
      <c r="AW13" t="s">
        <v>322</v>
      </c>
      <c r="AX13" t="s">
        <v>157</v>
      </c>
      <c r="AZ13" s="1" t="s">
        <v>123</v>
      </c>
      <c r="CT13" s="1" t="s">
        <v>123</v>
      </c>
      <c r="DD13" s="1" t="s">
        <v>123</v>
      </c>
      <c r="DN13" s="1" t="s">
        <v>123</v>
      </c>
      <c r="EQ13" s="1" t="s">
        <v>123</v>
      </c>
      <c r="ER13" t="s">
        <v>180</v>
      </c>
      <c r="ES13" t="s">
        <v>132</v>
      </c>
      <c r="FQ13" s="1" t="s">
        <v>123</v>
      </c>
      <c r="FR13" t="s">
        <v>132</v>
      </c>
      <c r="FT13" t="s">
        <v>132</v>
      </c>
      <c r="GY13" t="s">
        <v>323</v>
      </c>
      <c r="GZ13" t="s">
        <v>324</v>
      </c>
      <c r="HA13" t="s">
        <v>325</v>
      </c>
      <c r="HB13" t="s">
        <v>186</v>
      </c>
      <c r="HC13">
        <v>1985</v>
      </c>
      <c r="HD13" t="str">
        <f>VLOOKUP(AnalizaCzyste[[#This Row],[Rok urodzenia]],KategorieWiekowe[],2,1)</f>
        <v>26-35 lat</v>
      </c>
      <c r="HE13" t="s">
        <v>141</v>
      </c>
    </row>
    <row r="14" spans="1:217" hidden="1" x14ac:dyDescent="0.45">
      <c r="A14">
        <v>13</v>
      </c>
      <c r="B14">
        <f>_xlfn.IFNA(VLOOKUP(AnalizaCzyste[[#This Row],[Zakończono wypełnianie]],Zakończone[],2,0),"BRAK")</f>
        <v>12</v>
      </c>
      <c r="C14">
        <f t="shared" si="0"/>
        <v>37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O14">
        <v>0</v>
      </c>
      <c r="P14" t="s">
        <v>122</v>
      </c>
      <c r="Q14" s="1" t="s">
        <v>123</v>
      </c>
      <c r="AG14" s="1" t="s">
        <v>124</v>
      </c>
      <c r="AH14" t="s">
        <v>191</v>
      </c>
      <c r="AI14" t="str">
        <f>VLOOKUP(AnalizaCzyste[[#This Row],[Jak się nazywa uczelnia którą ukończyłeś? (proszę o wybranie jednej uczelni podlegającej ocenie)]],KategorieUczelni[],2,0)</f>
        <v>Publiczna</v>
      </c>
      <c r="AJ14">
        <v>2011</v>
      </c>
      <c r="AK14" t="s">
        <v>126</v>
      </c>
      <c r="AL14" t="s">
        <v>330</v>
      </c>
      <c r="AM14" t="s">
        <v>169</v>
      </c>
      <c r="AN14" t="s">
        <v>169</v>
      </c>
      <c r="AO14" t="s">
        <v>150</v>
      </c>
      <c r="AP14" t="s">
        <v>162</v>
      </c>
      <c r="AQ14" t="s">
        <v>169</v>
      </c>
      <c r="AR14" t="s">
        <v>331</v>
      </c>
      <c r="AS14" t="s">
        <v>302</v>
      </c>
      <c r="AT14" t="s">
        <v>226</v>
      </c>
      <c r="AU14" t="s">
        <v>332</v>
      </c>
      <c r="AV14" t="s">
        <v>333</v>
      </c>
      <c r="AW14" t="s">
        <v>334</v>
      </c>
      <c r="AX14" t="s">
        <v>157</v>
      </c>
      <c r="AY14" t="s">
        <v>335</v>
      </c>
      <c r="AZ14" s="1" t="s">
        <v>123</v>
      </c>
      <c r="CT14" s="1" t="s">
        <v>123</v>
      </c>
      <c r="DD14" s="1" t="s">
        <v>123</v>
      </c>
      <c r="DN14" s="1" t="s">
        <v>123</v>
      </c>
      <c r="EQ14" s="1" t="s">
        <v>123</v>
      </c>
      <c r="FQ14" s="1" t="s">
        <v>123</v>
      </c>
      <c r="FR14" t="s">
        <v>132</v>
      </c>
      <c r="GY14" t="s">
        <v>336</v>
      </c>
      <c r="GZ14" t="s">
        <v>337</v>
      </c>
      <c r="HA14" t="s">
        <v>338</v>
      </c>
      <c r="HB14" t="s">
        <v>186</v>
      </c>
      <c r="HC14">
        <v>1987</v>
      </c>
      <c r="HD14" t="str">
        <f>VLOOKUP(AnalizaCzyste[[#This Row],[Rok urodzenia]],KategorieWiekowe[],2,1)</f>
        <v>26-35 lat</v>
      </c>
      <c r="HE14" t="s">
        <v>246</v>
      </c>
      <c r="HG14" t="s">
        <v>339</v>
      </c>
      <c r="HH14" t="s">
        <v>340</v>
      </c>
    </row>
    <row r="15" spans="1:217" hidden="1" x14ac:dyDescent="0.45">
      <c r="A15">
        <v>16</v>
      </c>
      <c r="B15">
        <f>_xlfn.IFNA(VLOOKUP(AnalizaCzyste[[#This Row],[Zakończono wypełnianie]],Zakończone[],2,0),"BRAK")</f>
        <v>15</v>
      </c>
      <c r="C15">
        <f t="shared" si="0"/>
        <v>36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O15">
        <v>0</v>
      </c>
      <c r="P15" t="s">
        <v>122</v>
      </c>
      <c r="Q15" s="1" t="s">
        <v>123</v>
      </c>
      <c r="AG15" s="1" t="s">
        <v>124</v>
      </c>
      <c r="AH15" t="s">
        <v>191</v>
      </c>
      <c r="AI15" t="str">
        <f>VLOOKUP(AnalizaCzyste[[#This Row],[Jak się nazywa uczelnia którą ukończyłeś? (proszę o wybranie jednej uczelni podlegającej ocenie)]],KategorieUczelni[],2,0)</f>
        <v>Publiczna</v>
      </c>
      <c r="AJ15">
        <v>2010</v>
      </c>
      <c r="AK15" t="s">
        <v>126</v>
      </c>
      <c r="AL15" t="s">
        <v>127</v>
      </c>
      <c r="AM15" t="s">
        <v>150</v>
      </c>
      <c r="AN15" t="s">
        <v>128</v>
      </c>
      <c r="AO15" t="s">
        <v>151</v>
      </c>
      <c r="AP15" t="s">
        <v>162</v>
      </c>
      <c r="AQ15" t="s">
        <v>162</v>
      </c>
      <c r="AR15" t="s">
        <v>350</v>
      </c>
      <c r="AS15" t="s">
        <v>302</v>
      </c>
      <c r="AT15" t="s">
        <v>302</v>
      </c>
      <c r="AU15" t="s">
        <v>351</v>
      </c>
      <c r="AV15" t="s">
        <v>352</v>
      </c>
      <c r="AW15" t="s">
        <v>353</v>
      </c>
      <c r="AX15" t="s">
        <v>157</v>
      </c>
      <c r="AZ15" s="1" t="s">
        <v>123</v>
      </c>
      <c r="CT15" s="1" t="s">
        <v>123</v>
      </c>
      <c r="DD15" s="1" t="s">
        <v>123</v>
      </c>
      <c r="DN15" s="1" t="s">
        <v>123</v>
      </c>
      <c r="EQ15" s="1" t="s">
        <v>123</v>
      </c>
      <c r="ES15" t="s">
        <v>132</v>
      </c>
      <c r="FQ15" s="1" t="s">
        <v>123</v>
      </c>
      <c r="FR15" t="s">
        <v>132</v>
      </c>
      <c r="GY15" t="s">
        <v>354</v>
      </c>
      <c r="GZ15" t="s">
        <v>355</v>
      </c>
      <c r="HA15" t="s">
        <v>356</v>
      </c>
      <c r="HB15" t="s">
        <v>140</v>
      </c>
      <c r="HC15">
        <v>1986</v>
      </c>
      <c r="HD15" t="str">
        <f>VLOOKUP(AnalizaCzyste[[#This Row],[Rok urodzenia]],KategorieWiekowe[],2,1)</f>
        <v>26-35 lat</v>
      </c>
      <c r="HE15" t="s">
        <v>141</v>
      </c>
      <c r="HG15" t="s">
        <v>357</v>
      </c>
    </row>
    <row r="16" spans="1:217" hidden="1" x14ac:dyDescent="0.45">
      <c r="A16">
        <v>17</v>
      </c>
      <c r="B16">
        <f>_xlfn.IFNA(VLOOKUP(AnalizaCzyste[[#This Row],[Zakończono wypełnianie]],Zakończone[],2,0),"BRAK")</f>
        <v>16</v>
      </c>
      <c r="C16">
        <f t="shared" si="0"/>
        <v>35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O16">
        <v>0</v>
      </c>
      <c r="P16" t="s">
        <v>122</v>
      </c>
      <c r="Q16" s="1" t="s">
        <v>123</v>
      </c>
      <c r="AG16" s="1" t="s">
        <v>124</v>
      </c>
      <c r="AH16" t="s">
        <v>223</v>
      </c>
      <c r="AI16" t="str">
        <f>VLOOKUP(AnalizaCzyste[[#This Row],[Jak się nazywa uczelnia którą ukończyłeś? (proszę o wybranie jednej uczelni podlegającej ocenie)]],KategorieUczelni[],2,0)</f>
        <v>Publiczna</v>
      </c>
      <c r="AJ16">
        <v>2011</v>
      </c>
      <c r="AK16" t="s">
        <v>148</v>
      </c>
      <c r="AL16" t="s">
        <v>362</v>
      </c>
      <c r="AM16" t="s">
        <v>151</v>
      </c>
      <c r="AN16" t="s">
        <v>236</v>
      </c>
      <c r="AO16" t="s">
        <v>129</v>
      </c>
      <c r="AP16" t="s">
        <v>129</v>
      </c>
      <c r="AQ16" t="s">
        <v>129</v>
      </c>
      <c r="AR16">
        <v>4</v>
      </c>
      <c r="AS16" t="s">
        <v>131</v>
      </c>
      <c r="AT16" t="s">
        <v>131</v>
      </c>
      <c r="AU16" t="s">
        <v>363</v>
      </c>
      <c r="AV16" t="s">
        <v>364</v>
      </c>
      <c r="AW16" t="s">
        <v>365</v>
      </c>
      <c r="AX16" t="s">
        <v>157</v>
      </c>
      <c r="AZ16" s="1" t="s">
        <v>123</v>
      </c>
      <c r="CT16" s="1" t="s">
        <v>123</v>
      </c>
      <c r="DD16" s="1" t="s">
        <v>123</v>
      </c>
      <c r="DN16" s="1" t="s">
        <v>123</v>
      </c>
      <c r="EQ16" s="1" t="s">
        <v>123</v>
      </c>
      <c r="FQ16" s="1" t="s">
        <v>123</v>
      </c>
      <c r="FR16" t="s">
        <v>132</v>
      </c>
      <c r="GY16" t="s">
        <v>366</v>
      </c>
      <c r="GZ16" t="s">
        <v>367</v>
      </c>
      <c r="HA16" t="s">
        <v>368</v>
      </c>
      <c r="HB16" t="s">
        <v>140</v>
      </c>
      <c r="HC16">
        <v>1987</v>
      </c>
      <c r="HD16" t="str">
        <f>VLOOKUP(AnalizaCzyste[[#This Row],[Rok urodzenia]],KategorieWiekowe[],2,1)</f>
        <v>26-35 lat</v>
      </c>
      <c r="HE16" t="s">
        <v>141</v>
      </c>
      <c r="HG16" t="s">
        <v>369</v>
      </c>
    </row>
    <row r="17" spans="1:216" hidden="1" x14ac:dyDescent="0.45">
      <c r="A17">
        <v>21</v>
      </c>
      <c r="B17">
        <f>_xlfn.IFNA(VLOOKUP(AnalizaCzyste[[#This Row],[Zakończono wypełnianie]],Zakończone[],2,0),"BRAK")</f>
        <v>18</v>
      </c>
      <c r="C17">
        <f t="shared" si="0"/>
        <v>78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O17">
        <v>0</v>
      </c>
      <c r="P17" t="s">
        <v>122</v>
      </c>
      <c r="Q17" s="1" t="s">
        <v>123</v>
      </c>
      <c r="AG17" s="1" t="s">
        <v>124</v>
      </c>
      <c r="AH17" t="s">
        <v>2268</v>
      </c>
      <c r="AI17" t="str">
        <f>VLOOKUP(AnalizaCzyste[[#This Row],[Jak się nazywa uczelnia którą ukończyłeś? (proszę o wybranie jednej uczelni podlegającej ocenie)]],KategorieUczelni[],2,0)</f>
        <v>Publiczna</v>
      </c>
      <c r="AJ17">
        <v>1985</v>
      </c>
      <c r="AK17" t="s">
        <v>148</v>
      </c>
      <c r="AL17" t="s">
        <v>382</v>
      </c>
      <c r="AM17" t="s">
        <v>169</v>
      </c>
      <c r="AN17" t="s">
        <v>169</v>
      </c>
      <c r="AO17" t="s">
        <v>128</v>
      </c>
      <c r="AP17" t="s">
        <v>236</v>
      </c>
      <c r="AQ17" t="s">
        <v>236</v>
      </c>
      <c r="AR17" t="s">
        <v>383</v>
      </c>
      <c r="AS17" t="s">
        <v>152</v>
      </c>
      <c r="AT17" t="s">
        <v>152</v>
      </c>
      <c r="AU17" t="s">
        <v>384</v>
      </c>
      <c r="AV17" t="s">
        <v>385</v>
      </c>
      <c r="AW17" t="s">
        <v>386</v>
      </c>
      <c r="AX17" t="s">
        <v>172</v>
      </c>
      <c r="AZ17" s="1" t="s">
        <v>123</v>
      </c>
      <c r="CT17" s="1" t="s">
        <v>387</v>
      </c>
      <c r="CU17" t="s">
        <v>388</v>
      </c>
      <c r="CV17" t="s">
        <v>389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390</v>
      </c>
      <c r="DD17" s="1" t="s">
        <v>214</v>
      </c>
      <c r="DE17" t="s">
        <v>388</v>
      </c>
      <c r="DF17" t="s">
        <v>2274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393</v>
      </c>
      <c r="DN17" s="1" t="s">
        <v>174</v>
      </c>
      <c r="DO17" t="s">
        <v>394</v>
      </c>
      <c r="DS17" t="s">
        <v>391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 t="s">
        <v>169</v>
      </c>
      <c r="DZ17" t="s">
        <v>169</v>
      </c>
      <c r="EA17">
        <v>20</v>
      </c>
      <c r="EB17">
        <v>20</v>
      </c>
      <c r="EC17">
        <v>0</v>
      </c>
      <c r="ED17">
        <v>15</v>
      </c>
      <c r="EE17">
        <v>30</v>
      </c>
      <c r="EF17">
        <v>0</v>
      </c>
      <c r="EG17">
        <v>15</v>
      </c>
      <c r="EI17">
        <v>30</v>
      </c>
      <c r="EJ17">
        <v>20</v>
      </c>
      <c r="EK17">
        <v>0</v>
      </c>
      <c r="EL17">
        <v>10</v>
      </c>
      <c r="EM17">
        <v>25</v>
      </c>
      <c r="EN17">
        <v>0</v>
      </c>
      <c r="EO17">
        <v>15</v>
      </c>
      <c r="EQ17" s="1" t="s">
        <v>123</v>
      </c>
      <c r="ER17" t="s">
        <v>178</v>
      </c>
      <c r="ES17" t="s">
        <v>132</v>
      </c>
      <c r="FQ17" s="1" t="s">
        <v>123</v>
      </c>
      <c r="FR17" t="s">
        <v>132</v>
      </c>
      <c r="FT17" t="s">
        <v>132</v>
      </c>
      <c r="GY17" t="s">
        <v>395</v>
      </c>
      <c r="GZ17" t="s">
        <v>396</v>
      </c>
      <c r="HA17" t="s">
        <v>397</v>
      </c>
      <c r="HB17" t="s">
        <v>186</v>
      </c>
      <c r="HC17">
        <v>1960</v>
      </c>
      <c r="HD17" t="str">
        <f>VLOOKUP(AnalizaCzyste[[#This Row],[Rok urodzenia]],KategorieWiekowe[],2,1)</f>
        <v>56-65 lat</v>
      </c>
      <c r="HE17" t="s">
        <v>398</v>
      </c>
    </row>
    <row r="18" spans="1:216" hidden="1" x14ac:dyDescent="0.45">
      <c r="A18">
        <v>22</v>
      </c>
      <c r="B18">
        <f>_xlfn.IFNA(VLOOKUP(AnalizaCzyste[[#This Row],[Zakończono wypełnianie]],Zakończone[],2,0),"BRAK")</f>
        <v>19</v>
      </c>
      <c r="C18">
        <f t="shared" si="0"/>
        <v>38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O18">
        <v>0</v>
      </c>
      <c r="P18" t="s">
        <v>122</v>
      </c>
      <c r="Q18" s="1" t="s">
        <v>123</v>
      </c>
      <c r="AG18" s="1" t="s">
        <v>124</v>
      </c>
      <c r="AH18" t="s">
        <v>2272</v>
      </c>
      <c r="AI18" t="str">
        <f>VLOOKUP(AnalizaCzyste[[#This Row],[Jak się nazywa uczelnia którą ukończyłeś? (proszę o wybranie jednej uczelni podlegającej ocenie)]],KategorieUczelni[],2,0)</f>
        <v>Publiczna</v>
      </c>
      <c r="AJ18">
        <v>2010</v>
      </c>
      <c r="AK18" t="s">
        <v>148</v>
      </c>
      <c r="AL18" t="s">
        <v>404</v>
      </c>
      <c r="AM18" t="s">
        <v>151</v>
      </c>
      <c r="AN18" t="s">
        <v>150</v>
      </c>
      <c r="AO18" t="s">
        <v>162</v>
      </c>
      <c r="AP18" t="s">
        <v>150</v>
      </c>
      <c r="AQ18" t="s">
        <v>150</v>
      </c>
      <c r="AR18" t="s">
        <v>405</v>
      </c>
      <c r="AS18" t="s">
        <v>131</v>
      </c>
      <c r="AT18" t="s">
        <v>302</v>
      </c>
      <c r="AU18" t="s">
        <v>406</v>
      </c>
      <c r="AV18" t="s">
        <v>407</v>
      </c>
      <c r="AW18" t="s">
        <v>408</v>
      </c>
      <c r="AX18" t="s">
        <v>230</v>
      </c>
      <c r="AZ18" s="1" t="s">
        <v>123</v>
      </c>
      <c r="CT18" s="1" t="s">
        <v>123</v>
      </c>
      <c r="DD18" s="1" t="s">
        <v>123</v>
      </c>
      <c r="DN18" s="1" t="s">
        <v>123</v>
      </c>
      <c r="EQ18" s="1" t="s">
        <v>123</v>
      </c>
      <c r="ER18" t="s">
        <v>180</v>
      </c>
      <c r="ES18" t="s">
        <v>132</v>
      </c>
      <c r="FQ18" s="1" t="s">
        <v>123</v>
      </c>
      <c r="FR18" t="s">
        <v>132</v>
      </c>
      <c r="FT18" t="s">
        <v>132</v>
      </c>
      <c r="GY18" t="s">
        <v>409</v>
      </c>
      <c r="GZ18" t="s">
        <v>410</v>
      </c>
      <c r="HA18" t="s">
        <v>411</v>
      </c>
      <c r="HB18" t="s">
        <v>140</v>
      </c>
      <c r="HC18">
        <v>1985</v>
      </c>
      <c r="HD18" t="str">
        <f>VLOOKUP(AnalizaCzyste[[#This Row],[Rok urodzenia]],KategorieWiekowe[],2,1)</f>
        <v>26-35 lat</v>
      </c>
      <c r="HE18" t="s">
        <v>398</v>
      </c>
      <c r="HG18" t="s">
        <v>412</v>
      </c>
    </row>
    <row r="19" spans="1:216" hidden="1" x14ac:dyDescent="0.45">
      <c r="A19">
        <v>26</v>
      </c>
      <c r="B19">
        <f>_xlfn.IFNA(VLOOKUP(AnalizaCzyste[[#This Row],[Zakończono wypełnianie]],Zakończone[],2,0),"BRAK")</f>
        <v>20</v>
      </c>
      <c r="C19">
        <f t="shared" si="0"/>
        <v>37</v>
      </c>
      <c r="D19" t="s">
        <v>425</v>
      </c>
      <c r="E19" t="s">
        <v>118</v>
      </c>
      <c r="J19" t="s">
        <v>119</v>
      </c>
      <c r="K19" t="s">
        <v>426</v>
      </c>
      <c r="L19" t="s">
        <v>427</v>
      </c>
      <c r="M19">
        <v>1039</v>
      </c>
      <c r="O19">
        <v>0</v>
      </c>
      <c r="P19" t="s">
        <v>122</v>
      </c>
      <c r="Q19" s="1" t="s">
        <v>123</v>
      </c>
      <c r="AG19" s="1" t="s">
        <v>124</v>
      </c>
      <c r="AH19" t="s">
        <v>428</v>
      </c>
      <c r="AI19" t="str">
        <f>VLOOKUP(AnalizaCzyste[[#This Row],[Jak się nazywa uczelnia którą ukończyłeś? (proszę o wybranie jednej uczelni podlegającej ocenie)]],KategorieUczelni[],2,0)</f>
        <v>Publiczna</v>
      </c>
      <c r="AJ19">
        <v>2011</v>
      </c>
      <c r="AK19" t="s">
        <v>148</v>
      </c>
      <c r="AL19" t="s">
        <v>429</v>
      </c>
      <c r="AM19" t="s">
        <v>162</v>
      </c>
      <c r="AN19" t="s">
        <v>162</v>
      </c>
      <c r="AO19" t="s">
        <v>128</v>
      </c>
      <c r="AP19" t="s">
        <v>128</v>
      </c>
      <c r="AQ19" t="s">
        <v>128</v>
      </c>
      <c r="AR19">
        <v>2</v>
      </c>
      <c r="AS19" t="s">
        <v>131</v>
      </c>
      <c r="AT19" t="s">
        <v>302</v>
      </c>
      <c r="AU19" t="s">
        <v>430</v>
      </c>
      <c r="AV19" t="s">
        <v>431</v>
      </c>
      <c r="AW19" t="s">
        <v>432</v>
      </c>
      <c r="AX19" t="s">
        <v>157</v>
      </c>
      <c r="AZ19" s="1" t="s">
        <v>123</v>
      </c>
      <c r="CT19" s="1" t="s">
        <v>123</v>
      </c>
      <c r="DD19" s="1" t="s">
        <v>123</v>
      </c>
      <c r="DN19" s="1" t="s">
        <v>123</v>
      </c>
      <c r="EQ19" s="1" t="s">
        <v>123</v>
      </c>
      <c r="ER19" t="s">
        <v>180</v>
      </c>
      <c r="ES19" t="s">
        <v>132</v>
      </c>
      <c r="FQ19" s="1" t="s">
        <v>123</v>
      </c>
      <c r="FR19" t="s">
        <v>132</v>
      </c>
      <c r="FT19" t="s">
        <v>132</v>
      </c>
      <c r="GY19" t="s">
        <v>433</v>
      </c>
      <c r="GZ19" t="s">
        <v>434</v>
      </c>
      <c r="HA19" t="s">
        <v>435</v>
      </c>
      <c r="HB19" t="s">
        <v>140</v>
      </c>
      <c r="HC19">
        <v>1987</v>
      </c>
      <c r="HD19" t="str">
        <f>VLOOKUP(AnalizaCzyste[[#This Row],[Rok urodzenia]],KategorieWiekowe[],2,1)</f>
        <v>26-35 lat</v>
      </c>
      <c r="HE19" t="s">
        <v>141</v>
      </c>
    </row>
    <row r="20" spans="1:216" hidden="1" x14ac:dyDescent="0.45">
      <c r="A20">
        <v>30</v>
      </c>
      <c r="B20">
        <f>_xlfn.IFNA(VLOOKUP(AnalizaCzyste[[#This Row],[Zakończono wypełnianie]],Zakończone[],2,0),"BRAK")</f>
        <v>21</v>
      </c>
      <c r="C20">
        <f t="shared" si="0"/>
        <v>48</v>
      </c>
      <c r="D20" t="s">
        <v>442</v>
      </c>
      <c r="E20" t="s">
        <v>118</v>
      </c>
      <c r="J20" t="s">
        <v>119</v>
      </c>
      <c r="K20" t="s">
        <v>443</v>
      </c>
      <c r="L20" t="s">
        <v>444</v>
      </c>
      <c r="M20">
        <v>6812</v>
      </c>
      <c r="O20">
        <v>0</v>
      </c>
      <c r="P20" t="s">
        <v>122</v>
      </c>
      <c r="Q20" s="1" t="s">
        <v>123</v>
      </c>
      <c r="AG20" s="1" t="s">
        <v>124</v>
      </c>
      <c r="AH20" t="s">
        <v>445</v>
      </c>
      <c r="AI20" t="str">
        <f>VLOOKUP(AnalizaCzyste[[#This Row],[Jak się nazywa uczelnia którą ukończyłeś? (proszę o wybranie jednej uczelni podlegającej ocenie)]],KategorieUczelni[],2,0)</f>
        <v>Publiczna</v>
      </c>
      <c r="AJ20">
        <v>2019</v>
      </c>
      <c r="AK20" t="s">
        <v>148</v>
      </c>
      <c r="AL20" t="s">
        <v>446</v>
      </c>
      <c r="AM20" t="s">
        <v>150</v>
      </c>
      <c r="AN20" t="s">
        <v>150</v>
      </c>
      <c r="AO20" t="s">
        <v>169</v>
      </c>
      <c r="AP20" t="s">
        <v>169</v>
      </c>
      <c r="AQ20" t="s">
        <v>132</v>
      </c>
      <c r="AR20" t="s">
        <v>237</v>
      </c>
      <c r="AS20" t="s">
        <v>226</v>
      </c>
      <c r="AT20" t="s">
        <v>132</v>
      </c>
      <c r="AU20" t="s">
        <v>447</v>
      </c>
      <c r="AV20" t="s">
        <v>448</v>
      </c>
      <c r="AW20" t="s">
        <v>449</v>
      </c>
      <c r="AX20" t="s">
        <v>157</v>
      </c>
      <c r="AZ20" s="1" t="s">
        <v>123</v>
      </c>
      <c r="CT20" s="1" t="s">
        <v>387</v>
      </c>
      <c r="CU20" t="s">
        <v>445</v>
      </c>
      <c r="CV20" t="s">
        <v>450</v>
      </c>
      <c r="CW20" t="s">
        <v>169</v>
      </c>
      <c r="CX20" t="s">
        <v>169</v>
      </c>
      <c r="CY20" t="s">
        <v>169</v>
      </c>
      <c r="CZ20" t="s">
        <v>150</v>
      </c>
      <c r="DA20" t="s">
        <v>150</v>
      </c>
      <c r="DB20" t="s">
        <v>150</v>
      </c>
      <c r="DC20" t="s">
        <v>451</v>
      </c>
      <c r="DD20" s="1" t="s">
        <v>123</v>
      </c>
      <c r="DN20" s="1" t="s">
        <v>123</v>
      </c>
      <c r="EQ20" s="1" t="s">
        <v>123</v>
      </c>
      <c r="ER20" t="s">
        <v>180</v>
      </c>
      <c r="ES20" t="s">
        <v>132</v>
      </c>
      <c r="FQ20" s="1" t="s">
        <v>123</v>
      </c>
      <c r="FR20" t="s">
        <v>132</v>
      </c>
      <c r="FT20" t="s">
        <v>132</v>
      </c>
      <c r="GY20" t="s">
        <v>452</v>
      </c>
      <c r="GZ20" t="s">
        <v>453</v>
      </c>
      <c r="HA20" t="s">
        <v>454</v>
      </c>
      <c r="HB20" t="s">
        <v>140</v>
      </c>
      <c r="HC20">
        <v>1994</v>
      </c>
      <c r="HD20" t="str">
        <f>VLOOKUP(AnalizaCzyste[[#This Row],[Rok urodzenia]],KategorieWiekowe[],2,1)</f>
        <v>26-35 lat</v>
      </c>
      <c r="HE20" t="s">
        <v>220</v>
      </c>
      <c r="HG20" t="s">
        <v>455</v>
      </c>
      <c r="HH20" t="s">
        <v>456</v>
      </c>
    </row>
    <row r="21" spans="1:216" hidden="1" x14ac:dyDescent="0.45">
      <c r="A21">
        <v>32</v>
      </c>
      <c r="B21">
        <f>_xlfn.IFNA(VLOOKUP(AnalizaCzyste[[#This Row],[Zakończono wypełnianie]],Zakończone[],2,0),"BRAK")</f>
        <v>22</v>
      </c>
      <c r="C21">
        <f t="shared" si="0"/>
        <v>38</v>
      </c>
      <c r="D21" t="s">
        <v>458</v>
      </c>
      <c r="E21" t="s">
        <v>118</v>
      </c>
      <c r="F21" t="s">
        <v>359</v>
      </c>
      <c r="J21" t="s">
        <v>119</v>
      </c>
      <c r="K21" t="s">
        <v>459</v>
      </c>
      <c r="L21" t="s">
        <v>460</v>
      </c>
      <c r="M21">
        <v>490</v>
      </c>
      <c r="O21">
        <v>0</v>
      </c>
      <c r="P21" t="s">
        <v>122</v>
      </c>
      <c r="Q21" s="1" t="s">
        <v>416</v>
      </c>
      <c r="R21" t="s">
        <v>445</v>
      </c>
      <c r="S21" t="s">
        <v>148</v>
      </c>
      <c r="T21" t="s">
        <v>461</v>
      </c>
      <c r="U21" t="s">
        <v>169</v>
      </c>
      <c r="V21" t="s">
        <v>169</v>
      </c>
      <c r="W21" t="s">
        <v>169</v>
      </c>
      <c r="X21" t="s">
        <v>462</v>
      </c>
      <c r="Y21" t="s">
        <v>302</v>
      </c>
      <c r="Z21" t="s">
        <v>302</v>
      </c>
      <c r="AA21" t="s">
        <v>463</v>
      </c>
      <c r="AB21" t="s">
        <v>464</v>
      </c>
      <c r="AC21" t="s">
        <v>465</v>
      </c>
      <c r="AD21" t="s">
        <v>157</v>
      </c>
      <c r="AE21" t="s">
        <v>466</v>
      </c>
      <c r="AF21">
        <v>10</v>
      </c>
      <c r="AG21" s="1" t="s">
        <v>123</v>
      </c>
      <c r="AI21" t="e">
        <f>VLOOKUP(AnalizaCzyste[[#This Row],[Jak się nazywa uczelnia którą ukończyłeś? (proszę o wybranie jednej uczelni podlegającej ocenie)]],KategorieUczelni[],2,0)</f>
        <v>#N/A</v>
      </c>
      <c r="AZ21" s="1" t="s">
        <v>123</v>
      </c>
      <c r="CT21" s="1" t="s">
        <v>123</v>
      </c>
      <c r="DD21" s="1" t="s">
        <v>123</v>
      </c>
      <c r="DN21" s="1" t="s">
        <v>123</v>
      </c>
      <c r="EQ21" s="1" t="s">
        <v>123</v>
      </c>
      <c r="ER21" t="s">
        <v>180</v>
      </c>
      <c r="ES21" t="s">
        <v>132</v>
      </c>
      <c r="FQ21" s="1" t="s">
        <v>123</v>
      </c>
      <c r="FR21" t="s">
        <v>132</v>
      </c>
      <c r="FT21" t="s">
        <v>132</v>
      </c>
      <c r="GY21" t="s">
        <v>468</v>
      </c>
      <c r="GZ21" t="s">
        <v>469</v>
      </c>
      <c r="HA21" t="s">
        <v>142</v>
      </c>
      <c r="HB21" t="s">
        <v>140</v>
      </c>
      <c r="HC21">
        <v>1996</v>
      </c>
      <c r="HD21" t="str">
        <f>VLOOKUP(AnalizaCzyste[[#This Row],[Rok urodzenia]],KategorieWiekowe[],2,1)</f>
        <v>poniżej 26 lat</v>
      </c>
      <c r="HE21" t="s">
        <v>141</v>
      </c>
      <c r="HG21" t="s">
        <v>470</v>
      </c>
      <c r="HH21" t="s">
        <v>471</v>
      </c>
    </row>
    <row r="22" spans="1:216" hidden="1" x14ac:dyDescent="0.45">
      <c r="A22">
        <v>33</v>
      </c>
      <c r="B22">
        <f>_xlfn.IFNA(VLOOKUP(AnalizaCzyste[[#This Row],[Zakończono wypełnianie]],Zakończone[],2,0),"BRAK")</f>
        <v>23</v>
      </c>
      <c r="C22">
        <f t="shared" si="0"/>
        <v>31</v>
      </c>
      <c r="D22" t="s">
        <v>472</v>
      </c>
      <c r="E22" t="s">
        <v>118</v>
      </c>
      <c r="F22" t="s">
        <v>375</v>
      </c>
      <c r="J22" t="s">
        <v>119</v>
      </c>
      <c r="K22" t="s">
        <v>473</v>
      </c>
      <c r="L22" t="s">
        <v>474</v>
      </c>
      <c r="M22">
        <v>2507</v>
      </c>
      <c r="O22">
        <v>0</v>
      </c>
      <c r="P22" t="s">
        <v>122</v>
      </c>
      <c r="Q22" s="1" t="s">
        <v>416</v>
      </c>
      <c r="R22" t="s">
        <v>445</v>
      </c>
      <c r="S22" t="s">
        <v>148</v>
      </c>
      <c r="T22" t="s">
        <v>475</v>
      </c>
      <c r="U22" t="s">
        <v>169</v>
      </c>
      <c r="V22" t="s">
        <v>169</v>
      </c>
      <c r="W22" t="s">
        <v>151</v>
      </c>
      <c r="X22" t="s">
        <v>476</v>
      </c>
      <c r="Y22" t="s">
        <v>302</v>
      </c>
      <c r="Z22" t="s">
        <v>302</v>
      </c>
      <c r="AB22" t="s">
        <v>477</v>
      </c>
      <c r="AC22" t="s">
        <v>478</v>
      </c>
      <c r="AD22" t="s">
        <v>157</v>
      </c>
      <c r="AF22">
        <v>10</v>
      </c>
      <c r="AG22" s="1" t="s">
        <v>123</v>
      </c>
      <c r="AI22" t="e">
        <f>VLOOKUP(AnalizaCzyste[[#This Row],[Jak się nazywa uczelnia którą ukończyłeś? (proszę o wybranie jednej uczelni podlegającej ocenie)]],KategorieUczelni[],2,0)</f>
        <v>#N/A</v>
      </c>
      <c r="AZ22" s="1" t="s">
        <v>123</v>
      </c>
      <c r="CT22" s="1" t="s">
        <v>123</v>
      </c>
      <c r="DD22" s="1" t="s">
        <v>123</v>
      </c>
      <c r="DN22" s="1" t="s">
        <v>123</v>
      </c>
      <c r="EQ22" s="1" t="s">
        <v>123</v>
      </c>
      <c r="FQ22" s="1" t="s">
        <v>123</v>
      </c>
      <c r="FR22" t="s">
        <v>132</v>
      </c>
      <c r="GY22" t="s">
        <v>480</v>
      </c>
      <c r="GZ22" t="s">
        <v>481</v>
      </c>
      <c r="HA22" t="s">
        <v>482</v>
      </c>
      <c r="HB22" t="s">
        <v>140</v>
      </c>
      <c r="HC22">
        <v>1996</v>
      </c>
      <c r="HD22" t="str">
        <f>VLOOKUP(AnalizaCzyste[[#This Row],[Rok urodzenia]],KategorieWiekowe[],2,1)</f>
        <v>poniżej 26 lat</v>
      </c>
      <c r="HE22" t="s">
        <v>483</v>
      </c>
    </row>
    <row r="23" spans="1:216" hidden="1" x14ac:dyDescent="0.45">
      <c r="A23">
        <v>34</v>
      </c>
      <c r="B23">
        <f>_xlfn.IFNA(VLOOKUP(AnalizaCzyste[[#This Row],[Zakończono wypełnianie]],Zakończone[],2,0),"BRAK")</f>
        <v>24</v>
      </c>
      <c r="C23">
        <f t="shared" si="0"/>
        <v>38</v>
      </c>
      <c r="D23" t="s">
        <v>484</v>
      </c>
      <c r="E23" t="s">
        <v>118</v>
      </c>
      <c r="F23" t="s">
        <v>359</v>
      </c>
      <c r="J23" t="s">
        <v>119</v>
      </c>
      <c r="K23" t="s">
        <v>485</v>
      </c>
      <c r="L23" t="s">
        <v>486</v>
      </c>
      <c r="M23">
        <v>709</v>
      </c>
      <c r="O23">
        <v>0</v>
      </c>
      <c r="P23" t="s">
        <v>122</v>
      </c>
      <c r="Q23" s="1" t="s">
        <v>123</v>
      </c>
      <c r="AG23" s="1" t="s">
        <v>124</v>
      </c>
      <c r="AH23" t="s">
        <v>445</v>
      </c>
      <c r="AI23" t="str">
        <f>VLOOKUP(AnalizaCzyste[[#This Row],[Jak się nazywa uczelnia którą ukończyłeś? (proszę o wybranie jednej uczelni podlegającej ocenie)]],KategorieUczelni[],2,0)</f>
        <v>Publiczna</v>
      </c>
      <c r="AJ23">
        <v>2018</v>
      </c>
      <c r="AK23" t="s">
        <v>148</v>
      </c>
      <c r="AL23" t="s">
        <v>487</v>
      </c>
      <c r="AM23" t="s">
        <v>162</v>
      </c>
      <c r="AN23" t="s">
        <v>162</v>
      </c>
      <c r="AO23" t="s">
        <v>151</v>
      </c>
      <c r="AP23" t="s">
        <v>129</v>
      </c>
      <c r="AQ23" t="s">
        <v>151</v>
      </c>
      <c r="AR23">
        <v>2</v>
      </c>
      <c r="AS23" t="s">
        <v>131</v>
      </c>
      <c r="AT23" t="s">
        <v>153</v>
      </c>
      <c r="AU23" t="s">
        <v>488</v>
      </c>
      <c r="AV23" t="s">
        <v>489</v>
      </c>
      <c r="AW23" t="s">
        <v>490</v>
      </c>
      <c r="AX23" t="s">
        <v>157</v>
      </c>
      <c r="AZ23" s="1" t="s">
        <v>123</v>
      </c>
      <c r="CT23" s="1" t="s">
        <v>123</v>
      </c>
      <c r="DD23" s="1" t="s">
        <v>123</v>
      </c>
      <c r="DN23" s="1" t="s">
        <v>123</v>
      </c>
      <c r="EQ23" s="1" t="s">
        <v>123</v>
      </c>
      <c r="ER23" t="s">
        <v>180</v>
      </c>
      <c r="FQ23" s="1" t="s">
        <v>123</v>
      </c>
      <c r="FR23" t="s">
        <v>132</v>
      </c>
      <c r="FT23" t="s">
        <v>132</v>
      </c>
      <c r="GY23" t="s">
        <v>491</v>
      </c>
      <c r="GZ23" t="s">
        <v>492</v>
      </c>
      <c r="HA23" t="s">
        <v>493</v>
      </c>
      <c r="HB23" t="s">
        <v>186</v>
      </c>
      <c r="HC23">
        <v>1994</v>
      </c>
      <c r="HD23" t="str">
        <f>VLOOKUP(AnalizaCzyste[[#This Row],[Rok urodzenia]],KategorieWiekowe[],2,1)</f>
        <v>26-35 lat</v>
      </c>
      <c r="HE23" t="s">
        <v>483</v>
      </c>
      <c r="HG23" t="s">
        <v>494</v>
      </c>
      <c r="HH23" t="s">
        <v>495</v>
      </c>
    </row>
    <row r="24" spans="1:216" hidden="1" x14ac:dyDescent="0.45">
      <c r="A24">
        <v>37</v>
      </c>
      <c r="B24">
        <f>_xlfn.IFNA(VLOOKUP(AnalizaCzyste[[#This Row],[Zakończono wypełnianie]],Zakończone[],2,0),"BRAK")</f>
        <v>25</v>
      </c>
      <c r="C24">
        <f t="shared" si="0"/>
        <v>39</v>
      </c>
      <c r="D24" t="s">
        <v>500</v>
      </c>
      <c r="E24" t="s">
        <v>118</v>
      </c>
      <c r="F24" t="s">
        <v>375</v>
      </c>
      <c r="J24" t="s">
        <v>119</v>
      </c>
      <c r="K24" t="s">
        <v>499</v>
      </c>
      <c r="L24" t="s">
        <v>501</v>
      </c>
      <c r="M24">
        <v>394</v>
      </c>
      <c r="O24">
        <v>0</v>
      </c>
      <c r="P24" t="s">
        <v>122</v>
      </c>
      <c r="Q24" s="1" t="s">
        <v>123</v>
      </c>
      <c r="AG24" s="1" t="s">
        <v>124</v>
      </c>
      <c r="AH24" t="s">
        <v>445</v>
      </c>
      <c r="AI24" t="str">
        <f>VLOOKUP(AnalizaCzyste[[#This Row],[Jak się nazywa uczelnia którą ukończyłeś? (proszę o wybranie jednej uczelni podlegającej ocenie)]],KategorieUczelni[],2,0)</f>
        <v>Publiczna</v>
      </c>
      <c r="AJ24">
        <v>2019</v>
      </c>
      <c r="AK24" t="s">
        <v>148</v>
      </c>
      <c r="AL24" t="s">
        <v>502</v>
      </c>
      <c r="AM24" t="s">
        <v>162</v>
      </c>
      <c r="AN24" t="s">
        <v>162</v>
      </c>
      <c r="AO24" t="s">
        <v>162</v>
      </c>
      <c r="AP24" t="s">
        <v>150</v>
      </c>
      <c r="AQ24" t="s">
        <v>132</v>
      </c>
      <c r="AR24">
        <v>0</v>
      </c>
      <c r="AS24" t="s">
        <v>153</v>
      </c>
      <c r="AT24" t="s">
        <v>132</v>
      </c>
      <c r="AU24" t="s">
        <v>503</v>
      </c>
      <c r="AV24" t="s">
        <v>504</v>
      </c>
      <c r="AW24" t="s">
        <v>505</v>
      </c>
      <c r="AX24" t="s">
        <v>157</v>
      </c>
      <c r="AZ24" s="1" t="s">
        <v>123</v>
      </c>
      <c r="CT24" s="1" t="s">
        <v>123</v>
      </c>
      <c r="DD24" s="1" t="s">
        <v>123</v>
      </c>
      <c r="DN24" s="1" t="s">
        <v>123</v>
      </c>
      <c r="EQ24" s="1" t="s">
        <v>123</v>
      </c>
      <c r="ER24" t="s">
        <v>180</v>
      </c>
      <c r="ES24" t="s">
        <v>132</v>
      </c>
      <c r="FQ24" s="1" t="s">
        <v>123</v>
      </c>
      <c r="FR24" t="s">
        <v>132</v>
      </c>
      <c r="FT24" t="s">
        <v>132</v>
      </c>
      <c r="GY24" t="s">
        <v>506</v>
      </c>
      <c r="GZ24" t="s">
        <v>507</v>
      </c>
      <c r="HA24" t="s">
        <v>508</v>
      </c>
      <c r="HB24" t="s">
        <v>140</v>
      </c>
      <c r="HC24">
        <v>1994</v>
      </c>
      <c r="HD24" t="str">
        <f>VLOOKUP(AnalizaCzyste[[#This Row],[Rok urodzenia]],KategorieWiekowe[],2,1)</f>
        <v>26-35 lat</v>
      </c>
      <c r="HE24" t="s">
        <v>220</v>
      </c>
      <c r="HG24" t="s">
        <v>509</v>
      </c>
      <c r="HH24" t="s">
        <v>510</v>
      </c>
    </row>
    <row r="25" spans="1:216" hidden="1" x14ac:dyDescent="0.45">
      <c r="A25">
        <v>38</v>
      </c>
      <c r="B25">
        <f>_xlfn.IFNA(VLOOKUP(AnalizaCzyste[[#This Row],[Zakończono wypełnianie]],Zakończone[],2,0),"BRAK")</f>
        <v>26</v>
      </c>
      <c r="C25">
        <f t="shared" si="0"/>
        <v>46</v>
      </c>
      <c r="D25" t="s">
        <v>511</v>
      </c>
      <c r="E25" t="s">
        <v>118</v>
      </c>
      <c r="F25" t="s">
        <v>375</v>
      </c>
      <c r="J25" t="s">
        <v>119</v>
      </c>
      <c r="K25" t="s">
        <v>512</v>
      </c>
      <c r="L25" t="s">
        <v>513</v>
      </c>
      <c r="M25">
        <v>424</v>
      </c>
      <c r="O25">
        <v>0</v>
      </c>
      <c r="P25" t="s">
        <v>122</v>
      </c>
      <c r="Q25" s="1" t="s">
        <v>123</v>
      </c>
      <c r="AG25" s="1" t="s">
        <v>124</v>
      </c>
      <c r="AH25" t="s">
        <v>445</v>
      </c>
      <c r="AI25" t="str">
        <f>VLOOKUP(AnalizaCzyste[[#This Row],[Jak się nazywa uczelnia którą ukończyłeś? (proszę o wybranie jednej uczelni podlegającej ocenie)]],KategorieUczelni[],2,0)</f>
        <v>Publiczna</v>
      </c>
      <c r="AJ25">
        <v>2018</v>
      </c>
      <c r="AK25" t="s">
        <v>148</v>
      </c>
      <c r="AL25" t="s">
        <v>514</v>
      </c>
      <c r="AM25" t="s">
        <v>150</v>
      </c>
      <c r="AN25" t="s">
        <v>169</v>
      </c>
      <c r="AO25" t="s">
        <v>169</v>
      </c>
      <c r="AP25" t="s">
        <v>150</v>
      </c>
      <c r="AQ25" t="s">
        <v>132</v>
      </c>
      <c r="AR25" t="s">
        <v>515</v>
      </c>
      <c r="AS25" t="s">
        <v>302</v>
      </c>
      <c r="AT25" t="s">
        <v>132</v>
      </c>
      <c r="AU25" t="s">
        <v>516</v>
      </c>
      <c r="AV25" t="s">
        <v>517</v>
      </c>
      <c r="AW25" t="s">
        <v>142</v>
      </c>
      <c r="AX25" t="s">
        <v>157</v>
      </c>
      <c r="AZ25" s="1" t="s">
        <v>123</v>
      </c>
      <c r="CT25" s="1" t="s">
        <v>123</v>
      </c>
      <c r="DD25" s="1" t="s">
        <v>214</v>
      </c>
      <c r="DE25" t="s">
        <v>445</v>
      </c>
      <c r="DF25" t="s">
        <v>518</v>
      </c>
      <c r="DG25" t="s">
        <v>169</v>
      </c>
      <c r="DH25" t="s">
        <v>150</v>
      </c>
      <c r="DI25" t="s">
        <v>162</v>
      </c>
      <c r="DJ25" t="s">
        <v>150</v>
      </c>
      <c r="DK25" t="s">
        <v>150</v>
      </c>
      <c r="DL25" t="s">
        <v>151</v>
      </c>
      <c r="DN25" s="1" t="s">
        <v>123</v>
      </c>
      <c r="EQ25" s="1" t="s">
        <v>123</v>
      </c>
      <c r="ER25" t="s">
        <v>180</v>
      </c>
      <c r="ES25" t="s">
        <v>132</v>
      </c>
      <c r="FQ25" s="1" t="s">
        <v>123</v>
      </c>
      <c r="FR25" t="s">
        <v>132</v>
      </c>
      <c r="FT25" t="s">
        <v>132</v>
      </c>
      <c r="GY25" t="s">
        <v>519</v>
      </c>
      <c r="GZ25" t="s">
        <v>520</v>
      </c>
      <c r="HA25" t="s">
        <v>142</v>
      </c>
      <c r="HB25" t="s">
        <v>186</v>
      </c>
      <c r="HC25">
        <v>1994</v>
      </c>
      <c r="HD25" t="str">
        <f>VLOOKUP(AnalizaCzyste[[#This Row],[Rok urodzenia]],KategorieWiekowe[],2,1)</f>
        <v>26-35 lat</v>
      </c>
      <c r="HE25" t="s">
        <v>141</v>
      </c>
      <c r="HH25" t="s">
        <v>521</v>
      </c>
    </row>
    <row r="26" spans="1:216" hidden="1" x14ac:dyDescent="0.45">
      <c r="A26">
        <v>41</v>
      </c>
      <c r="B26">
        <f>_xlfn.IFNA(VLOOKUP(AnalizaCzyste[[#This Row],[Zakończono wypełnianie]],Zakończone[],2,0),"BRAK")</f>
        <v>27</v>
      </c>
      <c r="C26">
        <f t="shared" si="0"/>
        <v>33</v>
      </c>
      <c r="D26" t="s">
        <v>527</v>
      </c>
      <c r="E26" t="s">
        <v>118</v>
      </c>
      <c r="J26" t="s">
        <v>119</v>
      </c>
      <c r="K26" t="s">
        <v>528</v>
      </c>
      <c r="L26" t="s">
        <v>529</v>
      </c>
      <c r="M26">
        <v>283</v>
      </c>
      <c r="O26">
        <v>0</v>
      </c>
      <c r="P26" t="s">
        <v>122</v>
      </c>
      <c r="Q26" s="1" t="s">
        <v>416</v>
      </c>
      <c r="R26" t="s">
        <v>445</v>
      </c>
      <c r="S26" t="s">
        <v>148</v>
      </c>
      <c r="T26" t="s">
        <v>461</v>
      </c>
      <c r="U26" t="s">
        <v>169</v>
      </c>
      <c r="V26" t="s">
        <v>162</v>
      </c>
      <c r="W26" t="s">
        <v>162</v>
      </c>
      <c r="X26" t="s">
        <v>530</v>
      </c>
      <c r="Y26" t="s">
        <v>131</v>
      </c>
      <c r="Z26" t="s">
        <v>153</v>
      </c>
      <c r="AB26" t="s">
        <v>531</v>
      </c>
      <c r="AC26" t="s">
        <v>532</v>
      </c>
      <c r="AD26" t="s">
        <v>172</v>
      </c>
      <c r="AF26">
        <v>6</v>
      </c>
      <c r="AG26" s="1" t="s">
        <v>123</v>
      </c>
      <c r="AI26" t="e">
        <f>VLOOKUP(AnalizaCzyste[[#This Row],[Jak się nazywa uczelnia którą ukończyłeś? (proszę o wybranie jednej uczelni podlegającej ocenie)]],KategorieUczelni[],2,0)</f>
        <v>#N/A</v>
      </c>
      <c r="AZ26" s="1" t="s">
        <v>123</v>
      </c>
      <c r="CT26" s="1" t="s">
        <v>123</v>
      </c>
      <c r="DD26" s="1" t="s">
        <v>123</v>
      </c>
      <c r="DN26" s="1" t="s">
        <v>123</v>
      </c>
      <c r="EQ26" s="1" t="s">
        <v>123</v>
      </c>
      <c r="FQ26" s="1" t="s">
        <v>123</v>
      </c>
      <c r="FR26" t="s">
        <v>132</v>
      </c>
      <c r="GY26" t="s">
        <v>534</v>
      </c>
      <c r="GZ26" t="s">
        <v>535</v>
      </c>
      <c r="HA26" t="s">
        <v>532</v>
      </c>
      <c r="HB26" t="s">
        <v>140</v>
      </c>
      <c r="HC26">
        <v>1996</v>
      </c>
      <c r="HD26" t="str">
        <f>VLOOKUP(AnalizaCzyste[[#This Row],[Rok urodzenia]],KategorieWiekowe[],2,1)</f>
        <v>poniżej 26 lat</v>
      </c>
      <c r="HE26" t="s">
        <v>483</v>
      </c>
      <c r="HG26" t="s">
        <v>536</v>
      </c>
      <c r="HH26" t="s">
        <v>537</v>
      </c>
    </row>
    <row r="27" spans="1:216" hidden="1" x14ac:dyDescent="0.45">
      <c r="A27">
        <v>45</v>
      </c>
      <c r="B27">
        <f>_xlfn.IFNA(VLOOKUP(AnalizaCzyste[[#This Row],[Zakończono wypełnianie]],Zakończone[],2,0),"BRAK")</f>
        <v>28</v>
      </c>
      <c r="C27">
        <f t="shared" si="0"/>
        <v>36</v>
      </c>
      <c r="D27" t="s">
        <v>550</v>
      </c>
      <c r="E27" t="s">
        <v>118</v>
      </c>
      <c r="F27" t="s">
        <v>375</v>
      </c>
      <c r="J27" t="s">
        <v>119</v>
      </c>
      <c r="K27" t="s">
        <v>551</v>
      </c>
      <c r="L27" t="s">
        <v>552</v>
      </c>
      <c r="M27">
        <v>836</v>
      </c>
      <c r="O27">
        <v>0</v>
      </c>
      <c r="P27" t="s">
        <v>122</v>
      </c>
      <c r="Q27" s="1" t="s">
        <v>123</v>
      </c>
      <c r="AG27" s="1" t="s">
        <v>124</v>
      </c>
      <c r="AH27" t="s">
        <v>553</v>
      </c>
      <c r="AI27" t="str">
        <f>VLOOKUP(AnalizaCzyste[[#This Row],[Jak się nazywa uczelnia którą ukończyłeś? (proszę o wybranie jednej uczelni podlegającej ocenie)]],KategorieUczelni[],2,0)</f>
        <v>Publiczna</v>
      </c>
      <c r="AJ27">
        <v>2019</v>
      </c>
      <c r="AK27" t="s">
        <v>148</v>
      </c>
      <c r="AL27" t="s">
        <v>554</v>
      </c>
      <c r="AM27" t="s">
        <v>162</v>
      </c>
      <c r="AN27" t="s">
        <v>162</v>
      </c>
      <c r="AO27" t="s">
        <v>236</v>
      </c>
      <c r="AP27" t="s">
        <v>151</v>
      </c>
      <c r="AQ27" t="s">
        <v>162</v>
      </c>
      <c r="AR27" t="s">
        <v>237</v>
      </c>
      <c r="AS27" t="s">
        <v>132</v>
      </c>
      <c r="AT27" t="s">
        <v>132</v>
      </c>
      <c r="AU27" t="s">
        <v>555</v>
      </c>
      <c r="AV27" t="s">
        <v>556</v>
      </c>
      <c r="AW27" t="s">
        <v>557</v>
      </c>
      <c r="AX27" t="s">
        <v>230</v>
      </c>
      <c r="AZ27" s="1" t="s">
        <v>123</v>
      </c>
      <c r="CT27" s="1" t="s">
        <v>123</v>
      </c>
      <c r="DD27" s="1" t="s">
        <v>123</v>
      </c>
      <c r="DN27" s="1" t="s">
        <v>123</v>
      </c>
      <c r="EQ27" s="1" t="s">
        <v>123</v>
      </c>
      <c r="FQ27" s="1" t="s">
        <v>123</v>
      </c>
      <c r="FR27" t="s">
        <v>132</v>
      </c>
      <c r="GY27" t="s">
        <v>558</v>
      </c>
      <c r="GZ27" t="s">
        <v>559</v>
      </c>
      <c r="HA27" t="s">
        <v>560</v>
      </c>
      <c r="HB27" t="s">
        <v>140</v>
      </c>
      <c r="HC27">
        <v>1994</v>
      </c>
      <c r="HD27" t="str">
        <f>VLOOKUP(AnalizaCzyste[[#This Row],[Rok urodzenia]],KategorieWiekowe[],2,1)</f>
        <v>26-35 lat</v>
      </c>
      <c r="HE27" t="s">
        <v>483</v>
      </c>
      <c r="HG27" t="s">
        <v>561</v>
      </c>
      <c r="HH27" t="s">
        <v>386</v>
      </c>
    </row>
    <row r="28" spans="1:216" hidden="1" x14ac:dyDescent="0.45">
      <c r="A28">
        <v>47</v>
      </c>
      <c r="B28">
        <f>_xlfn.IFNA(VLOOKUP(AnalizaCzyste[[#This Row],[Zakończono wypełnianie]],Zakończone[],2,0),"BRAK")</f>
        <v>29</v>
      </c>
      <c r="C28">
        <f t="shared" si="0"/>
        <v>34</v>
      </c>
      <c r="D28" t="s">
        <v>570</v>
      </c>
      <c r="E28" t="s">
        <v>118</v>
      </c>
      <c r="F28" t="s">
        <v>548</v>
      </c>
      <c r="J28" t="s">
        <v>119</v>
      </c>
      <c r="K28" t="s">
        <v>571</v>
      </c>
      <c r="L28" t="s">
        <v>572</v>
      </c>
      <c r="M28">
        <v>751</v>
      </c>
      <c r="O28">
        <v>0</v>
      </c>
      <c r="P28" t="s">
        <v>122</v>
      </c>
      <c r="Q28" s="1" t="s">
        <v>416</v>
      </c>
      <c r="R28" t="s">
        <v>445</v>
      </c>
      <c r="S28" t="s">
        <v>148</v>
      </c>
      <c r="T28" t="s">
        <v>573</v>
      </c>
      <c r="U28" t="s">
        <v>162</v>
      </c>
      <c r="V28" t="s">
        <v>128</v>
      </c>
      <c r="W28" t="s">
        <v>151</v>
      </c>
      <c r="X28" t="s">
        <v>237</v>
      </c>
      <c r="Y28" t="s">
        <v>302</v>
      </c>
      <c r="Z28" t="s">
        <v>153</v>
      </c>
      <c r="AA28" t="s">
        <v>574</v>
      </c>
      <c r="AB28" t="s">
        <v>575</v>
      </c>
      <c r="AC28" t="s">
        <v>576</v>
      </c>
      <c r="AD28" t="s">
        <v>172</v>
      </c>
      <c r="AF28">
        <v>6</v>
      </c>
      <c r="AG28" s="1" t="s">
        <v>123</v>
      </c>
      <c r="AI28" t="e">
        <f>VLOOKUP(AnalizaCzyste[[#This Row],[Jak się nazywa uczelnia którą ukończyłeś? (proszę o wybranie jednej uczelni podlegającej ocenie)]],KategorieUczelni[],2,0)</f>
        <v>#N/A</v>
      </c>
      <c r="AZ28" s="1" t="s">
        <v>123</v>
      </c>
      <c r="CT28" s="1" t="s">
        <v>123</v>
      </c>
      <c r="DD28" s="1" t="s">
        <v>123</v>
      </c>
      <c r="DN28" s="1" t="s">
        <v>123</v>
      </c>
      <c r="EQ28" s="1" t="s">
        <v>123</v>
      </c>
      <c r="FQ28" s="1" t="s">
        <v>123</v>
      </c>
      <c r="FR28" t="s">
        <v>132</v>
      </c>
      <c r="FT28" t="s">
        <v>132</v>
      </c>
      <c r="GY28" t="s">
        <v>578</v>
      </c>
      <c r="GZ28" t="s">
        <v>579</v>
      </c>
      <c r="HA28" t="s">
        <v>580</v>
      </c>
      <c r="HB28" t="s">
        <v>186</v>
      </c>
      <c r="HC28">
        <v>1997</v>
      </c>
      <c r="HD28" t="str">
        <f>VLOOKUP(AnalizaCzyste[[#This Row],[Rok urodzenia]],KategorieWiekowe[],2,1)</f>
        <v>poniżej 26 lat</v>
      </c>
      <c r="HE28" t="s">
        <v>483</v>
      </c>
      <c r="HG28" t="s">
        <v>532</v>
      </c>
    </row>
    <row r="29" spans="1:216" hidden="1" x14ac:dyDescent="0.45">
      <c r="A29">
        <v>50</v>
      </c>
      <c r="B29">
        <f>_xlfn.IFNA(VLOOKUP(AnalizaCzyste[[#This Row],[Zakończono wypełnianie]],Zakończone[],2,0),"BRAK")</f>
        <v>30</v>
      </c>
      <c r="C29">
        <f t="shared" si="0"/>
        <v>32</v>
      </c>
      <c r="D29" t="s">
        <v>585</v>
      </c>
      <c r="E29" t="s">
        <v>118</v>
      </c>
      <c r="F29" t="s">
        <v>375</v>
      </c>
      <c r="J29" t="s">
        <v>119</v>
      </c>
      <c r="K29" t="s">
        <v>586</v>
      </c>
      <c r="L29" t="s">
        <v>587</v>
      </c>
      <c r="M29">
        <v>387</v>
      </c>
      <c r="O29">
        <v>0</v>
      </c>
      <c r="P29" t="s">
        <v>122</v>
      </c>
      <c r="Q29" s="1" t="s">
        <v>416</v>
      </c>
      <c r="R29" t="s">
        <v>445</v>
      </c>
      <c r="S29" t="s">
        <v>148</v>
      </c>
      <c r="T29" t="s">
        <v>588</v>
      </c>
      <c r="U29" t="s">
        <v>162</v>
      </c>
      <c r="V29" t="s">
        <v>150</v>
      </c>
      <c r="W29" t="s">
        <v>162</v>
      </c>
      <c r="X29" t="s">
        <v>589</v>
      </c>
      <c r="Y29" t="s">
        <v>302</v>
      </c>
      <c r="Z29" t="s">
        <v>153</v>
      </c>
      <c r="AB29" t="s">
        <v>590</v>
      </c>
      <c r="AC29" t="s">
        <v>591</v>
      </c>
      <c r="AD29" t="s">
        <v>172</v>
      </c>
      <c r="AF29">
        <v>6</v>
      </c>
      <c r="AG29" s="1" t="s">
        <v>123</v>
      </c>
      <c r="AI29" t="e">
        <f>VLOOKUP(AnalizaCzyste[[#This Row],[Jak się nazywa uczelnia którą ukończyłeś? (proszę o wybranie jednej uczelni podlegającej ocenie)]],KategorieUczelni[],2,0)</f>
        <v>#N/A</v>
      </c>
      <c r="AZ29" s="1" t="s">
        <v>123</v>
      </c>
      <c r="CT29" s="1" t="s">
        <v>123</v>
      </c>
      <c r="DD29" s="1" t="s">
        <v>123</v>
      </c>
      <c r="DN29" s="1" t="s">
        <v>123</v>
      </c>
      <c r="EQ29" s="1" t="s">
        <v>123</v>
      </c>
      <c r="FQ29" s="1" t="s">
        <v>123</v>
      </c>
      <c r="FR29" t="s">
        <v>132</v>
      </c>
      <c r="GY29" t="s">
        <v>592</v>
      </c>
      <c r="GZ29" t="s">
        <v>593</v>
      </c>
      <c r="HA29" t="s">
        <v>594</v>
      </c>
      <c r="HB29" t="s">
        <v>140</v>
      </c>
      <c r="HC29">
        <v>1997</v>
      </c>
      <c r="HD29" t="str">
        <f>VLOOKUP(AnalizaCzyste[[#This Row],[Rok urodzenia]],KategorieWiekowe[],2,1)</f>
        <v>poniżej 26 lat</v>
      </c>
      <c r="HE29" t="s">
        <v>141</v>
      </c>
      <c r="HG29" t="s">
        <v>595</v>
      </c>
    </row>
    <row r="30" spans="1:216" hidden="1" x14ac:dyDescent="0.45">
      <c r="A30">
        <v>52</v>
      </c>
      <c r="B30">
        <f>_xlfn.IFNA(VLOOKUP(AnalizaCzyste[[#This Row],[Zakończono wypełnianie]],Zakończone[],2,0),"BRAK")</f>
        <v>31</v>
      </c>
      <c r="C30">
        <f t="shared" si="0"/>
        <v>38</v>
      </c>
      <c r="D30" t="s">
        <v>598</v>
      </c>
      <c r="E30" t="s">
        <v>118</v>
      </c>
      <c r="F30" t="s">
        <v>359</v>
      </c>
      <c r="J30" t="s">
        <v>119</v>
      </c>
      <c r="K30" t="s">
        <v>599</v>
      </c>
      <c r="L30" t="s">
        <v>600</v>
      </c>
      <c r="M30">
        <v>61362</v>
      </c>
      <c r="O30">
        <v>0</v>
      </c>
      <c r="P30" t="s">
        <v>122</v>
      </c>
      <c r="Q30" s="1" t="s">
        <v>123</v>
      </c>
      <c r="AG30" s="1" t="s">
        <v>124</v>
      </c>
      <c r="AH30" t="s">
        <v>445</v>
      </c>
      <c r="AI30" t="str">
        <f>VLOOKUP(AnalizaCzyste[[#This Row],[Jak się nazywa uczelnia którą ukończyłeś? (proszę o wybranie jednej uczelni podlegającej ocenie)]],KategorieUczelni[],2,0)</f>
        <v>Publiczna</v>
      </c>
      <c r="AJ30">
        <v>2018</v>
      </c>
      <c r="AK30" t="s">
        <v>148</v>
      </c>
      <c r="AL30" t="s">
        <v>601</v>
      </c>
      <c r="AM30" t="s">
        <v>150</v>
      </c>
      <c r="AN30" t="s">
        <v>162</v>
      </c>
      <c r="AO30" t="s">
        <v>128</v>
      </c>
      <c r="AP30" t="s">
        <v>129</v>
      </c>
      <c r="AQ30" t="s">
        <v>132</v>
      </c>
      <c r="AR30" t="s">
        <v>602</v>
      </c>
      <c r="AS30" t="s">
        <v>131</v>
      </c>
      <c r="AT30" t="s">
        <v>132</v>
      </c>
      <c r="AV30" t="s">
        <v>603</v>
      </c>
      <c r="AW30" t="s">
        <v>604</v>
      </c>
      <c r="AX30" t="s">
        <v>157</v>
      </c>
      <c r="AZ30" s="1" t="s">
        <v>123</v>
      </c>
      <c r="CT30" s="1" t="s">
        <v>123</v>
      </c>
      <c r="DD30" s="1" t="s">
        <v>123</v>
      </c>
      <c r="DN30" s="1" t="s">
        <v>123</v>
      </c>
      <c r="EQ30" s="1" t="s">
        <v>123</v>
      </c>
      <c r="ER30" t="s">
        <v>180</v>
      </c>
      <c r="ES30" t="s">
        <v>132</v>
      </c>
      <c r="FQ30" s="1" t="s">
        <v>123</v>
      </c>
      <c r="FR30" t="s">
        <v>132</v>
      </c>
      <c r="FT30" t="s">
        <v>132</v>
      </c>
      <c r="GY30" t="s">
        <v>605</v>
      </c>
      <c r="GZ30" t="s">
        <v>606</v>
      </c>
      <c r="HA30" t="s">
        <v>607</v>
      </c>
      <c r="HB30" t="s">
        <v>140</v>
      </c>
      <c r="HC30">
        <v>1994</v>
      </c>
      <c r="HD30" t="str">
        <f>VLOOKUP(AnalizaCzyste[[#This Row],[Rok urodzenia]],KategorieWiekowe[],2,1)</f>
        <v>26-35 lat</v>
      </c>
      <c r="HE30" t="s">
        <v>483</v>
      </c>
      <c r="HG30" t="s">
        <v>608</v>
      </c>
      <c r="HH30" t="s">
        <v>609</v>
      </c>
    </row>
    <row r="31" spans="1:216" hidden="1" x14ac:dyDescent="0.45">
      <c r="A31">
        <v>53</v>
      </c>
      <c r="B31">
        <f>_xlfn.IFNA(VLOOKUP(AnalizaCzyste[[#This Row],[Zakończono wypełnianie]],Zakończone[],2,0),"BRAK")</f>
        <v>32</v>
      </c>
      <c r="C31">
        <f t="shared" si="0"/>
        <v>33</v>
      </c>
      <c r="D31" t="s">
        <v>610</v>
      </c>
      <c r="E31" t="s">
        <v>118</v>
      </c>
      <c r="F31" t="s">
        <v>548</v>
      </c>
      <c r="J31" t="s">
        <v>119</v>
      </c>
      <c r="K31" t="s">
        <v>611</v>
      </c>
      <c r="L31" t="s">
        <v>612</v>
      </c>
      <c r="M31">
        <v>551</v>
      </c>
      <c r="O31">
        <v>0</v>
      </c>
      <c r="P31" t="s">
        <v>122</v>
      </c>
      <c r="Q31" s="1" t="s">
        <v>416</v>
      </c>
      <c r="R31" t="s">
        <v>445</v>
      </c>
      <c r="S31" t="s">
        <v>148</v>
      </c>
      <c r="T31" t="s">
        <v>613</v>
      </c>
      <c r="U31" t="s">
        <v>150</v>
      </c>
      <c r="V31" t="s">
        <v>150</v>
      </c>
      <c r="W31" t="s">
        <v>151</v>
      </c>
      <c r="X31" t="s">
        <v>530</v>
      </c>
      <c r="Y31" t="s">
        <v>131</v>
      </c>
      <c r="Z31" t="s">
        <v>302</v>
      </c>
      <c r="AA31" t="s">
        <v>614</v>
      </c>
      <c r="AB31" t="s">
        <v>615</v>
      </c>
      <c r="AC31" t="s">
        <v>616</v>
      </c>
      <c r="AD31" t="s">
        <v>172</v>
      </c>
      <c r="AF31">
        <v>6</v>
      </c>
      <c r="AG31" s="1" t="s">
        <v>123</v>
      </c>
      <c r="AI31" t="e">
        <f>VLOOKUP(AnalizaCzyste[[#This Row],[Jak się nazywa uczelnia którą ukończyłeś? (proszę o wybranie jednej uczelni podlegającej ocenie)]],KategorieUczelni[],2,0)</f>
        <v>#N/A</v>
      </c>
      <c r="AZ31" s="1" t="s">
        <v>123</v>
      </c>
      <c r="CT31" s="1" t="s">
        <v>123</v>
      </c>
      <c r="DD31" s="1" t="s">
        <v>123</v>
      </c>
      <c r="DN31" s="1" t="s">
        <v>123</v>
      </c>
      <c r="EQ31" s="1" t="s">
        <v>123</v>
      </c>
      <c r="FQ31" s="1" t="s">
        <v>123</v>
      </c>
      <c r="FR31" t="s">
        <v>132</v>
      </c>
      <c r="GY31" t="s">
        <v>617</v>
      </c>
      <c r="GZ31" t="s">
        <v>618</v>
      </c>
      <c r="HA31" t="s">
        <v>619</v>
      </c>
      <c r="HB31" t="s">
        <v>140</v>
      </c>
      <c r="HC31">
        <v>1998</v>
      </c>
      <c r="HD31" t="str">
        <f>VLOOKUP(AnalizaCzyste[[#This Row],[Rok urodzenia]],KategorieWiekowe[],2,1)</f>
        <v>poniżej 26 lat</v>
      </c>
      <c r="HE31" t="s">
        <v>398</v>
      </c>
      <c r="HG31" t="s">
        <v>620</v>
      </c>
    </row>
    <row r="32" spans="1:216" hidden="1" x14ac:dyDescent="0.45">
      <c r="A32">
        <v>54</v>
      </c>
      <c r="B32">
        <f>_xlfn.IFNA(VLOOKUP(AnalizaCzyste[[#This Row],[Zakończono wypełnianie]],Zakończone[],2,0),"BRAK")</f>
        <v>33</v>
      </c>
      <c r="C32">
        <f t="shared" si="0"/>
        <v>33</v>
      </c>
      <c r="D32" t="s">
        <v>621</v>
      </c>
      <c r="E32" t="s">
        <v>118</v>
      </c>
      <c r="F32" t="s">
        <v>359</v>
      </c>
      <c r="J32" t="s">
        <v>119</v>
      </c>
      <c r="K32" t="s">
        <v>622</v>
      </c>
      <c r="L32" t="s">
        <v>623</v>
      </c>
      <c r="M32">
        <v>595</v>
      </c>
      <c r="O32">
        <v>0</v>
      </c>
      <c r="P32" t="s">
        <v>122</v>
      </c>
      <c r="Q32" s="1" t="s">
        <v>416</v>
      </c>
      <c r="R32" t="s">
        <v>445</v>
      </c>
      <c r="S32" t="s">
        <v>148</v>
      </c>
      <c r="T32" t="s">
        <v>624</v>
      </c>
      <c r="U32" t="s">
        <v>150</v>
      </c>
      <c r="V32" t="s">
        <v>150</v>
      </c>
      <c r="W32" t="s">
        <v>169</v>
      </c>
      <c r="X32">
        <v>12</v>
      </c>
      <c r="Y32" t="s">
        <v>302</v>
      </c>
      <c r="Z32" t="s">
        <v>226</v>
      </c>
      <c r="AB32" t="s">
        <v>625</v>
      </c>
      <c r="AC32" t="s">
        <v>626</v>
      </c>
      <c r="AD32" t="s">
        <v>172</v>
      </c>
      <c r="AF32">
        <v>4</v>
      </c>
      <c r="AG32" s="1" t="s">
        <v>123</v>
      </c>
      <c r="AI32" t="e">
        <f>VLOOKUP(AnalizaCzyste[[#This Row],[Jak się nazywa uczelnia którą ukończyłeś? (proszę o wybranie jednej uczelni podlegającej ocenie)]],KategorieUczelni[],2,0)</f>
        <v>#N/A</v>
      </c>
      <c r="AZ32" s="1" t="s">
        <v>123</v>
      </c>
      <c r="CT32" s="1" t="s">
        <v>123</v>
      </c>
      <c r="DD32" s="1" t="s">
        <v>123</v>
      </c>
      <c r="DN32" s="1" t="s">
        <v>123</v>
      </c>
      <c r="EQ32" s="1" t="s">
        <v>123</v>
      </c>
      <c r="FQ32" s="1" t="s">
        <v>123</v>
      </c>
      <c r="FR32" t="s">
        <v>132</v>
      </c>
      <c r="GY32" t="s">
        <v>627</v>
      </c>
      <c r="GZ32" t="s">
        <v>628</v>
      </c>
      <c r="HA32" t="s">
        <v>629</v>
      </c>
      <c r="HB32" t="s">
        <v>186</v>
      </c>
      <c r="HC32" t="s">
        <v>630</v>
      </c>
      <c r="HD32" t="e">
        <f>VLOOKUP(AnalizaCzyste[[#This Row],[Rok urodzenia]],KategorieWiekowe[],2,1)</f>
        <v>#N/A</v>
      </c>
      <c r="HE32" t="s">
        <v>398</v>
      </c>
      <c r="HG32" t="s">
        <v>631</v>
      </c>
      <c r="HH32" t="s">
        <v>632</v>
      </c>
    </row>
    <row r="33" spans="1:217" hidden="1" x14ac:dyDescent="0.45">
      <c r="A33">
        <v>58</v>
      </c>
      <c r="B33">
        <f>_xlfn.IFNA(VLOOKUP(AnalizaCzyste[[#This Row],[Zakończono wypełnianie]],Zakończone[],2,0),"BRAK")</f>
        <v>34</v>
      </c>
      <c r="C33">
        <f t="shared" si="0"/>
        <v>31</v>
      </c>
      <c r="D33" t="s">
        <v>645</v>
      </c>
      <c r="E33" t="s">
        <v>118</v>
      </c>
      <c r="F33" t="s">
        <v>375</v>
      </c>
      <c r="J33" t="s">
        <v>119</v>
      </c>
      <c r="K33" t="s">
        <v>646</v>
      </c>
      <c r="L33" t="s">
        <v>647</v>
      </c>
      <c r="M33">
        <v>551</v>
      </c>
      <c r="O33">
        <v>0</v>
      </c>
      <c r="P33" t="s">
        <v>122</v>
      </c>
      <c r="Q33" s="1" t="s">
        <v>416</v>
      </c>
      <c r="R33" t="s">
        <v>160</v>
      </c>
      <c r="S33" t="s">
        <v>148</v>
      </c>
      <c r="T33" t="s">
        <v>648</v>
      </c>
      <c r="U33" t="s">
        <v>128</v>
      </c>
      <c r="V33" t="s">
        <v>162</v>
      </c>
      <c r="W33" t="s">
        <v>162</v>
      </c>
      <c r="X33" t="s">
        <v>237</v>
      </c>
      <c r="Y33" t="s">
        <v>302</v>
      </c>
      <c r="Z33" t="s">
        <v>153</v>
      </c>
      <c r="AB33" t="s">
        <v>649</v>
      </c>
      <c r="AC33" t="s">
        <v>650</v>
      </c>
      <c r="AD33" t="s">
        <v>157</v>
      </c>
      <c r="AF33">
        <v>8</v>
      </c>
      <c r="AG33" s="1" t="s">
        <v>123</v>
      </c>
      <c r="AI33" t="e">
        <f>VLOOKUP(AnalizaCzyste[[#This Row],[Jak się nazywa uczelnia którą ukończyłeś? (proszę o wybranie jednej uczelni podlegającej ocenie)]],KategorieUczelni[],2,0)</f>
        <v>#N/A</v>
      </c>
      <c r="AZ33" s="1" t="s">
        <v>123</v>
      </c>
      <c r="CT33" s="1" t="s">
        <v>123</v>
      </c>
      <c r="DD33" s="1" t="s">
        <v>123</v>
      </c>
      <c r="DN33" s="1" t="s">
        <v>123</v>
      </c>
      <c r="EQ33" s="1" t="s">
        <v>123</v>
      </c>
      <c r="FQ33" s="1" t="s">
        <v>123</v>
      </c>
      <c r="FR33" t="s">
        <v>132</v>
      </c>
      <c r="GY33" t="s">
        <v>651</v>
      </c>
      <c r="GZ33" t="s">
        <v>652</v>
      </c>
      <c r="HA33" t="s">
        <v>653</v>
      </c>
      <c r="HB33" t="s">
        <v>140</v>
      </c>
      <c r="HC33">
        <v>1998</v>
      </c>
      <c r="HD33" t="str">
        <f>VLOOKUP(AnalizaCzyste[[#This Row],[Rok urodzenia]],KategorieWiekowe[],2,1)</f>
        <v>poniżej 26 lat</v>
      </c>
      <c r="HE33" t="s">
        <v>141</v>
      </c>
    </row>
    <row r="34" spans="1:217" hidden="1" x14ac:dyDescent="0.45">
      <c r="A34">
        <v>60</v>
      </c>
      <c r="B34">
        <f>_xlfn.IFNA(VLOOKUP(AnalizaCzyste[[#This Row],[Zakończono wypełnianie]],Zakończone[],2,0),"BRAK")</f>
        <v>35</v>
      </c>
      <c r="C34">
        <f t="shared" si="0"/>
        <v>42</v>
      </c>
      <c r="D34" t="s">
        <v>656</v>
      </c>
      <c r="E34" t="s">
        <v>118</v>
      </c>
      <c r="F34" t="s">
        <v>359</v>
      </c>
      <c r="J34" t="s">
        <v>119</v>
      </c>
      <c r="K34" t="s">
        <v>657</v>
      </c>
      <c r="L34" t="s">
        <v>658</v>
      </c>
      <c r="M34">
        <v>770</v>
      </c>
      <c r="O34">
        <v>0</v>
      </c>
      <c r="P34" t="s">
        <v>122</v>
      </c>
      <c r="Q34" s="1" t="s">
        <v>123</v>
      </c>
      <c r="AG34" s="1" t="s">
        <v>124</v>
      </c>
      <c r="AH34" t="s">
        <v>445</v>
      </c>
      <c r="AI34" t="str">
        <f>VLOOKUP(AnalizaCzyste[[#This Row],[Jak się nazywa uczelnia którą ukończyłeś? (proszę o wybranie jednej uczelni podlegającej ocenie)]],KategorieUczelni[],2,0)</f>
        <v>Publiczna</v>
      </c>
      <c r="AJ34" t="s">
        <v>659</v>
      </c>
      <c r="AK34" t="s">
        <v>148</v>
      </c>
      <c r="AL34" t="s">
        <v>660</v>
      </c>
      <c r="AM34" t="s">
        <v>169</v>
      </c>
      <c r="AN34" t="s">
        <v>169</v>
      </c>
      <c r="AO34" t="s">
        <v>169</v>
      </c>
      <c r="AP34" t="s">
        <v>150</v>
      </c>
      <c r="AQ34" t="s">
        <v>132</v>
      </c>
      <c r="AR34" t="s">
        <v>661</v>
      </c>
      <c r="AS34" t="s">
        <v>302</v>
      </c>
      <c r="AT34" t="s">
        <v>132</v>
      </c>
      <c r="AV34" t="s">
        <v>662</v>
      </c>
      <c r="AW34" t="s">
        <v>663</v>
      </c>
      <c r="AX34" t="s">
        <v>157</v>
      </c>
      <c r="AY34" t="s">
        <v>664</v>
      </c>
      <c r="AZ34" s="1" t="s">
        <v>123</v>
      </c>
      <c r="CT34" s="1" t="s">
        <v>123</v>
      </c>
      <c r="DD34" s="1" t="s">
        <v>214</v>
      </c>
      <c r="DE34" t="s">
        <v>445</v>
      </c>
      <c r="DF34" t="s">
        <v>518</v>
      </c>
      <c r="DG34" t="s">
        <v>169</v>
      </c>
      <c r="DH34" t="s">
        <v>169</v>
      </c>
      <c r="DI34" t="s">
        <v>169</v>
      </c>
      <c r="DJ34" t="s">
        <v>169</v>
      </c>
      <c r="DK34" t="s">
        <v>169</v>
      </c>
      <c r="DL34" t="s">
        <v>150</v>
      </c>
      <c r="DN34" s="1" t="s">
        <v>123</v>
      </c>
      <c r="EQ34" s="1" t="s">
        <v>123</v>
      </c>
      <c r="FQ34" s="1" t="s">
        <v>123</v>
      </c>
      <c r="FR34" t="s">
        <v>132</v>
      </c>
      <c r="GY34" t="s">
        <v>665</v>
      </c>
      <c r="GZ34" t="s">
        <v>666</v>
      </c>
      <c r="HA34" t="s">
        <v>667</v>
      </c>
      <c r="HB34" t="s">
        <v>140</v>
      </c>
      <c r="HC34">
        <v>1989</v>
      </c>
      <c r="HD34" t="str">
        <f>VLOOKUP(AnalizaCzyste[[#This Row],[Rok urodzenia]],KategorieWiekowe[],2,1)</f>
        <v>26-35 lat</v>
      </c>
      <c r="HE34" t="s">
        <v>141</v>
      </c>
    </row>
    <row r="35" spans="1:217" hidden="1" x14ac:dyDescent="0.45">
      <c r="A35">
        <v>61</v>
      </c>
      <c r="B35">
        <f>_xlfn.IFNA(VLOOKUP(AnalizaCzyste[[#This Row],[Zakończono wypełnianie]],Zakończone[],2,0),"BRAK")</f>
        <v>36</v>
      </c>
      <c r="C35">
        <f t="shared" ref="C35:C66" si="1">COUNTA(P35:HI35)</f>
        <v>37</v>
      </c>
      <c r="D35" t="s">
        <v>668</v>
      </c>
      <c r="E35" t="s">
        <v>118</v>
      </c>
      <c r="F35" t="s">
        <v>359</v>
      </c>
      <c r="J35" t="s">
        <v>119</v>
      </c>
      <c r="K35" t="s">
        <v>669</v>
      </c>
      <c r="L35" t="s">
        <v>670</v>
      </c>
      <c r="M35">
        <v>463</v>
      </c>
      <c r="O35">
        <v>0</v>
      </c>
      <c r="P35" t="s">
        <v>122</v>
      </c>
      <c r="Q35" s="1" t="s">
        <v>123</v>
      </c>
      <c r="AG35" s="1" t="s">
        <v>124</v>
      </c>
      <c r="AH35" t="s">
        <v>445</v>
      </c>
      <c r="AI35" t="str">
        <f>VLOOKUP(AnalizaCzyste[[#This Row],[Jak się nazywa uczelnia którą ukończyłeś? (proszę o wybranie jednej uczelni podlegającej ocenie)]],KategorieUczelni[],2,0)</f>
        <v>Publiczna</v>
      </c>
      <c r="AJ35">
        <v>2019</v>
      </c>
      <c r="AK35" t="s">
        <v>148</v>
      </c>
      <c r="AL35" t="s">
        <v>601</v>
      </c>
      <c r="AM35" t="s">
        <v>162</v>
      </c>
      <c r="AN35" t="s">
        <v>162</v>
      </c>
      <c r="AO35" t="s">
        <v>129</v>
      </c>
      <c r="AP35" t="s">
        <v>129</v>
      </c>
      <c r="AQ35" t="s">
        <v>129</v>
      </c>
      <c r="AR35">
        <v>4</v>
      </c>
      <c r="AS35" t="s">
        <v>152</v>
      </c>
      <c r="AT35" t="s">
        <v>131</v>
      </c>
      <c r="AU35" t="s">
        <v>671</v>
      </c>
      <c r="AV35" t="s">
        <v>672</v>
      </c>
      <c r="AW35" t="s">
        <v>673</v>
      </c>
      <c r="AX35" t="s">
        <v>157</v>
      </c>
      <c r="AZ35" s="1" t="s">
        <v>123</v>
      </c>
      <c r="CT35" s="1" t="s">
        <v>123</v>
      </c>
      <c r="DD35" s="1" t="s">
        <v>123</v>
      </c>
      <c r="DN35" s="1" t="s">
        <v>123</v>
      </c>
      <c r="EQ35" s="1" t="s">
        <v>123</v>
      </c>
      <c r="ER35" t="s">
        <v>180</v>
      </c>
      <c r="ES35" t="s">
        <v>132</v>
      </c>
      <c r="FQ35" s="1" t="s">
        <v>123</v>
      </c>
      <c r="FR35" t="s">
        <v>132</v>
      </c>
      <c r="FT35" t="s">
        <v>132</v>
      </c>
      <c r="GY35" t="s">
        <v>674</v>
      </c>
      <c r="GZ35" t="s">
        <v>675</v>
      </c>
      <c r="HA35" t="s">
        <v>676</v>
      </c>
      <c r="HB35" t="s">
        <v>140</v>
      </c>
      <c r="HC35">
        <v>1994</v>
      </c>
      <c r="HD35" t="str">
        <f>VLOOKUP(AnalizaCzyste[[#This Row],[Rok urodzenia]],KategorieWiekowe[],2,1)</f>
        <v>26-35 lat</v>
      </c>
      <c r="HE35" t="s">
        <v>483</v>
      </c>
    </row>
    <row r="36" spans="1:217" hidden="1" x14ac:dyDescent="0.45">
      <c r="A36">
        <v>63</v>
      </c>
      <c r="B36">
        <f>_xlfn.IFNA(VLOOKUP(AnalizaCzyste[[#This Row],[Zakończono wypełnianie]],Zakończone[],2,0),"BRAK")</f>
        <v>37</v>
      </c>
      <c r="C36">
        <f t="shared" si="1"/>
        <v>39</v>
      </c>
      <c r="D36" t="s">
        <v>679</v>
      </c>
      <c r="E36" t="s">
        <v>118</v>
      </c>
      <c r="F36" t="s">
        <v>359</v>
      </c>
      <c r="J36" t="s">
        <v>119</v>
      </c>
      <c r="K36" t="s">
        <v>680</v>
      </c>
      <c r="L36" t="s">
        <v>681</v>
      </c>
      <c r="M36">
        <v>770</v>
      </c>
      <c r="O36">
        <v>0</v>
      </c>
      <c r="P36" t="s">
        <v>122</v>
      </c>
      <c r="Q36" s="1" t="s">
        <v>123</v>
      </c>
      <c r="AG36" s="1" t="s">
        <v>124</v>
      </c>
      <c r="AH36" s="20" t="s">
        <v>445</v>
      </c>
      <c r="AI36" s="20" t="str">
        <f>VLOOKUP(AnalizaCzyste[[#This Row],[Jak się nazywa uczelnia którą ukończyłeś? (proszę o wybranie jednej uczelni podlegającej ocenie)]],KategorieUczelni[],2,0)</f>
        <v>Publiczna</v>
      </c>
      <c r="AJ36">
        <v>2017</v>
      </c>
      <c r="AK36" t="s">
        <v>148</v>
      </c>
      <c r="AL36" t="s">
        <v>601</v>
      </c>
      <c r="AM36" t="s">
        <v>169</v>
      </c>
      <c r="AN36" t="s">
        <v>169</v>
      </c>
      <c r="AO36" t="s">
        <v>150</v>
      </c>
      <c r="AP36" t="s">
        <v>236</v>
      </c>
      <c r="AQ36" t="s">
        <v>169</v>
      </c>
      <c r="AR36" t="s">
        <v>683</v>
      </c>
      <c r="AS36" t="s">
        <v>131</v>
      </c>
      <c r="AT36" t="s">
        <v>153</v>
      </c>
      <c r="AU36" t="s">
        <v>684</v>
      </c>
      <c r="AV36" t="s">
        <v>685</v>
      </c>
      <c r="AW36" t="s">
        <v>686</v>
      </c>
      <c r="AX36" t="s">
        <v>157</v>
      </c>
      <c r="AZ36" s="1" t="s">
        <v>123</v>
      </c>
      <c r="CT36" s="1" t="s">
        <v>123</v>
      </c>
      <c r="DD36" s="1" t="s">
        <v>123</v>
      </c>
      <c r="DN36" s="1" t="s">
        <v>123</v>
      </c>
      <c r="EQ36" s="1" t="s">
        <v>123</v>
      </c>
      <c r="ER36" t="s">
        <v>180</v>
      </c>
      <c r="ES36" t="s">
        <v>132</v>
      </c>
      <c r="FQ36" s="1" t="s">
        <v>123</v>
      </c>
      <c r="FR36" t="s">
        <v>132</v>
      </c>
      <c r="FT36" t="s">
        <v>132</v>
      </c>
      <c r="GY36" t="s">
        <v>687</v>
      </c>
      <c r="GZ36" t="s">
        <v>688</v>
      </c>
      <c r="HA36" t="s">
        <v>689</v>
      </c>
      <c r="HB36" t="s">
        <v>140</v>
      </c>
      <c r="HC36">
        <v>1994</v>
      </c>
      <c r="HD36" t="str">
        <f>VLOOKUP(AnalizaCzyste[[#This Row],[Rok urodzenia]],KategorieWiekowe[],2,1)</f>
        <v>26-35 lat</v>
      </c>
      <c r="HE36" t="s">
        <v>246</v>
      </c>
      <c r="HG36" t="s">
        <v>142</v>
      </c>
      <c r="HH36" t="s">
        <v>142</v>
      </c>
    </row>
    <row r="37" spans="1:217" hidden="1" x14ac:dyDescent="0.45">
      <c r="A37">
        <v>67</v>
      </c>
      <c r="B37">
        <f>_xlfn.IFNA(VLOOKUP(AnalizaCzyste[[#This Row],[Zakończono wypełnianie]],Zakończone[],2,0),"BRAK")</f>
        <v>38</v>
      </c>
      <c r="C37">
        <f t="shared" si="1"/>
        <v>37</v>
      </c>
      <c r="D37" t="s">
        <v>698</v>
      </c>
      <c r="E37" t="s">
        <v>118</v>
      </c>
      <c r="F37" t="s">
        <v>359</v>
      </c>
      <c r="J37" t="s">
        <v>119</v>
      </c>
      <c r="K37" t="s">
        <v>699</v>
      </c>
      <c r="L37" t="s">
        <v>700</v>
      </c>
      <c r="M37">
        <v>1910</v>
      </c>
      <c r="O37">
        <v>0</v>
      </c>
      <c r="P37" t="s">
        <v>122</v>
      </c>
      <c r="Q37" s="1" t="s">
        <v>123</v>
      </c>
      <c r="AG37" s="1" t="s">
        <v>124</v>
      </c>
      <c r="AH37" t="s">
        <v>701</v>
      </c>
      <c r="AI37" t="str">
        <f>VLOOKUP(AnalizaCzyste[[#This Row],[Jak się nazywa uczelnia którą ukończyłeś? (proszę o wybranie jednej uczelni podlegającej ocenie)]],KategorieUczelni[],2,0)</f>
        <v>Publiczna</v>
      </c>
      <c r="AJ37">
        <v>2020</v>
      </c>
      <c r="AK37" t="s">
        <v>148</v>
      </c>
      <c r="AL37" t="s">
        <v>702</v>
      </c>
      <c r="AM37" t="s">
        <v>162</v>
      </c>
      <c r="AN37" t="s">
        <v>162</v>
      </c>
      <c r="AO37" t="s">
        <v>236</v>
      </c>
      <c r="AP37" t="s">
        <v>236</v>
      </c>
      <c r="AQ37" t="s">
        <v>132</v>
      </c>
      <c r="AR37" t="s">
        <v>703</v>
      </c>
      <c r="AS37" t="s">
        <v>131</v>
      </c>
      <c r="AT37" t="s">
        <v>132</v>
      </c>
      <c r="AU37" t="s">
        <v>704</v>
      </c>
      <c r="AV37" t="s">
        <v>705</v>
      </c>
      <c r="AW37" t="s">
        <v>706</v>
      </c>
      <c r="AX37" t="s">
        <v>157</v>
      </c>
      <c r="AZ37" s="1" t="s">
        <v>123</v>
      </c>
      <c r="CT37" s="1" t="s">
        <v>123</v>
      </c>
      <c r="DD37" s="1" t="s">
        <v>123</v>
      </c>
      <c r="DN37" s="1" t="s">
        <v>123</v>
      </c>
      <c r="EQ37" s="1" t="s">
        <v>123</v>
      </c>
      <c r="ER37" t="s">
        <v>180</v>
      </c>
      <c r="ES37" t="s">
        <v>132</v>
      </c>
      <c r="FQ37" s="1" t="s">
        <v>123</v>
      </c>
      <c r="FR37" t="s">
        <v>132</v>
      </c>
      <c r="FT37" t="s">
        <v>132</v>
      </c>
      <c r="GY37" t="s">
        <v>707</v>
      </c>
      <c r="GZ37" t="s">
        <v>708</v>
      </c>
      <c r="HA37" t="s">
        <v>709</v>
      </c>
      <c r="HB37" t="s">
        <v>140</v>
      </c>
      <c r="HC37">
        <v>1994</v>
      </c>
      <c r="HD37" t="str">
        <f>VLOOKUP(AnalizaCzyste[[#This Row],[Rok urodzenia]],KategorieWiekowe[],2,1)</f>
        <v>26-35 lat</v>
      </c>
      <c r="HE37" t="s">
        <v>220</v>
      </c>
    </row>
    <row r="38" spans="1:217" hidden="1" x14ac:dyDescent="0.45">
      <c r="A38">
        <v>70</v>
      </c>
      <c r="B38">
        <f>_xlfn.IFNA(VLOOKUP(AnalizaCzyste[[#This Row],[Zakończono wypełnianie]],Zakończone[],2,0),"BRAK")</f>
        <v>39</v>
      </c>
      <c r="C38">
        <f t="shared" si="1"/>
        <v>56</v>
      </c>
      <c r="D38" t="s">
        <v>714</v>
      </c>
      <c r="E38" t="s">
        <v>118</v>
      </c>
      <c r="J38" t="s">
        <v>119</v>
      </c>
      <c r="K38" t="s">
        <v>715</v>
      </c>
      <c r="L38" t="s">
        <v>716</v>
      </c>
      <c r="M38">
        <v>1868</v>
      </c>
      <c r="O38">
        <v>0</v>
      </c>
      <c r="P38" t="s">
        <v>122</v>
      </c>
      <c r="Q38" s="1" t="s">
        <v>123</v>
      </c>
      <c r="AG38" s="1" t="s">
        <v>124</v>
      </c>
      <c r="AH38" t="s">
        <v>191</v>
      </c>
      <c r="AI38" t="str">
        <f>VLOOKUP(AnalizaCzyste[[#This Row],[Jak się nazywa uczelnia którą ukończyłeś? (proszę o wybranie jednej uczelni podlegającej ocenie)]],KategorieUczelni[],2,0)</f>
        <v>Publiczna</v>
      </c>
      <c r="AJ38">
        <v>2008</v>
      </c>
      <c r="AK38" t="s">
        <v>126</v>
      </c>
      <c r="AL38" t="s">
        <v>717</v>
      </c>
      <c r="AM38" t="s">
        <v>162</v>
      </c>
      <c r="AN38" t="s">
        <v>151</v>
      </c>
      <c r="AO38" t="s">
        <v>162</v>
      </c>
      <c r="AP38" t="s">
        <v>236</v>
      </c>
      <c r="AQ38" t="s">
        <v>236</v>
      </c>
      <c r="AR38" t="s">
        <v>718</v>
      </c>
      <c r="AS38" t="s">
        <v>131</v>
      </c>
      <c r="AT38" t="s">
        <v>302</v>
      </c>
      <c r="AU38" t="s">
        <v>719</v>
      </c>
      <c r="AV38" t="s">
        <v>720</v>
      </c>
      <c r="AW38" t="s">
        <v>721</v>
      </c>
      <c r="AX38" t="s">
        <v>172</v>
      </c>
      <c r="AZ38" s="1" t="s">
        <v>123</v>
      </c>
      <c r="CT38" s="1" t="s">
        <v>123</v>
      </c>
      <c r="DD38" s="1" t="s">
        <v>214</v>
      </c>
      <c r="DE38" t="s">
        <v>2275</v>
      </c>
      <c r="DF38" t="s">
        <v>2276</v>
      </c>
      <c r="DG38" t="s">
        <v>150</v>
      </c>
      <c r="DH38" t="s">
        <v>162</v>
      </c>
      <c r="DI38" t="s">
        <v>151</v>
      </c>
      <c r="DJ38" t="s">
        <v>162</v>
      </c>
      <c r="DK38" t="s">
        <v>128</v>
      </c>
      <c r="DL38" t="s">
        <v>128</v>
      </c>
      <c r="DM38" t="s">
        <v>724</v>
      </c>
      <c r="DN38" s="1" t="s">
        <v>123</v>
      </c>
      <c r="EQ38" s="1" t="s">
        <v>177</v>
      </c>
      <c r="ER38" t="s">
        <v>180</v>
      </c>
      <c r="ES38">
        <v>1</v>
      </c>
      <c r="ET38" t="s">
        <v>722</v>
      </c>
      <c r="EU38" t="s">
        <v>162</v>
      </c>
      <c r="EV38" t="s">
        <v>150</v>
      </c>
      <c r="EW38" t="s">
        <v>236</v>
      </c>
      <c r="EX38" t="s">
        <v>178</v>
      </c>
      <c r="EY38" t="s">
        <v>725</v>
      </c>
      <c r="EZ38" t="s">
        <v>726</v>
      </c>
      <c r="FA38" t="s">
        <v>173</v>
      </c>
      <c r="FQ38" s="1" t="s">
        <v>123</v>
      </c>
      <c r="FR38" t="s">
        <v>132</v>
      </c>
      <c r="FT38" t="s">
        <v>132</v>
      </c>
      <c r="GY38" t="s">
        <v>727</v>
      </c>
      <c r="GZ38" t="s">
        <v>728</v>
      </c>
      <c r="HA38" t="s">
        <v>729</v>
      </c>
      <c r="HB38" t="s">
        <v>186</v>
      </c>
      <c r="HC38">
        <v>1983</v>
      </c>
      <c r="HD38" t="str">
        <f>VLOOKUP(AnalizaCzyste[[#This Row],[Rok urodzenia]],KategorieWiekowe[],2,1)</f>
        <v>36-45 lat</v>
      </c>
      <c r="HE38" t="s">
        <v>141</v>
      </c>
      <c r="HG38" t="s">
        <v>730</v>
      </c>
      <c r="HI38" t="s">
        <v>731</v>
      </c>
    </row>
    <row r="39" spans="1:217" hidden="1" x14ac:dyDescent="0.45">
      <c r="A39">
        <v>74</v>
      </c>
      <c r="B39">
        <f>_xlfn.IFNA(VLOOKUP(AnalizaCzyste[[#This Row],[Zakończono wypełnianie]],Zakończone[],2,0),"BRAK")</f>
        <v>40</v>
      </c>
      <c r="C39">
        <f t="shared" si="1"/>
        <v>48</v>
      </c>
      <c r="D39" t="s">
        <v>739</v>
      </c>
      <c r="E39" t="s">
        <v>118</v>
      </c>
      <c r="J39" t="s">
        <v>119</v>
      </c>
      <c r="K39" t="s">
        <v>740</v>
      </c>
      <c r="L39" t="s">
        <v>741</v>
      </c>
      <c r="M39">
        <v>341</v>
      </c>
      <c r="O39">
        <v>0</v>
      </c>
      <c r="P39" t="s">
        <v>122</v>
      </c>
      <c r="Q39" s="1" t="s">
        <v>123</v>
      </c>
      <c r="AG39" s="1" t="s">
        <v>124</v>
      </c>
      <c r="AH39" t="s">
        <v>223</v>
      </c>
      <c r="AI39" t="str">
        <f>VLOOKUP(AnalizaCzyste[[#This Row],[Jak się nazywa uczelnia którą ukończyłeś? (proszę o wybranie jednej uczelni podlegającej ocenie)]],KategorieUczelni[],2,0)</f>
        <v>Publiczna</v>
      </c>
      <c r="AJ39">
        <v>2007</v>
      </c>
      <c r="AK39" t="s">
        <v>148</v>
      </c>
      <c r="AL39" t="s">
        <v>743</v>
      </c>
      <c r="AM39" t="s">
        <v>236</v>
      </c>
      <c r="AN39" t="s">
        <v>129</v>
      </c>
      <c r="AO39" t="s">
        <v>128</v>
      </c>
      <c r="AP39" t="s">
        <v>162</v>
      </c>
      <c r="AQ39" t="s">
        <v>150</v>
      </c>
      <c r="AR39" t="s">
        <v>237</v>
      </c>
      <c r="AS39" t="s">
        <v>302</v>
      </c>
      <c r="AT39" t="s">
        <v>153</v>
      </c>
      <c r="AU39" t="s">
        <v>744</v>
      </c>
      <c r="AV39" t="s">
        <v>745</v>
      </c>
      <c r="AW39" t="s">
        <v>746</v>
      </c>
      <c r="AX39" t="s">
        <v>172</v>
      </c>
      <c r="AZ39" s="1" t="s">
        <v>123</v>
      </c>
      <c r="CT39" s="1" t="s">
        <v>387</v>
      </c>
      <c r="CU39" t="s">
        <v>191</v>
      </c>
      <c r="CV39" t="s">
        <v>748</v>
      </c>
      <c r="CW39" t="s">
        <v>150</v>
      </c>
      <c r="CX39" t="s">
        <v>150</v>
      </c>
      <c r="CY39" t="s">
        <v>169</v>
      </c>
      <c r="CZ39" t="s">
        <v>169</v>
      </c>
      <c r="DA39" t="s">
        <v>150</v>
      </c>
      <c r="DB39" t="s">
        <v>150</v>
      </c>
      <c r="DC39" t="s">
        <v>749</v>
      </c>
      <c r="DD39" s="1" t="s">
        <v>123</v>
      </c>
      <c r="DN39" s="1" t="s">
        <v>123</v>
      </c>
      <c r="EQ39" s="1" t="s">
        <v>123</v>
      </c>
      <c r="ER39" t="s">
        <v>178</v>
      </c>
      <c r="ES39" t="s">
        <v>132</v>
      </c>
      <c r="FQ39" s="1" t="s">
        <v>123</v>
      </c>
      <c r="FR39" t="s">
        <v>132</v>
      </c>
      <c r="FT39" t="s">
        <v>132</v>
      </c>
      <c r="GY39" t="s">
        <v>750</v>
      </c>
      <c r="GZ39" t="s">
        <v>751</v>
      </c>
      <c r="HA39" t="s">
        <v>752</v>
      </c>
      <c r="HB39" t="s">
        <v>186</v>
      </c>
      <c r="HC39">
        <v>1983</v>
      </c>
      <c r="HD39" t="str">
        <f>VLOOKUP(AnalizaCzyste[[#This Row],[Rok urodzenia]],KategorieWiekowe[],2,1)</f>
        <v>36-45 lat</v>
      </c>
      <c r="HE39" t="s">
        <v>398</v>
      </c>
      <c r="HG39" t="s">
        <v>753</v>
      </c>
      <c r="HH39" t="s">
        <v>532</v>
      </c>
    </row>
    <row r="40" spans="1:217" hidden="1" x14ac:dyDescent="0.45">
      <c r="A40">
        <v>75</v>
      </c>
      <c r="B40">
        <f>_xlfn.IFNA(VLOOKUP(AnalizaCzyste[[#This Row],[Zakończono wypełnianie]],Zakończone[],2,0),"BRAK")</f>
        <v>41</v>
      </c>
      <c r="C40">
        <f t="shared" si="1"/>
        <v>53</v>
      </c>
      <c r="D40" t="s">
        <v>754</v>
      </c>
      <c r="E40" t="s">
        <v>118</v>
      </c>
      <c r="F40" t="s">
        <v>755</v>
      </c>
      <c r="J40" t="s">
        <v>119</v>
      </c>
      <c r="K40" t="s">
        <v>756</v>
      </c>
      <c r="L40" t="s">
        <v>757</v>
      </c>
      <c r="M40">
        <v>487</v>
      </c>
      <c r="O40">
        <v>0</v>
      </c>
      <c r="P40" t="s">
        <v>122</v>
      </c>
      <c r="Q40" s="1" t="s">
        <v>416</v>
      </c>
      <c r="R40" t="s">
        <v>147</v>
      </c>
      <c r="S40" t="s">
        <v>148</v>
      </c>
      <c r="T40" t="s">
        <v>758</v>
      </c>
      <c r="U40" t="s">
        <v>236</v>
      </c>
      <c r="V40" t="s">
        <v>129</v>
      </c>
      <c r="W40" t="s">
        <v>236</v>
      </c>
      <c r="X40" t="s">
        <v>718</v>
      </c>
      <c r="Y40" t="s">
        <v>759</v>
      </c>
      <c r="Z40" t="s">
        <v>194</v>
      </c>
      <c r="AA40" t="s">
        <v>760</v>
      </c>
      <c r="AB40" t="s">
        <v>761</v>
      </c>
      <c r="AC40" t="s">
        <v>762</v>
      </c>
      <c r="AD40" t="s">
        <v>157</v>
      </c>
      <c r="AF40">
        <v>2</v>
      </c>
      <c r="AG40" s="1" t="s">
        <v>124</v>
      </c>
      <c r="AH40" t="s">
        <v>223</v>
      </c>
      <c r="AI40" t="str">
        <f>VLOOKUP(AnalizaCzyste[[#This Row],[Jak się nazywa uczelnia którą ukończyłeś? (proszę o wybranie jednej uczelni podlegającej ocenie)]],KategorieUczelni[],2,0)</f>
        <v>Publiczna</v>
      </c>
      <c r="AJ40">
        <v>2012</v>
      </c>
      <c r="AK40" t="s">
        <v>148</v>
      </c>
      <c r="AL40" t="s">
        <v>764</v>
      </c>
      <c r="AM40" t="s">
        <v>236</v>
      </c>
      <c r="AN40" t="s">
        <v>236</v>
      </c>
      <c r="AO40" t="s">
        <v>236</v>
      </c>
      <c r="AP40" t="s">
        <v>129</v>
      </c>
      <c r="AQ40" t="s">
        <v>236</v>
      </c>
      <c r="AR40" t="s">
        <v>237</v>
      </c>
      <c r="AS40" t="s">
        <v>302</v>
      </c>
      <c r="AT40" t="s">
        <v>153</v>
      </c>
      <c r="AU40" t="s">
        <v>765</v>
      </c>
      <c r="AV40" t="s">
        <v>766</v>
      </c>
      <c r="AW40" t="s">
        <v>767</v>
      </c>
      <c r="AX40" t="s">
        <v>230</v>
      </c>
      <c r="AZ40" s="1" t="s">
        <v>123</v>
      </c>
      <c r="CT40" s="1" t="s">
        <v>123</v>
      </c>
      <c r="DD40" s="1" t="s">
        <v>123</v>
      </c>
      <c r="DN40" s="1" t="s">
        <v>123</v>
      </c>
      <c r="EQ40" s="1" t="s">
        <v>123</v>
      </c>
      <c r="ER40" t="s">
        <v>180</v>
      </c>
      <c r="ES40" t="s">
        <v>132</v>
      </c>
      <c r="FQ40" s="1" t="s">
        <v>123</v>
      </c>
      <c r="FR40" t="s">
        <v>132</v>
      </c>
      <c r="FT40" t="s">
        <v>132</v>
      </c>
      <c r="GY40" t="s">
        <v>768</v>
      </c>
      <c r="GZ40" t="s">
        <v>769</v>
      </c>
      <c r="HA40" t="s">
        <v>770</v>
      </c>
      <c r="HB40" t="s">
        <v>186</v>
      </c>
      <c r="HC40">
        <v>1990</v>
      </c>
      <c r="HD40" t="str">
        <f>VLOOKUP(AnalizaCzyste[[#This Row],[Rok urodzenia]],KategorieWiekowe[],2,1)</f>
        <v>26-35 lat</v>
      </c>
      <c r="HE40" t="s">
        <v>141</v>
      </c>
      <c r="HG40" t="s">
        <v>771</v>
      </c>
      <c r="HH40" t="s">
        <v>772</v>
      </c>
    </row>
    <row r="41" spans="1:217" hidden="1" x14ac:dyDescent="0.45">
      <c r="A41">
        <v>76</v>
      </c>
      <c r="B41">
        <f>_xlfn.IFNA(VLOOKUP(AnalizaCzyste[[#This Row],[Zakończono wypełnianie]],Zakończone[],2,0),"BRAK")</f>
        <v>42</v>
      </c>
      <c r="C41">
        <f t="shared" si="1"/>
        <v>55</v>
      </c>
      <c r="D41" t="s">
        <v>773</v>
      </c>
      <c r="E41" t="s">
        <v>118</v>
      </c>
      <c r="F41" t="s">
        <v>774</v>
      </c>
      <c r="J41" t="s">
        <v>119</v>
      </c>
      <c r="K41" t="s">
        <v>775</v>
      </c>
      <c r="L41" t="s">
        <v>776</v>
      </c>
      <c r="M41">
        <v>1636</v>
      </c>
      <c r="O41">
        <v>0</v>
      </c>
      <c r="P41" t="s">
        <v>122</v>
      </c>
      <c r="Q41" s="1" t="s">
        <v>123</v>
      </c>
      <c r="AG41" s="1" t="s">
        <v>124</v>
      </c>
      <c r="AH41" t="s">
        <v>1461</v>
      </c>
      <c r="AI41" t="str">
        <f>VLOOKUP(AnalizaCzyste[[#This Row],[Jak się nazywa uczelnia którą ukończyłeś? (proszę o wybranie jednej uczelni podlegającej ocenie)]],KategorieUczelni[],2,0)</f>
        <v>Publiczna</v>
      </c>
      <c r="AJ41">
        <v>2013</v>
      </c>
      <c r="AK41" t="s">
        <v>148</v>
      </c>
      <c r="AL41" t="s">
        <v>429</v>
      </c>
      <c r="AM41" t="s">
        <v>128</v>
      </c>
      <c r="AN41" t="s">
        <v>151</v>
      </c>
      <c r="AO41" t="s">
        <v>162</v>
      </c>
      <c r="AP41" t="s">
        <v>129</v>
      </c>
      <c r="AQ41" t="s">
        <v>236</v>
      </c>
      <c r="AR41">
        <v>0</v>
      </c>
      <c r="AS41" t="s">
        <v>131</v>
      </c>
      <c r="AT41" t="s">
        <v>131</v>
      </c>
      <c r="AU41" t="s">
        <v>778</v>
      </c>
      <c r="AV41" t="s">
        <v>779</v>
      </c>
      <c r="AW41" t="s">
        <v>780</v>
      </c>
      <c r="AX41" t="s">
        <v>157</v>
      </c>
      <c r="AZ41" s="1" t="s">
        <v>123</v>
      </c>
      <c r="CT41" s="1" t="s">
        <v>123</v>
      </c>
      <c r="DD41" s="1" t="s">
        <v>214</v>
      </c>
      <c r="DE41" t="s">
        <v>1461</v>
      </c>
      <c r="DF41" t="s">
        <v>781</v>
      </c>
      <c r="DG41" t="s">
        <v>129</v>
      </c>
      <c r="DH41" t="s">
        <v>150</v>
      </c>
      <c r="DI41" t="s">
        <v>129</v>
      </c>
      <c r="DJ41" t="s">
        <v>236</v>
      </c>
      <c r="DK41" t="s">
        <v>151</v>
      </c>
      <c r="DL41" t="s">
        <v>151</v>
      </c>
      <c r="DM41" t="s">
        <v>782</v>
      </c>
      <c r="DN41" s="1" t="s">
        <v>123</v>
      </c>
      <c r="EQ41" s="1" t="s">
        <v>177</v>
      </c>
      <c r="ER41" t="s">
        <v>180</v>
      </c>
      <c r="ES41">
        <v>1</v>
      </c>
      <c r="ET41" t="s">
        <v>783</v>
      </c>
      <c r="EU41" t="s">
        <v>150</v>
      </c>
      <c r="EV41" t="s">
        <v>150</v>
      </c>
      <c r="EW41" t="s">
        <v>236</v>
      </c>
      <c r="EX41" t="s">
        <v>178</v>
      </c>
      <c r="EY41" t="s">
        <v>784</v>
      </c>
      <c r="EZ41" t="s">
        <v>785</v>
      </c>
      <c r="FA41" t="s">
        <v>173</v>
      </c>
      <c r="FQ41" s="1" t="s">
        <v>123</v>
      </c>
      <c r="FR41" t="s">
        <v>132</v>
      </c>
      <c r="GY41" t="s">
        <v>786</v>
      </c>
      <c r="GZ41" t="s">
        <v>787</v>
      </c>
      <c r="HA41" t="s">
        <v>788</v>
      </c>
      <c r="HB41" t="s">
        <v>140</v>
      </c>
      <c r="HC41">
        <v>1988</v>
      </c>
      <c r="HD41" t="str">
        <f>VLOOKUP(AnalizaCzyste[[#This Row],[Rok urodzenia]],KategorieWiekowe[],2,1)</f>
        <v>26-35 lat</v>
      </c>
      <c r="HE41" t="s">
        <v>246</v>
      </c>
      <c r="HG41" t="s">
        <v>789</v>
      </c>
      <c r="HI41" t="s">
        <v>790</v>
      </c>
    </row>
    <row r="42" spans="1:217" hidden="1" x14ac:dyDescent="0.45">
      <c r="A42">
        <v>77</v>
      </c>
      <c r="B42">
        <f>_xlfn.IFNA(VLOOKUP(AnalizaCzyste[[#This Row],[Zakończono wypełnianie]],Zakończone[],2,0),"BRAK")</f>
        <v>43</v>
      </c>
      <c r="C42">
        <f t="shared" si="1"/>
        <v>35</v>
      </c>
      <c r="D42" t="s">
        <v>773</v>
      </c>
      <c r="E42" t="s">
        <v>118</v>
      </c>
      <c r="F42" t="s">
        <v>774</v>
      </c>
      <c r="J42" t="s">
        <v>119</v>
      </c>
      <c r="K42" t="s">
        <v>791</v>
      </c>
      <c r="L42" t="s">
        <v>792</v>
      </c>
      <c r="M42">
        <v>333</v>
      </c>
      <c r="O42">
        <v>0</v>
      </c>
      <c r="P42" t="s">
        <v>122</v>
      </c>
      <c r="Q42" s="1" t="s">
        <v>123</v>
      </c>
      <c r="AG42" s="1" t="s">
        <v>124</v>
      </c>
      <c r="AH42" t="s">
        <v>223</v>
      </c>
      <c r="AI42" t="str">
        <f>VLOOKUP(AnalizaCzyste[[#This Row],[Jak się nazywa uczelnia którą ukończyłeś? (proszę o wybranie jednej uczelni podlegającej ocenie)]],KategorieUczelni[],2,0)</f>
        <v>Publiczna</v>
      </c>
      <c r="AJ42">
        <v>2012</v>
      </c>
      <c r="AK42" t="s">
        <v>148</v>
      </c>
      <c r="AL42" t="s">
        <v>793</v>
      </c>
      <c r="AM42" t="s">
        <v>151</v>
      </c>
      <c r="AN42" t="s">
        <v>151</v>
      </c>
      <c r="AO42" t="s">
        <v>129</v>
      </c>
      <c r="AP42" t="s">
        <v>129</v>
      </c>
      <c r="AQ42" t="s">
        <v>128</v>
      </c>
      <c r="AR42">
        <v>3</v>
      </c>
      <c r="AS42" t="s">
        <v>131</v>
      </c>
      <c r="AT42" t="s">
        <v>302</v>
      </c>
      <c r="AU42" t="s">
        <v>386</v>
      </c>
      <c r="AV42" t="s">
        <v>794</v>
      </c>
      <c r="AW42" t="s">
        <v>780</v>
      </c>
      <c r="AX42" t="s">
        <v>157</v>
      </c>
      <c r="AZ42" s="1" t="s">
        <v>123</v>
      </c>
      <c r="CT42" s="1" t="s">
        <v>123</v>
      </c>
      <c r="DD42" s="1" t="s">
        <v>123</v>
      </c>
      <c r="DN42" s="1" t="s">
        <v>123</v>
      </c>
      <c r="EQ42" s="1" t="s">
        <v>123</v>
      </c>
      <c r="FQ42" s="1" t="s">
        <v>123</v>
      </c>
      <c r="FR42" t="s">
        <v>132</v>
      </c>
      <c r="GY42" t="s">
        <v>786</v>
      </c>
      <c r="GZ42" t="s">
        <v>787</v>
      </c>
      <c r="HA42" t="s">
        <v>788</v>
      </c>
      <c r="HB42" t="s">
        <v>186</v>
      </c>
      <c r="HC42">
        <v>1987</v>
      </c>
      <c r="HD42" t="str">
        <f>VLOOKUP(AnalizaCzyste[[#This Row],[Rok urodzenia]],KategorieWiekowe[],2,1)</f>
        <v>26-35 lat</v>
      </c>
      <c r="HE42" t="s">
        <v>141</v>
      </c>
      <c r="HG42" t="s">
        <v>795</v>
      </c>
    </row>
    <row r="43" spans="1:217" hidden="1" x14ac:dyDescent="0.45">
      <c r="A43">
        <v>78</v>
      </c>
      <c r="B43">
        <f>_xlfn.IFNA(VLOOKUP(AnalizaCzyste[[#This Row],[Zakończono wypełnianie]],Zakończone[],2,0),"BRAK")</f>
        <v>44</v>
      </c>
      <c r="C43">
        <f t="shared" si="1"/>
        <v>36</v>
      </c>
      <c r="D43" t="s">
        <v>796</v>
      </c>
      <c r="E43" t="s">
        <v>118</v>
      </c>
      <c r="F43" t="s">
        <v>797</v>
      </c>
      <c r="J43" t="s">
        <v>119</v>
      </c>
      <c r="K43" t="s">
        <v>798</v>
      </c>
      <c r="L43" t="s">
        <v>799</v>
      </c>
      <c r="M43">
        <v>2364</v>
      </c>
      <c r="O43">
        <v>0</v>
      </c>
      <c r="P43" t="s">
        <v>122</v>
      </c>
      <c r="Q43" s="1" t="s">
        <v>123</v>
      </c>
      <c r="AG43" s="1" t="s">
        <v>124</v>
      </c>
      <c r="AH43" t="s">
        <v>800</v>
      </c>
      <c r="AI43" t="str">
        <f>VLOOKUP(AnalizaCzyste[[#This Row],[Jak się nazywa uczelnia którą ukończyłeś? (proszę o wybranie jednej uczelni podlegającej ocenie)]],KategorieUczelni[],2,0)</f>
        <v>Publiczna</v>
      </c>
      <c r="AJ43">
        <v>2002</v>
      </c>
      <c r="AK43" t="s">
        <v>126</v>
      </c>
      <c r="AL43" t="s">
        <v>801</v>
      </c>
      <c r="AM43" t="s">
        <v>150</v>
      </c>
      <c r="AN43" t="s">
        <v>162</v>
      </c>
      <c r="AO43" t="s">
        <v>151</v>
      </c>
      <c r="AP43" t="s">
        <v>129</v>
      </c>
      <c r="AQ43" t="s">
        <v>236</v>
      </c>
      <c r="AR43">
        <v>3</v>
      </c>
      <c r="AS43" t="s">
        <v>152</v>
      </c>
      <c r="AT43" t="s">
        <v>152</v>
      </c>
      <c r="AU43" t="s">
        <v>802</v>
      </c>
      <c r="AV43" t="s">
        <v>803</v>
      </c>
      <c r="AW43" t="s">
        <v>804</v>
      </c>
      <c r="AX43" t="s">
        <v>157</v>
      </c>
      <c r="AZ43" s="1" t="s">
        <v>123</v>
      </c>
      <c r="CT43" s="1" t="s">
        <v>123</v>
      </c>
      <c r="DD43" s="1" t="s">
        <v>123</v>
      </c>
      <c r="DN43" s="1" t="s">
        <v>123</v>
      </c>
      <c r="EQ43" s="1" t="s">
        <v>123</v>
      </c>
      <c r="FQ43" s="1" t="s">
        <v>123</v>
      </c>
      <c r="FR43" t="s">
        <v>132</v>
      </c>
      <c r="GY43" t="s">
        <v>805</v>
      </c>
      <c r="GZ43" t="s">
        <v>806</v>
      </c>
      <c r="HA43" t="s">
        <v>807</v>
      </c>
      <c r="HB43" t="s">
        <v>140</v>
      </c>
      <c r="HC43">
        <v>1978</v>
      </c>
      <c r="HD43" t="str">
        <f>VLOOKUP(AnalizaCzyste[[#This Row],[Rok urodzenia]],KategorieWiekowe[],2,1)</f>
        <v>36-45 lat</v>
      </c>
      <c r="HE43" t="s">
        <v>141</v>
      </c>
      <c r="HG43" t="s">
        <v>386</v>
      </c>
      <c r="HH43" t="s">
        <v>386</v>
      </c>
    </row>
    <row r="44" spans="1:217" hidden="1" x14ac:dyDescent="0.45">
      <c r="A44">
        <v>80</v>
      </c>
      <c r="B44">
        <f>_xlfn.IFNA(VLOOKUP(AnalizaCzyste[[#This Row],[Zakończono wypełnianie]],Zakończone[],2,0),"BRAK")</f>
        <v>45</v>
      </c>
      <c r="C44">
        <f t="shared" si="1"/>
        <v>37</v>
      </c>
      <c r="D44" t="s">
        <v>370</v>
      </c>
      <c r="E44" t="s">
        <v>118</v>
      </c>
      <c r="F44" t="s">
        <v>774</v>
      </c>
      <c r="J44" t="s">
        <v>119</v>
      </c>
      <c r="K44" t="s">
        <v>811</v>
      </c>
      <c r="L44" t="s">
        <v>812</v>
      </c>
      <c r="M44">
        <v>1671</v>
      </c>
      <c r="O44">
        <v>0</v>
      </c>
      <c r="P44" t="s">
        <v>122</v>
      </c>
      <c r="Q44" s="1" t="s">
        <v>123</v>
      </c>
      <c r="AG44" s="1" t="s">
        <v>124</v>
      </c>
      <c r="AH44" t="s">
        <v>813</v>
      </c>
      <c r="AI44" t="str">
        <f>VLOOKUP(AnalizaCzyste[[#This Row],[Jak się nazywa uczelnia którą ukończyłeś? (proszę o wybranie jednej uczelni podlegającej ocenie)]],KategorieUczelni[],2,0)</f>
        <v>Publiczna</v>
      </c>
      <c r="AJ44">
        <v>1956</v>
      </c>
      <c r="AK44" t="s">
        <v>148</v>
      </c>
      <c r="AL44" t="s">
        <v>601</v>
      </c>
      <c r="AM44" t="s">
        <v>162</v>
      </c>
      <c r="AN44" t="s">
        <v>162</v>
      </c>
      <c r="AO44" t="s">
        <v>150</v>
      </c>
      <c r="AP44" t="s">
        <v>236</v>
      </c>
      <c r="AQ44" t="s">
        <v>236</v>
      </c>
      <c r="AR44" t="s">
        <v>814</v>
      </c>
      <c r="AS44" t="s">
        <v>131</v>
      </c>
      <c r="AT44" t="s">
        <v>131</v>
      </c>
      <c r="AV44" t="s">
        <v>815</v>
      </c>
      <c r="AW44" t="s">
        <v>816</v>
      </c>
      <c r="AX44" t="s">
        <v>172</v>
      </c>
      <c r="AY44" t="s">
        <v>817</v>
      </c>
      <c r="AZ44" s="1" t="s">
        <v>123</v>
      </c>
      <c r="CT44" s="1" t="s">
        <v>123</v>
      </c>
      <c r="DD44" s="1" t="s">
        <v>123</v>
      </c>
      <c r="DN44" s="1" t="s">
        <v>123</v>
      </c>
      <c r="EQ44" s="1" t="s">
        <v>123</v>
      </c>
      <c r="ER44" t="s">
        <v>180</v>
      </c>
      <c r="ES44" t="s">
        <v>132</v>
      </c>
      <c r="FQ44" s="1" t="s">
        <v>123</v>
      </c>
      <c r="FR44" t="s">
        <v>132</v>
      </c>
      <c r="FT44" t="s">
        <v>132</v>
      </c>
      <c r="GY44" t="s">
        <v>818</v>
      </c>
      <c r="GZ44" t="s">
        <v>819</v>
      </c>
      <c r="HA44" t="s">
        <v>820</v>
      </c>
      <c r="HB44" t="s">
        <v>140</v>
      </c>
      <c r="HC44">
        <v>1933</v>
      </c>
      <c r="HD44" t="str">
        <f>VLOOKUP(AnalizaCzyste[[#This Row],[Rok urodzenia]],KategorieWiekowe[],2,1)</f>
        <v>powyżej 65 lat</v>
      </c>
      <c r="HE44" t="s">
        <v>220</v>
      </c>
    </row>
    <row r="45" spans="1:217" hidden="1" x14ac:dyDescent="0.45">
      <c r="A45">
        <v>81</v>
      </c>
      <c r="B45">
        <f>_xlfn.IFNA(VLOOKUP(AnalizaCzyste[[#This Row],[Zakończono wypełnianie]],Zakończone[],2,0),"BRAK")</f>
        <v>46</v>
      </c>
      <c r="C45">
        <f t="shared" si="1"/>
        <v>33</v>
      </c>
      <c r="D45" t="s">
        <v>370</v>
      </c>
      <c r="E45" t="s">
        <v>118</v>
      </c>
      <c r="F45" t="s">
        <v>774</v>
      </c>
      <c r="J45" t="s">
        <v>119</v>
      </c>
      <c r="K45" t="s">
        <v>821</v>
      </c>
      <c r="L45" t="s">
        <v>822</v>
      </c>
      <c r="M45">
        <v>3447</v>
      </c>
      <c r="O45">
        <v>0</v>
      </c>
      <c r="P45" t="s">
        <v>122</v>
      </c>
      <c r="Q45" s="1" t="s">
        <v>123</v>
      </c>
      <c r="AG45" s="1" t="s">
        <v>124</v>
      </c>
      <c r="AH45" t="s">
        <v>813</v>
      </c>
      <c r="AI45" t="str">
        <f>VLOOKUP(AnalizaCzyste[[#This Row],[Jak się nazywa uczelnia którą ukończyłeś? (proszę o wybranie jednej uczelni podlegającej ocenie)]],KategorieUczelni[],2,0)</f>
        <v>Publiczna</v>
      </c>
      <c r="AJ45">
        <v>1960</v>
      </c>
      <c r="AK45" t="s">
        <v>148</v>
      </c>
      <c r="AL45" t="s">
        <v>823</v>
      </c>
      <c r="AM45" t="s">
        <v>150</v>
      </c>
      <c r="AN45" t="s">
        <v>150</v>
      </c>
      <c r="AO45" t="s">
        <v>151</v>
      </c>
      <c r="AP45" t="s">
        <v>236</v>
      </c>
      <c r="AQ45" t="s">
        <v>236</v>
      </c>
      <c r="AR45" t="s">
        <v>814</v>
      </c>
      <c r="AS45" t="s">
        <v>131</v>
      </c>
      <c r="AT45" t="s">
        <v>131</v>
      </c>
      <c r="AV45" t="s">
        <v>824</v>
      </c>
      <c r="AW45" t="s">
        <v>825</v>
      </c>
      <c r="AX45" t="s">
        <v>157</v>
      </c>
      <c r="AZ45" s="1" t="s">
        <v>123</v>
      </c>
      <c r="CT45" s="1" t="s">
        <v>123</v>
      </c>
      <c r="DD45" s="1" t="s">
        <v>123</v>
      </c>
      <c r="DN45" s="1" t="s">
        <v>123</v>
      </c>
      <c r="EQ45" s="1" t="s">
        <v>123</v>
      </c>
      <c r="FQ45" s="1" t="s">
        <v>123</v>
      </c>
      <c r="FR45" t="s">
        <v>132</v>
      </c>
      <c r="GY45" t="s">
        <v>826</v>
      </c>
      <c r="GZ45" t="s">
        <v>824</v>
      </c>
      <c r="HA45" t="s">
        <v>827</v>
      </c>
      <c r="HB45" t="s">
        <v>186</v>
      </c>
      <c r="HC45">
        <v>1934</v>
      </c>
      <c r="HD45" t="str">
        <f>VLOOKUP(AnalizaCzyste[[#This Row],[Rok urodzenia]],KategorieWiekowe[],2,1)</f>
        <v>powyżej 65 lat</v>
      </c>
      <c r="HE45" t="s">
        <v>220</v>
      </c>
    </row>
    <row r="46" spans="1:217" hidden="1" x14ac:dyDescent="0.45">
      <c r="A46">
        <v>82</v>
      </c>
      <c r="B46">
        <f>_xlfn.IFNA(VLOOKUP(AnalizaCzyste[[#This Row],[Zakończono wypełnianie]],Zakończone[],2,0),"BRAK")</f>
        <v>47</v>
      </c>
      <c r="C46">
        <f t="shared" si="1"/>
        <v>30</v>
      </c>
      <c r="D46" t="s">
        <v>828</v>
      </c>
      <c r="E46" t="s">
        <v>118</v>
      </c>
      <c r="J46" t="s">
        <v>119</v>
      </c>
      <c r="K46" t="s">
        <v>829</v>
      </c>
      <c r="L46" t="s">
        <v>830</v>
      </c>
      <c r="M46">
        <v>3349</v>
      </c>
      <c r="O46">
        <v>0</v>
      </c>
      <c r="P46" t="s">
        <v>122</v>
      </c>
      <c r="Q46" s="1" t="s">
        <v>123</v>
      </c>
      <c r="AG46" s="1" t="s">
        <v>123</v>
      </c>
      <c r="AI46" t="e">
        <f>VLOOKUP(AnalizaCzyste[[#This Row],[Jak się nazywa uczelnia którą ukończyłeś? (proszę o wybranie jednej uczelni podlegającej ocenie)]],KategorieUczelni[],2,0)</f>
        <v>#N/A</v>
      </c>
      <c r="AZ46" s="1" t="s">
        <v>123</v>
      </c>
      <c r="CT46" s="1" t="s">
        <v>123</v>
      </c>
      <c r="DD46" s="1" t="s">
        <v>123</v>
      </c>
      <c r="DN46" s="1" t="s">
        <v>123</v>
      </c>
      <c r="EQ46" s="1" t="s">
        <v>177</v>
      </c>
      <c r="ER46" t="s">
        <v>178</v>
      </c>
      <c r="ES46">
        <v>1</v>
      </c>
      <c r="ET46" t="s">
        <v>191</v>
      </c>
      <c r="EU46" t="s">
        <v>162</v>
      </c>
      <c r="EV46" t="s">
        <v>162</v>
      </c>
      <c r="EW46" t="s">
        <v>128</v>
      </c>
      <c r="EX46" t="s">
        <v>178</v>
      </c>
      <c r="EY46" t="s">
        <v>831</v>
      </c>
      <c r="EZ46" t="s">
        <v>832</v>
      </c>
      <c r="FA46" t="s">
        <v>173</v>
      </c>
      <c r="FQ46" s="1" t="s">
        <v>123</v>
      </c>
      <c r="FR46" t="s">
        <v>132</v>
      </c>
      <c r="FT46" t="s">
        <v>132</v>
      </c>
      <c r="GY46" t="s">
        <v>833</v>
      </c>
      <c r="GZ46" t="s">
        <v>834</v>
      </c>
      <c r="HA46" t="s">
        <v>835</v>
      </c>
      <c r="HB46" t="s">
        <v>140</v>
      </c>
      <c r="HC46">
        <v>1977</v>
      </c>
      <c r="HD46" t="str">
        <f>VLOOKUP(AnalizaCzyste[[#This Row],[Rok urodzenia]],KategorieWiekowe[],2,1)</f>
        <v>36-45 lat</v>
      </c>
      <c r="HE46" t="s">
        <v>398</v>
      </c>
      <c r="HG46" t="s">
        <v>836</v>
      </c>
    </row>
    <row r="47" spans="1:217" hidden="1" x14ac:dyDescent="0.45">
      <c r="A47">
        <v>83</v>
      </c>
      <c r="B47">
        <f>_xlfn.IFNA(VLOOKUP(AnalizaCzyste[[#This Row],[Zakończono wypełnianie]],Zakończone[],2,0),"BRAK")</f>
        <v>48</v>
      </c>
      <c r="C47">
        <f t="shared" si="1"/>
        <v>77</v>
      </c>
      <c r="D47" t="s">
        <v>837</v>
      </c>
      <c r="E47" t="s">
        <v>118</v>
      </c>
      <c r="J47" t="s">
        <v>119</v>
      </c>
      <c r="K47" t="s">
        <v>838</v>
      </c>
      <c r="L47" t="s">
        <v>839</v>
      </c>
      <c r="M47">
        <v>3312</v>
      </c>
      <c r="O47">
        <v>0</v>
      </c>
      <c r="P47" t="s">
        <v>122</v>
      </c>
      <c r="Q47" s="1" t="s">
        <v>123</v>
      </c>
      <c r="AG47" s="1" t="s">
        <v>124</v>
      </c>
      <c r="AH47" s="20" t="s">
        <v>191</v>
      </c>
      <c r="AI47" s="20" t="str">
        <f>VLOOKUP(AnalizaCzyste[[#This Row],[Jak się nazywa uczelnia którą ukończyłeś? (proszę o wybranie jednej uczelni podlegającej ocenie)]],KategorieUczelni[],2,0)</f>
        <v>Publiczna</v>
      </c>
      <c r="AJ47">
        <v>1978</v>
      </c>
      <c r="AK47" t="s">
        <v>126</v>
      </c>
      <c r="AL47" t="s">
        <v>841</v>
      </c>
      <c r="AM47" t="s">
        <v>169</v>
      </c>
      <c r="AN47" t="s">
        <v>169</v>
      </c>
      <c r="AO47" t="s">
        <v>151</v>
      </c>
      <c r="AP47" t="s">
        <v>150</v>
      </c>
      <c r="AQ47" t="s">
        <v>150</v>
      </c>
      <c r="AR47">
        <v>2</v>
      </c>
      <c r="AS47" t="s">
        <v>302</v>
      </c>
      <c r="AT47" t="s">
        <v>226</v>
      </c>
      <c r="AU47" t="s">
        <v>842</v>
      </c>
      <c r="AV47" t="s">
        <v>843</v>
      </c>
      <c r="AW47" t="s">
        <v>386</v>
      </c>
      <c r="AX47" t="s">
        <v>157</v>
      </c>
      <c r="AZ47" s="1" t="s">
        <v>159</v>
      </c>
      <c r="BA47">
        <v>2</v>
      </c>
      <c r="BB47" t="s">
        <v>191</v>
      </c>
      <c r="BC47">
        <v>2005</v>
      </c>
      <c r="BD47" t="s">
        <v>126</v>
      </c>
      <c r="BE47" t="s">
        <v>844</v>
      </c>
      <c r="BF47" t="s">
        <v>150</v>
      </c>
      <c r="BG47" t="s">
        <v>150</v>
      </c>
      <c r="BH47" t="s">
        <v>169</v>
      </c>
      <c r="BI47" t="s">
        <v>162</v>
      </c>
      <c r="BJ47" t="s">
        <v>162</v>
      </c>
      <c r="BK47">
        <v>3</v>
      </c>
      <c r="BL47" t="s">
        <v>845</v>
      </c>
      <c r="BM47" t="s">
        <v>157</v>
      </c>
      <c r="BO47" t="s">
        <v>148</v>
      </c>
      <c r="BP47" t="s">
        <v>166</v>
      </c>
      <c r="BQ47" t="s">
        <v>191</v>
      </c>
      <c r="BR47">
        <v>2007</v>
      </c>
      <c r="BS47" t="s">
        <v>126</v>
      </c>
      <c r="BT47" t="s">
        <v>844</v>
      </c>
      <c r="BU47" t="s">
        <v>150</v>
      </c>
      <c r="BV47" t="s">
        <v>150</v>
      </c>
      <c r="BW47" t="s">
        <v>150</v>
      </c>
      <c r="BX47" t="s">
        <v>162</v>
      </c>
      <c r="BY47" t="s">
        <v>162</v>
      </c>
      <c r="BZ47">
        <v>3</v>
      </c>
      <c r="CA47" t="s">
        <v>148</v>
      </c>
      <c r="CB47" t="s">
        <v>157</v>
      </c>
      <c r="CD47" t="s">
        <v>148</v>
      </c>
      <c r="CE47" t="s">
        <v>173</v>
      </c>
      <c r="CT47" s="1" t="s">
        <v>123</v>
      </c>
      <c r="DD47" s="1" t="s">
        <v>214</v>
      </c>
      <c r="DE47" t="s">
        <v>2275</v>
      </c>
      <c r="DF47" t="s">
        <v>2276</v>
      </c>
      <c r="DG47" t="s">
        <v>150</v>
      </c>
      <c r="DH47" t="s">
        <v>150</v>
      </c>
      <c r="DI47" t="s">
        <v>150</v>
      </c>
      <c r="DJ47" t="s">
        <v>150</v>
      </c>
      <c r="DK47" t="s">
        <v>150</v>
      </c>
      <c r="DL47" t="s">
        <v>162</v>
      </c>
      <c r="DM47" t="s">
        <v>848</v>
      </c>
      <c r="DN47" s="1" t="s">
        <v>123</v>
      </c>
      <c r="EQ47" s="1" t="s">
        <v>123</v>
      </c>
      <c r="ER47" t="s">
        <v>180</v>
      </c>
      <c r="ES47" t="s">
        <v>132</v>
      </c>
      <c r="FQ47" s="1" t="s">
        <v>123</v>
      </c>
      <c r="FR47" t="s">
        <v>132</v>
      </c>
      <c r="FT47" t="s">
        <v>132</v>
      </c>
      <c r="GY47" t="s">
        <v>849</v>
      </c>
      <c r="GZ47" t="s">
        <v>850</v>
      </c>
      <c r="HA47" t="s">
        <v>851</v>
      </c>
      <c r="HB47" t="s">
        <v>186</v>
      </c>
      <c r="HC47">
        <v>1954</v>
      </c>
      <c r="HD47" t="str">
        <f>VLOOKUP(AnalizaCzyste[[#This Row],[Rok urodzenia]],KategorieWiekowe[],2,1)</f>
        <v>powyżej 65 lat</v>
      </c>
      <c r="HE47" t="s">
        <v>141</v>
      </c>
      <c r="HG47" t="s">
        <v>852</v>
      </c>
      <c r="HH47" t="s">
        <v>853</v>
      </c>
    </row>
    <row r="48" spans="1:217" hidden="1" x14ac:dyDescent="0.45">
      <c r="A48">
        <v>84</v>
      </c>
      <c r="B48">
        <f>_xlfn.IFNA(VLOOKUP(AnalizaCzyste[[#This Row],[Zakończono wypełnianie]],Zakończone[],2,0),"BRAK")</f>
        <v>49</v>
      </c>
      <c r="C48">
        <f t="shared" si="1"/>
        <v>51</v>
      </c>
      <c r="D48" t="s">
        <v>854</v>
      </c>
      <c r="E48" t="s">
        <v>118</v>
      </c>
      <c r="J48" t="s">
        <v>119</v>
      </c>
      <c r="K48" t="s">
        <v>855</v>
      </c>
      <c r="L48" t="s">
        <v>856</v>
      </c>
      <c r="M48">
        <v>1349</v>
      </c>
      <c r="O48">
        <v>0</v>
      </c>
      <c r="P48" t="s">
        <v>122</v>
      </c>
      <c r="Q48" s="1" t="s">
        <v>416</v>
      </c>
      <c r="R48" t="s">
        <v>179</v>
      </c>
      <c r="S48" t="s">
        <v>148</v>
      </c>
      <c r="T48" t="s">
        <v>857</v>
      </c>
      <c r="U48" t="s">
        <v>162</v>
      </c>
      <c r="V48" t="s">
        <v>162</v>
      </c>
      <c r="W48" t="s">
        <v>151</v>
      </c>
      <c r="X48" t="s">
        <v>718</v>
      </c>
      <c r="Y48" t="s">
        <v>152</v>
      </c>
      <c r="Z48" t="s">
        <v>759</v>
      </c>
      <c r="AA48" t="s">
        <v>858</v>
      </c>
      <c r="AB48" t="s">
        <v>859</v>
      </c>
      <c r="AC48" t="s">
        <v>860</v>
      </c>
      <c r="AE48" t="s">
        <v>861</v>
      </c>
      <c r="AF48">
        <v>2</v>
      </c>
      <c r="AG48" s="1" t="s">
        <v>124</v>
      </c>
      <c r="AH48" t="s">
        <v>862</v>
      </c>
      <c r="AI48" t="str">
        <f>VLOOKUP(AnalizaCzyste[[#This Row],[Jak się nazywa uczelnia którą ukończyłeś? (proszę o wybranie jednej uczelni podlegającej ocenie)]],KategorieUczelni[],2,0)</f>
        <v>Publiczna</v>
      </c>
      <c r="AJ48">
        <v>2019</v>
      </c>
      <c r="AK48" t="s">
        <v>148</v>
      </c>
      <c r="AL48" t="s">
        <v>863</v>
      </c>
      <c r="AM48" t="s">
        <v>150</v>
      </c>
      <c r="AN48" t="s">
        <v>150</v>
      </c>
      <c r="AO48" t="s">
        <v>169</v>
      </c>
      <c r="AP48" t="s">
        <v>151</v>
      </c>
      <c r="AQ48" t="s">
        <v>150</v>
      </c>
      <c r="AR48" t="s">
        <v>864</v>
      </c>
      <c r="AS48" t="s">
        <v>302</v>
      </c>
      <c r="AT48" t="s">
        <v>759</v>
      </c>
      <c r="AU48" t="s">
        <v>865</v>
      </c>
      <c r="AV48" t="s">
        <v>866</v>
      </c>
      <c r="AW48" t="s">
        <v>867</v>
      </c>
      <c r="AX48" t="s">
        <v>157</v>
      </c>
      <c r="AZ48" s="1" t="s">
        <v>123</v>
      </c>
      <c r="CT48" s="1" t="s">
        <v>123</v>
      </c>
      <c r="DD48" s="1" t="s">
        <v>123</v>
      </c>
      <c r="DN48" s="1" t="s">
        <v>123</v>
      </c>
      <c r="EQ48" s="1" t="s">
        <v>123</v>
      </c>
      <c r="FQ48" s="1" t="s">
        <v>123</v>
      </c>
      <c r="FR48" t="s">
        <v>132</v>
      </c>
      <c r="GY48" t="s">
        <v>868</v>
      </c>
      <c r="GZ48" t="s">
        <v>869</v>
      </c>
      <c r="HA48" t="s">
        <v>870</v>
      </c>
      <c r="HB48" t="s">
        <v>186</v>
      </c>
      <c r="HC48">
        <v>1991</v>
      </c>
      <c r="HD48" t="str">
        <f>VLOOKUP(AnalizaCzyste[[#This Row],[Rok urodzenia]],KategorieWiekowe[],2,1)</f>
        <v>26-35 lat</v>
      </c>
      <c r="HE48" t="s">
        <v>220</v>
      </c>
      <c r="HF48" t="s">
        <v>871</v>
      </c>
      <c r="HG48" t="s">
        <v>872</v>
      </c>
      <c r="HH48" t="s">
        <v>386</v>
      </c>
    </row>
    <row r="49" spans="1:216" hidden="1" x14ac:dyDescent="0.45">
      <c r="A49">
        <v>85</v>
      </c>
      <c r="B49">
        <f>_xlfn.IFNA(VLOOKUP(AnalizaCzyste[[#This Row],[Zakończono wypełnianie]],Zakończone[],2,0),"BRAK")</f>
        <v>50</v>
      </c>
      <c r="C49">
        <f t="shared" si="1"/>
        <v>36</v>
      </c>
      <c r="D49" t="s">
        <v>873</v>
      </c>
      <c r="E49" t="s">
        <v>118</v>
      </c>
      <c r="F49" t="s">
        <v>797</v>
      </c>
      <c r="J49" t="s">
        <v>119</v>
      </c>
      <c r="K49" t="s">
        <v>874</v>
      </c>
      <c r="L49" t="s">
        <v>875</v>
      </c>
      <c r="M49">
        <v>1971</v>
      </c>
      <c r="O49">
        <v>0</v>
      </c>
      <c r="P49" t="s">
        <v>122</v>
      </c>
      <c r="Q49" s="1" t="s">
        <v>123</v>
      </c>
      <c r="AG49" s="1" t="s">
        <v>124</v>
      </c>
      <c r="AH49" t="s">
        <v>223</v>
      </c>
      <c r="AI49" t="str">
        <f>VLOOKUP(AnalizaCzyste[[#This Row],[Jak się nazywa uczelnia którą ukończyłeś? (proszę o wybranie jednej uczelni podlegającej ocenie)]],KategorieUczelni[],2,0)</f>
        <v>Publiczna</v>
      </c>
      <c r="AJ49">
        <v>2012</v>
      </c>
      <c r="AK49" t="s">
        <v>148</v>
      </c>
      <c r="AL49" t="s">
        <v>876</v>
      </c>
      <c r="AM49" t="s">
        <v>150</v>
      </c>
      <c r="AN49" t="s">
        <v>162</v>
      </c>
      <c r="AO49" t="s">
        <v>128</v>
      </c>
      <c r="AP49" t="s">
        <v>236</v>
      </c>
      <c r="AQ49" t="s">
        <v>151</v>
      </c>
      <c r="AR49">
        <v>2</v>
      </c>
      <c r="AS49" t="s">
        <v>131</v>
      </c>
      <c r="AT49" t="s">
        <v>153</v>
      </c>
      <c r="AU49" t="s">
        <v>877</v>
      </c>
      <c r="AV49" t="s">
        <v>532</v>
      </c>
      <c r="AW49" t="s">
        <v>532</v>
      </c>
      <c r="AX49" t="s">
        <v>157</v>
      </c>
      <c r="AY49" t="s">
        <v>878</v>
      </c>
      <c r="AZ49" s="1" t="s">
        <v>123</v>
      </c>
      <c r="CT49" s="1" t="s">
        <v>123</v>
      </c>
      <c r="DD49" s="1" t="s">
        <v>123</v>
      </c>
      <c r="DN49" s="1" t="s">
        <v>123</v>
      </c>
      <c r="EQ49" s="1" t="s">
        <v>123</v>
      </c>
      <c r="FQ49" s="1" t="s">
        <v>123</v>
      </c>
      <c r="FR49" t="s">
        <v>132</v>
      </c>
      <c r="GY49" t="s">
        <v>532</v>
      </c>
      <c r="GZ49" t="s">
        <v>532</v>
      </c>
      <c r="HA49" t="s">
        <v>532</v>
      </c>
      <c r="HB49" t="s">
        <v>186</v>
      </c>
      <c r="HC49">
        <v>1988</v>
      </c>
      <c r="HD49" t="str">
        <f>VLOOKUP(AnalizaCzyste[[#This Row],[Rok urodzenia]],KategorieWiekowe[],2,1)</f>
        <v>26-35 lat</v>
      </c>
      <c r="HE49" t="s">
        <v>246</v>
      </c>
      <c r="HH49" t="s">
        <v>879</v>
      </c>
    </row>
    <row r="50" spans="1:216" hidden="1" x14ac:dyDescent="0.45">
      <c r="A50">
        <v>86</v>
      </c>
      <c r="B50">
        <f>_xlfn.IFNA(VLOOKUP(AnalizaCzyste[[#This Row],[Zakończono wypełnianie]],Zakończone[],2,0),"BRAK")</f>
        <v>51</v>
      </c>
      <c r="C50">
        <f t="shared" si="1"/>
        <v>45</v>
      </c>
      <c r="D50" t="s">
        <v>873</v>
      </c>
      <c r="E50" t="s">
        <v>118</v>
      </c>
      <c r="F50" t="s">
        <v>797</v>
      </c>
      <c r="J50" t="s">
        <v>119</v>
      </c>
      <c r="K50" t="s">
        <v>880</v>
      </c>
      <c r="L50" t="s">
        <v>881</v>
      </c>
      <c r="M50">
        <v>2138</v>
      </c>
      <c r="O50">
        <v>0</v>
      </c>
      <c r="P50" t="s">
        <v>122</v>
      </c>
      <c r="Q50" s="1" t="s">
        <v>123</v>
      </c>
      <c r="AG50" s="1" t="s">
        <v>124</v>
      </c>
      <c r="AH50" t="s">
        <v>191</v>
      </c>
      <c r="AI50" t="str">
        <f>VLOOKUP(AnalizaCzyste[[#This Row],[Jak się nazywa uczelnia którą ukończyłeś? (proszę o wybranie jednej uczelni podlegającej ocenie)]],KategorieUczelni[],2,0)</f>
        <v>Publiczna</v>
      </c>
      <c r="AJ50">
        <v>2005</v>
      </c>
      <c r="AK50" t="s">
        <v>126</v>
      </c>
      <c r="AL50" t="s">
        <v>882</v>
      </c>
      <c r="AM50" t="s">
        <v>162</v>
      </c>
      <c r="AN50" t="s">
        <v>162</v>
      </c>
      <c r="AO50" t="s">
        <v>162</v>
      </c>
      <c r="AP50" t="s">
        <v>236</v>
      </c>
      <c r="AQ50" t="s">
        <v>128</v>
      </c>
      <c r="AR50" t="s">
        <v>883</v>
      </c>
      <c r="AS50" t="s">
        <v>131</v>
      </c>
      <c r="AT50" t="s">
        <v>302</v>
      </c>
      <c r="AU50" t="s">
        <v>884</v>
      </c>
      <c r="AV50" t="s">
        <v>532</v>
      </c>
      <c r="AW50" t="s">
        <v>532</v>
      </c>
      <c r="AX50" t="s">
        <v>157</v>
      </c>
      <c r="AY50" t="s">
        <v>878</v>
      </c>
      <c r="AZ50" s="1" t="s">
        <v>123</v>
      </c>
      <c r="CT50" s="1" t="s">
        <v>123</v>
      </c>
      <c r="DD50" s="1" t="s">
        <v>123</v>
      </c>
      <c r="DN50" s="1" t="s">
        <v>123</v>
      </c>
      <c r="EQ50" s="1" t="s">
        <v>177</v>
      </c>
      <c r="ER50" t="s">
        <v>178</v>
      </c>
      <c r="ES50">
        <v>1</v>
      </c>
      <c r="ET50" t="s">
        <v>747</v>
      </c>
      <c r="EU50" t="s">
        <v>162</v>
      </c>
      <c r="EV50" t="s">
        <v>162</v>
      </c>
      <c r="EW50" t="s">
        <v>151</v>
      </c>
      <c r="EX50" t="s">
        <v>178</v>
      </c>
      <c r="EY50" t="s">
        <v>885</v>
      </c>
      <c r="EZ50" t="s">
        <v>886</v>
      </c>
      <c r="FA50" t="s">
        <v>173</v>
      </c>
      <c r="FQ50" s="1" t="s">
        <v>123</v>
      </c>
      <c r="FR50" t="s">
        <v>132</v>
      </c>
      <c r="GY50" t="s">
        <v>887</v>
      </c>
      <c r="GZ50" t="s">
        <v>532</v>
      </c>
      <c r="HA50" t="s">
        <v>532</v>
      </c>
      <c r="HB50" t="s">
        <v>140</v>
      </c>
      <c r="HC50">
        <v>1981</v>
      </c>
      <c r="HD50" t="str">
        <f>VLOOKUP(AnalizaCzyste[[#This Row],[Rok urodzenia]],KategorieWiekowe[],2,1)</f>
        <v>36-45 lat</v>
      </c>
      <c r="HE50" t="s">
        <v>141</v>
      </c>
    </row>
    <row r="51" spans="1:216" hidden="1" x14ac:dyDescent="0.45">
      <c r="A51">
        <v>87</v>
      </c>
      <c r="B51">
        <f>_xlfn.IFNA(VLOOKUP(AnalizaCzyste[[#This Row],[Zakończono wypełnianie]],Zakończone[],2,0),"BRAK")</f>
        <v>52</v>
      </c>
      <c r="C51">
        <f t="shared" si="1"/>
        <v>47</v>
      </c>
      <c r="D51" t="s">
        <v>873</v>
      </c>
      <c r="E51" t="s">
        <v>118</v>
      </c>
      <c r="F51" t="s">
        <v>797</v>
      </c>
      <c r="J51" t="s">
        <v>119</v>
      </c>
      <c r="K51" t="s">
        <v>888</v>
      </c>
      <c r="L51" t="s">
        <v>889</v>
      </c>
      <c r="M51">
        <v>1595</v>
      </c>
      <c r="O51">
        <v>0</v>
      </c>
      <c r="P51" t="s">
        <v>122</v>
      </c>
      <c r="Q51" s="1" t="s">
        <v>123</v>
      </c>
      <c r="AG51" s="1" t="s">
        <v>124</v>
      </c>
      <c r="AH51" s="20" t="s">
        <v>191</v>
      </c>
      <c r="AI51" s="20" t="str">
        <f>VLOOKUP(AnalizaCzyste[[#This Row],[Jak się nazywa uczelnia którą ukończyłeś? (proszę o wybranie jednej uczelni podlegającej ocenie)]],KategorieUczelni[],2,0)</f>
        <v>Publiczna</v>
      </c>
      <c r="AJ51">
        <v>1975</v>
      </c>
      <c r="AK51" t="s">
        <v>126</v>
      </c>
      <c r="AL51" t="s">
        <v>890</v>
      </c>
      <c r="AM51" t="s">
        <v>150</v>
      </c>
      <c r="AN51" t="s">
        <v>162</v>
      </c>
      <c r="AO51" t="s">
        <v>128</v>
      </c>
      <c r="AP51" t="s">
        <v>169</v>
      </c>
      <c r="AQ51" t="s">
        <v>169</v>
      </c>
      <c r="AR51" t="s">
        <v>883</v>
      </c>
      <c r="AS51" t="s">
        <v>194</v>
      </c>
      <c r="AT51" t="s">
        <v>194</v>
      </c>
      <c r="AU51" t="s">
        <v>891</v>
      </c>
      <c r="AV51" t="s">
        <v>532</v>
      </c>
      <c r="AW51" t="s">
        <v>532</v>
      </c>
      <c r="AX51" t="s">
        <v>892</v>
      </c>
      <c r="AZ51" s="1" t="s">
        <v>159</v>
      </c>
      <c r="BA51">
        <v>1</v>
      </c>
      <c r="BB51" t="s">
        <v>893</v>
      </c>
      <c r="BC51">
        <v>2002</v>
      </c>
      <c r="BD51" t="s">
        <v>126</v>
      </c>
      <c r="BE51" t="s">
        <v>801</v>
      </c>
      <c r="BF51" t="s">
        <v>150</v>
      </c>
      <c r="BG51" t="s">
        <v>150</v>
      </c>
      <c r="BH51" t="s">
        <v>150</v>
      </c>
      <c r="BI51" t="s">
        <v>236</v>
      </c>
      <c r="BJ51" t="s">
        <v>128</v>
      </c>
      <c r="BK51">
        <v>3</v>
      </c>
      <c r="BM51" t="s">
        <v>157</v>
      </c>
      <c r="BP51" t="s">
        <v>173</v>
      </c>
      <c r="CT51" s="1" t="s">
        <v>123</v>
      </c>
      <c r="DD51" s="1" t="s">
        <v>123</v>
      </c>
      <c r="DN51" s="1" t="s">
        <v>123</v>
      </c>
      <c r="EQ51" s="1" t="s">
        <v>123</v>
      </c>
      <c r="FQ51" s="1" t="s">
        <v>123</v>
      </c>
      <c r="FR51" t="s">
        <v>132</v>
      </c>
      <c r="GY51" t="s">
        <v>532</v>
      </c>
      <c r="GZ51" t="s">
        <v>532</v>
      </c>
      <c r="HA51" t="s">
        <v>532</v>
      </c>
      <c r="HB51" t="s">
        <v>186</v>
      </c>
      <c r="HC51">
        <v>1950</v>
      </c>
      <c r="HD51" t="str">
        <f>VLOOKUP(AnalizaCzyste[[#This Row],[Rok urodzenia]],KategorieWiekowe[],2,1)</f>
        <v>powyżej 65 lat</v>
      </c>
      <c r="HE51" t="s">
        <v>141</v>
      </c>
    </row>
    <row r="52" spans="1:216" hidden="1" x14ac:dyDescent="0.45">
      <c r="A52">
        <v>88</v>
      </c>
      <c r="B52">
        <f>_xlfn.IFNA(VLOOKUP(AnalizaCzyste[[#This Row],[Zakończono wypełnianie]],Zakończone[],2,0),"BRAK")</f>
        <v>53</v>
      </c>
      <c r="C52">
        <f t="shared" si="1"/>
        <v>48</v>
      </c>
      <c r="D52" t="s">
        <v>873</v>
      </c>
      <c r="E52" t="s">
        <v>118</v>
      </c>
      <c r="F52" t="s">
        <v>797</v>
      </c>
      <c r="J52" t="s">
        <v>119</v>
      </c>
      <c r="K52" t="s">
        <v>895</v>
      </c>
      <c r="L52" t="s">
        <v>896</v>
      </c>
      <c r="M52">
        <v>1418</v>
      </c>
      <c r="O52">
        <v>0</v>
      </c>
      <c r="P52" t="s">
        <v>122</v>
      </c>
      <c r="Q52" s="1" t="s">
        <v>123</v>
      </c>
      <c r="AG52" s="1" t="s">
        <v>124</v>
      </c>
      <c r="AH52" s="20" t="s">
        <v>191</v>
      </c>
      <c r="AI52" s="20" t="str">
        <f>VLOOKUP(AnalizaCzyste[[#This Row],[Jak się nazywa uczelnia którą ukończyłeś? (proszę o wybranie jednej uczelni podlegającej ocenie)]],KategorieUczelni[],2,0)</f>
        <v>Publiczna</v>
      </c>
      <c r="AJ52">
        <v>1975</v>
      </c>
      <c r="AK52" t="s">
        <v>126</v>
      </c>
      <c r="AL52" t="s">
        <v>897</v>
      </c>
      <c r="AM52" t="s">
        <v>150</v>
      </c>
      <c r="AN52" t="s">
        <v>162</v>
      </c>
      <c r="AO52" t="s">
        <v>150</v>
      </c>
      <c r="AP52" t="s">
        <v>162</v>
      </c>
      <c r="AQ52" t="s">
        <v>162</v>
      </c>
      <c r="AR52" t="s">
        <v>898</v>
      </c>
      <c r="AS52" t="s">
        <v>153</v>
      </c>
      <c r="AT52" t="s">
        <v>153</v>
      </c>
      <c r="AV52" t="s">
        <v>532</v>
      </c>
      <c r="AW52" t="s">
        <v>532</v>
      </c>
      <c r="AX52" t="s">
        <v>157</v>
      </c>
      <c r="AZ52" s="1" t="s">
        <v>159</v>
      </c>
      <c r="BA52">
        <v>1</v>
      </c>
      <c r="BB52" t="s">
        <v>191</v>
      </c>
      <c r="BC52">
        <v>2011</v>
      </c>
      <c r="BD52" t="s">
        <v>126</v>
      </c>
      <c r="BE52" t="s">
        <v>127</v>
      </c>
      <c r="BF52" t="s">
        <v>162</v>
      </c>
      <c r="BG52" t="s">
        <v>150</v>
      </c>
      <c r="BH52" t="s">
        <v>236</v>
      </c>
      <c r="BI52" t="s">
        <v>132</v>
      </c>
      <c r="BJ52" t="s">
        <v>132</v>
      </c>
      <c r="BK52" t="s">
        <v>900</v>
      </c>
      <c r="BL52" t="s">
        <v>901</v>
      </c>
      <c r="BM52" t="s">
        <v>157</v>
      </c>
      <c r="BN52" t="s">
        <v>878</v>
      </c>
      <c r="BP52" t="s">
        <v>173</v>
      </c>
      <c r="CT52" s="1" t="s">
        <v>123</v>
      </c>
      <c r="DD52" s="1" t="s">
        <v>123</v>
      </c>
      <c r="DN52" s="1" t="s">
        <v>123</v>
      </c>
      <c r="EQ52" s="1" t="s">
        <v>123</v>
      </c>
      <c r="FQ52" s="1" t="s">
        <v>123</v>
      </c>
      <c r="FR52" t="s">
        <v>132</v>
      </c>
      <c r="GY52" t="s">
        <v>532</v>
      </c>
      <c r="GZ52" t="s">
        <v>532</v>
      </c>
      <c r="HA52" t="s">
        <v>532</v>
      </c>
      <c r="HB52" t="s">
        <v>140</v>
      </c>
      <c r="HC52">
        <v>1950</v>
      </c>
      <c r="HD52" t="str">
        <f>VLOOKUP(AnalizaCzyste[[#This Row],[Rok urodzenia]],KategorieWiekowe[],2,1)</f>
        <v>powyżej 65 lat</v>
      </c>
      <c r="HE52" t="s">
        <v>141</v>
      </c>
    </row>
    <row r="53" spans="1:216" hidden="1" x14ac:dyDescent="0.45">
      <c r="A53">
        <v>89</v>
      </c>
      <c r="B53">
        <f>_xlfn.IFNA(VLOOKUP(AnalizaCzyste[[#This Row],[Zakończono wypełnianie]],Zakończone[],2,0),"BRAK")</f>
        <v>54</v>
      </c>
      <c r="C53">
        <f t="shared" si="1"/>
        <v>37</v>
      </c>
      <c r="D53" t="s">
        <v>902</v>
      </c>
      <c r="E53" t="s">
        <v>118</v>
      </c>
      <c r="J53" t="s">
        <v>119</v>
      </c>
      <c r="K53" t="s">
        <v>903</v>
      </c>
      <c r="L53" t="s">
        <v>904</v>
      </c>
      <c r="M53">
        <v>255</v>
      </c>
      <c r="O53">
        <v>0</v>
      </c>
      <c r="P53" t="s">
        <v>122</v>
      </c>
      <c r="Q53" s="1" t="s">
        <v>123</v>
      </c>
      <c r="AG53" s="1" t="s">
        <v>124</v>
      </c>
      <c r="AH53" t="s">
        <v>191</v>
      </c>
      <c r="AI53" t="str">
        <f>VLOOKUP(AnalizaCzyste[[#This Row],[Jak się nazywa uczelnia którą ukończyłeś? (proszę o wybranie jednej uczelni podlegającej ocenie)]],KategorieUczelni[],2,0)</f>
        <v>Publiczna</v>
      </c>
      <c r="AJ53">
        <v>2009</v>
      </c>
      <c r="AK53" t="s">
        <v>126</v>
      </c>
      <c r="AL53" t="s">
        <v>906</v>
      </c>
      <c r="AM53" t="s">
        <v>151</v>
      </c>
      <c r="AN53" t="s">
        <v>151</v>
      </c>
      <c r="AO53" t="s">
        <v>150</v>
      </c>
      <c r="AP53" t="s">
        <v>128</v>
      </c>
      <c r="AQ53" t="s">
        <v>162</v>
      </c>
      <c r="AR53" t="s">
        <v>907</v>
      </c>
      <c r="AS53" t="s">
        <v>131</v>
      </c>
      <c r="AT53" t="s">
        <v>759</v>
      </c>
      <c r="AU53" t="s">
        <v>908</v>
      </c>
      <c r="AV53" t="s">
        <v>908</v>
      </c>
      <c r="AW53" t="s">
        <v>909</v>
      </c>
      <c r="AX53" t="s">
        <v>172</v>
      </c>
      <c r="AZ53" s="1" t="s">
        <v>123</v>
      </c>
      <c r="CT53" s="1" t="s">
        <v>123</v>
      </c>
      <c r="DD53" s="1" t="s">
        <v>123</v>
      </c>
      <c r="DN53" s="1" t="s">
        <v>123</v>
      </c>
      <c r="EQ53" s="1" t="s">
        <v>123</v>
      </c>
      <c r="ER53" t="s">
        <v>180</v>
      </c>
      <c r="ES53" t="s">
        <v>132</v>
      </c>
      <c r="FQ53" s="1" t="s">
        <v>123</v>
      </c>
      <c r="FR53" t="s">
        <v>132</v>
      </c>
      <c r="FT53" t="s">
        <v>132</v>
      </c>
      <c r="GY53" t="s">
        <v>910</v>
      </c>
      <c r="GZ53" t="s">
        <v>911</v>
      </c>
      <c r="HA53" t="s">
        <v>912</v>
      </c>
      <c r="HB53" t="s">
        <v>186</v>
      </c>
      <c r="HC53">
        <v>1983</v>
      </c>
      <c r="HD53" t="str">
        <f>VLOOKUP(AnalizaCzyste[[#This Row],[Rok urodzenia]],KategorieWiekowe[],2,1)</f>
        <v>36-45 lat</v>
      </c>
      <c r="HE53" t="s">
        <v>141</v>
      </c>
    </row>
    <row r="54" spans="1:216" x14ac:dyDescent="0.45">
      <c r="A54">
        <v>91</v>
      </c>
      <c r="B54">
        <f>_xlfn.IFNA(VLOOKUP(AnalizaCzyste[[#This Row],[Zakończono wypełnianie]],Zakończone[],2,0),"BRAK")</f>
        <v>55</v>
      </c>
      <c r="C54">
        <f t="shared" si="1"/>
        <v>79</v>
      </c>
      <c r="D54" t="s">
        <v>915</v>
      </c>
      <c r="E54" t="s">
        <v>118</v>
      </c>
      <c r="J54" t="s">
        <v>119</v>
      </c>
      <c r="K54" t="s">
        <v>916</v>
      </c>
      <c r="L54" t="s">
        <v>917</v>
      </c>
      <c r="M54">
        <v>76609</v>
      </c>
      <c r="O54">
        <v>0</v>
      </c>
      <c r="P54" t="s">
        <v>122</v>
      </c>
      <c r="Q54" s="1" t="s">
        <v>123</v>
      </c>
      <c r="AG54" s="1" t="s">
        <v>124</v>
      </c>
      <c r="AH54" t="s">
        <v>223</v>
      </c>
      <c r="AI54" t="str">
        <f>VLOOKUP(AnalizaCzyste[[#This Row],[Jak się nazywa uczelnia którą ukończyłeś? (proszę o wybranie jednej uczelni podlegającej ocenie)]],KategorieUczelni[],2,0)</f>
        <v>Publiczna</v>
      </c>
      <c r="AJ54">
        <v>1980</v>
      </c>
      <c r="AK54" t="s">
        <v>148</v>
      </c>
      <c r="AL54" t="s">
        <v>919</v>
      </c>
      <c r="AM54" t="s">
        <v>169</v>
      </c>
      <c r="AN54" t="s">
        <v>169</v>
      </c>
      <c r="AO54" t="s">
        <v>150</v>
      </c>
      <c r="AP54" t="s">
        <v>128</v>
      </c>
      <c r="AQ54" t="s">
        <v>128</v>
      </c>
      <c r="AR54" t="s">
        <v>920</v>
      </c>
      <c r="AS54" t="s">
        <v>302</v>
      </c>
      <c r="AT54" t="s">
        <v>302</v>
      </c>
      <c r="AU54" t="s">
        <v>921</v>
      </c>
      <c r="AV54" t="s">
        <v>922</v>
      </c>
      <c r="AW54" t="s">
        <v>923</v>
      </c>
      <c r="AX54" t="s">
        <v>157</v>
      </c>
      <c r="AZ54" s="1" t="s">
        <v>159</v>
      </c>
      <c r="BA54">
        <v>2</v>
      </c>
      <c r="BB54" t="s">
        <v>223</v>
      </c>
      <c r="BC54">
        <v>2009</v>
      </c>
      <c r="BD54" t="s">
        <v>148</v>
      </c>
      <c r="BE54" t="s">
        <v>743</v>
      </c>
      <c r="BF54" t="s">
        <v>169</v>
      </c>
      <c r="BG54" t="s">
        <v>169</v>
      </c>
      <c r="BH54" t="s">
        <v>169</v>
      </c>
      <c r="BI54" t="s">
        <v>128</v>
      </c>
      <c r="BJ54" t="s">
        <v>128</v>
      </c>
      <c r="BK54" t="s">
        <v>925</v>
      </c>
      <c r="BL54" t="s">
        <v>926</v>
      </c>
      <c r="BM54" t="s">
        <v>157</v>
      </c>
      <c r="BO54" t="s">
        <v>927</v>
      </c>
      <c r="BP54" t="s">
        <v>173</v>
      </c>
      <c r="CT54" s="1" t="s">
        <v>387</v>
      </c>
      <c r="CU54" t="s">
        <v>223</v>
      </c>
      <c r="CV54" t="s">
        <v>928</v>
      </c>
      <c r="CW54" t="s">
        <v>169</v>
      </c>
      <c r="CX54" t="s">
        <v>162</v>
      </c>
      <c r="CY54" t="s">
        <v>128</v>
      </c>
      <c r="CZ54" t="s">
        <v>169</v>
      </c>
      <c r="DA54" t="s">
        <v>169</v>
      </c>
      <c r="DB54" t="s">
        <v>169</v>
      </c>
      <c r="DC54" t="s">
        <v>929</v>
      </c>
      <c r="DD54" s="1" t="s">
        <v>214</v>
      </c>
      <c r="DE54" t="s">
        <v>223</v>
      </c>
      <c r="DF54" t="s">
        <v>928</v>
      </c>
      <c r="DG54" t="s">
        <v>169</v>
      </c>
      <c r="DH54" t="s">
        <v>162</v>
      </c>
      <c r="DI54" t="s">
        <v>128</v>
      </c>
      <c r="DJ54" t="s">
        <v>169</v>
      </c>
      <c r="DK54" t="s">
        <v>169</v>
      </c>
      <c r="DL54" t="s">
        <v>150</v>
      </c>
      <c r="DM54" t="s">
        <v>930</v>
      </c>
      <c r="DN54" s="1" t="s">
        <v>123</v>
      </c>
      <c r="EQ54" s="1" t="s">
        <v>177</v>
      </c>
      <c r="ER54" t="s">
        <v>180</v>
      </c>
      <c r="ES54">
        <v>1</v>
      </c>
      <c r="ET54" t="s">
        <v>223</v>
      </c>
      <c r="EU54" t="s">
        <v>169</v>
      </c>
      <c r="EV54" t="s">
        <v>169</v>
      </c>
      <c r="EW54" t="s">
        <v>236</v>
      </c>
      <c r="EX54" t="s">
        <v>180</v>
      </c>
      <c r="EY54" t="s">
        <v>931</v>
      </c>
      <c r="EZ54" t="s">
        <v>932</v>
      </c>
      <c r="FA54" t="s">
        <v>173</v>
      </c>
      <c r="FQ54" s="1" t="s">
        <v>123</v>
      </c>
      <c r="FR54" t="s">
        <v>132</v>
      </c>
      <c r="FT54" t="s">
        <v>132</v>
      </c>
      <c r="GY54" t="s">
        <v>933</v>
      </c>
      <c r="GZ54" t="s">
        <v>934</v>
      </c>
      <c r="HA54" t="s">
        <v>935</v>
      </c>
      <c r="HB54" t="s">
        <v>140</v>
      </c>
      <c r="HC54">
        <v>1957</v>
      </c>
      <c r="HD54" t="str">
        <f>VLOOKUP(AnalizaCzyste[[#This Row],[Rok urodzenia]],KategorieWiekowe[],2,1)</f>
        <v>56-65 lat</v>
      </c>
      <c r="HE54" t="s">
        <v>141</v>
      </c>
      <c r="HG54" t="s">
        <v>936</v>
      </c>
    </row>
    <row r="55" spans="1:216" hidden="1" x14ac:dyDescent="0.45">
      <c r="A55">
        <v>93</v>
      </c>
      <c r="B55">
        <f>_xlfn.IFNA(VLOOKUP(AnalizaCzyste[[#This Row],[Zakończono wypełnianie]],Zakończone[],2,0),"BRAK")</f>
        <v>56</v>
      </c>
      <c r="C55">
        <f t="shared" si="1"/>
        <v>48</v>
      </c>
      <c r="D55" t="s">
        <v>938</v>
      </c>
      <c r="E55" t="s">
        <v>118</v>
      </c>
      <c r="J55" t="s">
        <v>119</v>
      </c>
      <c r="K55" t="s">
        <v>939</v>
      </c>
      <c r="L55" t="s">
        <v>940</v>
      </c>
      <c r="M55">
        <v>451</v>
      </c>
      <c r="O55">
        <v>0</v>
      </c>
      <c r="P55" t="s">
        <v>122</v>
      </c>
      <c r="Q55" s="1" t="s">
        <v>123</v>
      </c>
      <c r="AG55" s="1" t="s">
        <v>124</v>
      </c>
      <c r="AH55" t="s">
        <v>223</v>
      </c>
      <c r="AI55" t="str">
        <f>VLOOKUP(AnalizaCzyste[[#This Row],[Jak się nazywa uczelnia którą ukończyłeś? (proszę o wybranie jednej uczelni podlegającej ocenie)]],KategorieUczelni[],2,0)</f>
        <v>Publiczna</v>
      </c>
      <c r="AJ55">
        <v>2004</v>
      </c>
      <c r="AK55" t="s">
        <v>148</v>
      </c>
      <c r="AL55" t="s">
        <v>942</v>
      </c>
      <c r="AM55" t="s">
        <v>150</v>
      </c>
      <c r="AN55" t="s">
        <v>150</v>
      </c>
      <c r="AO55" t="s">
        <v>150</v>
      </c>
      <c r="AP55" t="s">
        <v>150</v>
      </c>
      <c r="AQ55" t="s">
        <v>169</v>
      </c>
      <c r="AR55" t="s">
        <v>237</v>
      </c>
      <c r="AS55" t="s">
        <v>302</v>
      </c>
      <c r="AT55" t="s">
        <v>943</v>
      </c>
      <c r="AU55" t="s">
        <v>944</v>
      </c>
      <c r="AV55" t="s">
        <v>945</v>
      </c>
      <c r="AW55" t="s">
        <v>946</v>
      </c>
      <c r="AX55" t="s">
        <v>157</v>
      </c>
      <c r="AZ55" s="1" t="s">
        <v>123</v>
      </c>
      <c r="CT55" s="1" t="s">
        <v>123</v>
      </c>
      <c r="DD55" s="1" t="s">
        <v>123</v>
      </c>
      <c r="DN55" s="1" t="s">
        <v>123</v>
      </c>
      <c r="EQ55" s="1" t="s">
        <v>177</v>
      </c>
      <c r="ER55" t="s">
        <v>178</v>
      </c>
      <c r="ES55">
        <v>1</v>
      </c>
      <c r="ET55" t="s">
        <v>747</v>
      </c>
      <c r="EU55" t="s">
        <v>169</v>
      </c>
      <c r="EV55" t="s">
        <v>169</v>
      </c>
      <c r="EW55" t="s">
        <v>169</v>
      </c>
      <c r="EX55" t="s">
        <v>178</v>
      </c>
      <c r="EY55" t="s">
        <v>947</v>
      </c>
      <c r="EZ55" t="s">
        <v>948</v>
      </c>
      <c r="FA55" t="s">
        <v>173</v>
      </c>
      <c r="FQ55" s="1" t="s">
        <v>123</v>
      </c>
      <c r="FR55" t="s">
        <v>132</v>
      </c>
      <c r="FT55" t="s">
        <v>132</v>
      </c>
      <c r="GY55" t="s">
        <v>949</v>
      </c>
      <c r="GZ55" t="s">
        <v>950</v>
      </c>
      <c r="HA55" t="s">
        <v>951</v>
      </c>
      <c r="HB55" t="s">
        <v>186</v>
      </c>
      <c r="HC55">
        <v>1984</v>
      </c>
      <c r="HD55" t="str">
        <f>VLOOKUP(AnalizaCzyste[[#This Row],[Rok urodzenia]],KategorieWiekowe[],2,1)</f>
        <v>36-45 lat</v>
      </c>
      <c r="HE55" t="s">
        <v>141</v>
      </c>
      <c r="HF55" t="s">
        <v>952</v>
      </c>
      <c r="HG55" t="s">
        <v>953</v>
      </c>
      <c r="HH55" t="s">
        <v>954</v>
      </c>
    </row>
    <row r="56" spans="1:216" hidden="1" x14ac:dyDescent="0.45">
      <c r="A56">
        <v>94</v>
      </c>
      <c r="B56">
        <f>_xlfn.IFNA(VLOOKUP(AnalizaCzyste[[#This Row],[Zakończono wypełnianie]],Zakończone[],2,0),"BRAK")</f>
        <v>57</v>
      </c>
      <c r="C56">
        <f t="shared" si="1"/>
        <v>34</v>
      </c>
      <c r="D56" t="s">
        <v>955</v>
      </c>
      <c r="E56" t="s">
        <v>118</v>
      </c>
      <c r="F56" t="s">
        <v>774</v>
      </c>
      <c r="J56" t="s">
        <v>119</v>
      </c>
      <c r="K56" t="s">
        <v>956</v>
      </c>
      <c r="L56" t="s">
        <v>957</v>
      </c>
      <c r="M56">
        <v>1186</v>
      </c>
      <c r="O56">
        <v>0</v>
      </c>
      <c r="P56" t="s">
        <v>122</v>
      </c>
      <c r="Q56" s="1" t="s">
        <v>416</v>
      </c>
      <c r="R56" t="s">
        <v>223</v>
      </c>
      <c r="S56" t="s">
        <v>148</v>
      </c>
      <c r="T56" t="s">
        <v>958</v>
      </c>
      <c r="U56" t="s">
        <v>151</v>
      </c>
      <c r="V56" t="s">
        <v>128</v>
      </c>
      <c r="W56" t="s">
        <v>236</v>
      </c>
      <c r="X56" t="s">
        <v>959</v>
      </c>
      <c r="Y56" t="s">
        <v>302</v>
      </c>
      <c r="Z56" t="s">
        <v>153</v>
      </c>
      <c r="AA56" t="s">
        <v>960</v>
      </c>
      <c r="AB56" t="s">
        <v>961</v>
      </c>
      <c r="AC56" t="s">
        <v>962</v>
      </c>
      <c r="AD56" t="s">
        <v>157</v>
      </c>
      <c r="AF56">
        <v>4</v>
      </c>
      <c r="AG56" s="1" t="s">
        <v>123</v>
      </c>
      <c r="AI56" t="e">
        <f>VLOOKUP(AnalizaCzyste[[#This Row],[Jak się nazywa uczelnia którą ukończyłeś? (proszę o wybranie jednej uczelni podlegającej ocenie)]],KategorieUczelni[],2,0)</f>
        <v>#N/A</v>
      </c>
      <c r="AZ56" s="1" t="s">
        <v>123</v>
      </c>
      <c r="CT56" s="1" t="s">
        <v>123</v>
      </c>
      <c r="DD56" s="1" t="s">
        <v>123</v>
      </c>
      <c r="DN56" s="1" t="s">
        <v>123</v>
      </c>
      <c r="EQ56" s="1" t="s">
        <v>123</v>
      </c>
      <c r="ER56" t="s">
        <v>180</v>
      </c>
      <c r="ES56" t="s">
        <v>132</v>
      </c>
      <c r="FQ56" s="1" t="s">
        <v>123</v>
      </c>
      <c r="FR56" t="s">
        <v>132</v>
      </c>
      <c r="GY56" t="s">
        <v>826</v>
      </c>
      <c r="GZ56" t="s">
        <v>824</v>
      </c>
      <c r="HA56" t="s">
        <v>820</v>
      </c>
      <c r="HB56" t="s">
        <v>140</v>
      </c>
      <c r="HC56">
        <v>1993</v>
      </c>
      <c r="HD56" t="str">
        <f>VLOOKUP(AnalizaCzyste[[#This Row],[Rok urodzenia]],KategorieWiekowe[],2,1)</f>
        <v>26-35 lat</v>
      </c>
      <c r="HE56" t="s">
        <v>483</v>
      </c>
    </row>
    <row r="57" spans="1:216" hidden="1" x14ac:dyDescent="0.45">
      <c r="A57">
        <v>96</v>
      </c>
      <c r="B57">
        <f>_xlfn.IFNA(VLOOKUP(AnalizaCzyste[[#This Row],[Zakończono wypełnianie]],Zakończone[],2,0),"BRAK")</f>
        <v>59</v>
      </c>
      <c r="C57">
        <f t="shared" si="1"/>
        <v>38</v>
      </c>
      <c r="D57" t="s">
        <v>370</v>
      </c>
      <c r="E57" t="s">
        <v>118</v>
      </c>
      <c r="F57" t="s">
        <v>774</v>
      </c>
      <c r="J57" t="s">
        <v>119</v>
      </c>
      <c r="K57" t="s">
        <v>967</v>
      </c>
      <c r="L57" t="s">
        <v>968</v>
      </c>
      <c r="M57">
        <v>5160</v>
      </c>
      <c r="O57">
        <v>0</v>
      </c>
      <c r="P57" t="s">
        <v>122</v>
      </c>
      <c r="Q57" s="1" t="s">
        <v>123</v>
      </c>
      <c r="AG57" s="1" t="s">
        <v>124</v>
      </c>
      <c r="AH57" t="s">
        <v>191</v>
      </c>
      <c r="AI57" t="str">
        <f>VLOOKUP(AnalizaCzyste[[#This Row],[Jak się nazywa uczelnia którą ukończyłeś? (proszę o wybranie jednej uczelni podlegającej ocenie)]],KategorieUczelni[],2,0)</f>
        <v>Publiczna</v>
      </c>
      <c r="AJ57">
        <v>2000</v>
      </c>
      <c r="AK57" t="s">
        <v>148</v>
      </c>
      <c r="AL57" t="s">
        <v>969</v>
      </c>
      <c r="AM57" t="s">
        <v>151</v>
      </c>
      <c r="AN57" t="s">
        <v>151</v>
      </c>
      <c r="AO57" t="s">
        <v>162</v>
      </c>
      <c r="AP57" t="s">
        <v>162</v>
      </c>
      <c r="AQ57" t="s">
        <v>150</v>
      </c>
      <c r="AR57">
        <v>0</v>
      </c>
      <c r="AS57" t="s">
        <v>153</v>
      </c>
      <c r="AT57" t="s">
        <v>226</v>
      </c>
      <c r="AU57" t="s">
        <v>802</v>
      </c>
      <c r="AV57" t="s">
        <v>824</v>
      </c>
      <c r="AW57" t="s">
        <v>780</v>
      </c>
      <c r="AX57" t="s">
        <v>230</v>
      </c>
      <c r="AY57" t="s">
        <v>970</v>
      </c>
      <c r="AZ57" s="1" t="s">
        <v>123</v>
      </c>
      <c r="CT57" s="1" t="s">
        <v>123</v>
      </c>
      <c r="DD57" s="1" t="s">
        <v>123</v>
      </c>
      <c r="DN57" s="1" t="s">
        <v>123</v>
      </c>
      <c r="EQ57" s="1" t="s">
        <v>123</v>
      </c>
      <c r="FQ57" s="1" t="s">
        <v>123</v>
      </c>
      <c r="FR57" t="s">
        <v>132</v>
      </c>
      <c r="FT57" t="s">
        <v>132</v>
      </c>
      <c r="GY57" t="s">
        <v>786</v>
      </c>
      <c r="GZ57" t="s">
        <v>787</v>
      </c>
      <c r="HA57" t="s">
        <v>807</v>
      </c>
      <c r="HB57" t="s">
        <v>186</v>
      </c>
      <c r="HC57">
        <v>1968</v>
      </c>
      <c r="HD57" t="str">
        <f>VLOOKUP(AnalizaCzyste[[#This Row],[Rok urodzenia]],KategorieWiekowe[],2,1)</f>
        <v>46-55 lat</v>
      </c>
      <c r="HE57" t="s">
        <v>398</v>
      </c>
      <c r="HF57" t="s">
        <v>971</v>
      </c>
      <c r="HG57" t="s">
        <v>972</v>
      </c>
    </row>
    <row r="58" spans="1:216" hidden="1" x14ac:dyDescent="0.45">
      <c r="A58">
        <v>97</v>
      </c>
      <c r="B58">
        <f>_xlfn.IFNA(VLOOKUP(AnalizaCzyste[[#This Row],[Zakończono wypełnianie]],Zakończone[],2,0),"BRAK")</f>
        <v>60</v>
      </c>
      <c r="C58">
        <f t="shared" si="1"/>
        <v>39</v>
      </c>
      <c r="D58" t="s">
        <v>370</v>
      </c>
      <c r="E58" t="s">
        <v>118</v>
      </c>
      <c r="F58" t="s">
        <v>774</v>
      </c>
      <c r="J58" t="s">
        <v>119</v>
      </c>
      <c r="K58" t="s">
        <v>973</v>
      </c>
      <c r="L58" t="s">
        <v>974</v>
      </c>
      <c r="M58">
        <v>1963</v>
      </c>
      <c r="O58">
        <v>0</v>
      </c>
      <c r="P58" t="s">
        <v>122</v>
      </c>
      <c r="Q58" s="1" t="s">
        <v>123</v>
      </c>
      <c r="AG58" s="1" t="s">
        <v>124</v>
      </c>
      <c r="AH58" t="s">
        <v>975</v>
      </c>
      <c r="AI58" t="str">
        <f>VLOOKUP(AnalizaCzyste[[#This Row],[Jak się nazywa uczelnia którą ukończyłeś? (proszę o wybranie jednej uczelni podlegającej ocenie)]],KategorieUczelni[],2,0)</f>
        <v>Publiczna</v>
      </c>
      <c r="AJ58">
        <v>1996</v>
      </c>
      <c r="AK58" t="s">
        <v>148</v>
      </c>
      <c r="AL58" t="s">
        <v>601</v>
      </c>
      <c r="AM58" t="s">
        <v>128</v>
      </c>
      <c r="AN58" t="s">
        <v>151</v>
      </c>
      <c r="AO58" t="s">
        <v>169</v>
      </c>
      <c r="AP58" t="s">
        <v>129</v>
      </c>
      <c r="AQ58" t="s">
        <v>129</v>
      </c>
      <c r="AR58" t="s">
        <v>976</v>
      </c>
      <c r="AS58" t="s">
        <v>131</v>
      </c>
      <c r="AT58" t="s">
        <v>131</v>
      </c>
      <c r="AU58" t="s">
        <v>802</v>
      </c>
      <c r="AV58" t="s">
        <v>824</v>
      </c>
      <c r="AW58" t="s">
        <v>977</v>
      </c>
      <c r="AX58" t="s">
        <v>230</v>
      </c>
      <c r="AZ58" s="1" t="s">
        <v>123</v>
      </c>
      <c r="CT58" s="1" t="s">
        <v>123</v>
      </c>
      <c r="DD58" s="1" t="s">
        <v>123</v>
      </c>
      <c r="DN58" s="1" t="s">
        <v>123</v>
      </c>
      <c r="EQ58" s="1" t="s">
        <v>123</v>
      </c>
      <c r="ER58" t="s">
        <v>178</v>
      </c>
      <c r="ES58" t="s">
        <v>132</v>
      </c>
      <c r="FQ58" s="1" t="s">
        <v>123</v>
      </c>
      <c r="FR58" t="s">
        <v>132</v>
      </c>
      <c r="FT58" t="s">
        <v>132</v>
      </c>
      <c r="GY58" t="s">
        <v>978</v>
      </c>
      <c r="GZ58" t="s">
        <v>819</v>
      </c>
      <c r="HA58" t="s">
        <v>979</v>
      </c>
      <c r="HB58" t="s">
        <v>140</v>
      </c>
      <c r="HC58">
        <v>1962</v>
      </c>
      <c r="HD58" t="str">
        <f>VLOOKUP(AnalizaCzyste[[#This Row],[Rok urodzenia]],KategorieWiekowe[],2,1)</f>
        <v>56-65 lat</v>
      </c>
      <c r="HE58" t="s">
        <v>220</v>
      </c>
      <c r="HG58" t="s">
        <v>980</v>
      </c>
      <c r="HH58" t="s">
        <v>386</v>
      </c>
    </row>
    <row r="59" spans="1:216" hidden="1" x14ac:dyDescent="0.45">
      <c r="A59">
        <v>99</v>
      </c>
      <c r="B59">
        <f>_xlfn.IFNA(VLOOKUP(AnalizaCzyste[[#This Row],[Zakończono wypełnianie]],Zakończone[],2,0),"BRAK")</f>
        <v>61</v>
      </c>
      <c r="C59">
        <f t="shared" si="1"/>
        <v>33</v>
      </c>
      <c r="D59" t="s">
        <v>984</v>
      </c>
      <c r="E59" t="s">
        <v>118</v>
      </c>
      <c r="F59" t="s">
        <v>774</v>
      </c>
      <c r="J59" t="s">
        <v>119</v>
      </c>
      <c r="K59" t="s">
        <v>985</v>
      </c>
      <c r="L59" t="s">
        <v>986</v>
      </c>
      <c r="M59">
        <v>1348</v>
      </c>
      <c r="O59">
        <v>0</v>
      </c>
      <c r="P59" t="s">
        <v>122</v>
      </c>
      <c r="Q59" s="1" t="s">
        <v>123</v>
      </c>
      <c r="AG59" s="1" t="s">
        <v>124</v>
      </c>
      <c r="AH59" t="s">
        <v>987</v>
      </c>
      <c r="AI59" t="str">
        <f>VLOOKUP(AnalizaCzyste[[#This Row],[Jak się nazywa uczelnia którą ukończyłeś? (proszę o wybranie jednej uczelni podlegającej ocenie)]],KategorieUczelni[],2,0)</f>
        <v>Niepubliczna</v>
      </c>
      <c r="AJ59">
        <v>2015</v>
      </c>
      <c r="AK59" t="s">
        <v>148</v>
      </c>
      <c r="AL59" t="s">
        <v>988</v>
      </c>
      <c r="AM59" t="s">
        <v>169</v>
      </c>
      <c r="AN59" t="s">
        <v>150</v>
      </c>
      <c r="AO59" t="s">
        <v>151</v>
      </c>
      <c r="AP59" t="s">
        <v>151</v>
      </c>
      <c r="AQ59" t="s">
        <v>151</v>
      </c>
      <c r="AR59" t="s">
        <v>883</v>
      </c>
      <c r="AS59" t="s">
        <v>131</v>
      </c>
      <c r="AT59" t="s">
        <v>302</v>
      </c>
      <c r="AV59" t="s">
        <v>989</v>
      </c>
      <c r="AW59" t="s">
        <v>990</v>
      </c>
      <c r="AX59" t="s">
        <v>157</v>
      </c>
      <c r="AZ59" s="1" t="s">
        <v>123</v>
      </c>
      <c r="CT59" s="1" t="s">
        <v>123</v>
      </c>
      <c r="DD59" s="1" t="s">
        <v>123</v>
      </c>
      <c r="DN59" s="1" t="s">
        <v>123</v>
      </c>
      <c r="EQ59" s="1" t="s">
        <v>123</v>
      </c>
      <c r="FQ59" s="1" t="s">
        <v>123</v>
      </c>
      <c r="FR59" t="s">
        <v>132</v>
      </c>
      <c r="GY59" t="s">
        <v>786</v>
      </c>
      <c r="GZ59" t="s">
        <v>991</v>
      </c>
      <c r="HA59" t="s">
        <v>820</v>
      </c>
      <c r="HB59" t="s">
        <v>140</v>
      </c>
      <c r="HC59">
        <v>1991</v>
      </c>
      <c r="HD59" t="str">
        <f>VLOOKUP(AnalizaCzyste[[#This Row],[Rok urodzenia]],KategorieWiekowe[],2,1)</f>
        <v>26-35 lat</v>
      </c>
      <c r="HE59" t="s">
        <v>220</v>
      </c>
    </row>
    <row r="60" spans="1:216" hidden="1" x14ac:dyDescent="0.45">
      <c r="A60">
        <v>100</v>
      </c>
      <c r="B60">
        <f>_xlfn.IFNA(VLOOKUP(AnalizaCzyste[[#This Row],[Zakończono wypełnianie]],Zakończone[],2,0),"BRAK")</f>
        <v>62</v>
      </c>
      <c r="C60">
        <f t="shared" si="1"/>
        <v>39</v>
      </c>
      <c r="D60" t="s">
        <v>984</v>
      </c>
      <c r="E60" t="s">
        <v>118</v>
      </c>
      <c r="F60" t="s">
        <v>992</v>
      </c>
      <c r="J60" t="s">
        <v>119</v>
      </c>
      <c r="K60" t="s">
        <v>993</v>
      </c>
      <c r="L60" t="s">
        <v>994</v>
      </c>
      <c r="M60">
        <v>1026</v>
      </c>
      <c r="O60">
        <v>0</v>
      </c>
      <c r="P60" t="s">
        <v>122</v>
      </c>
      <c r="Q60" s="1" t="s">
        <v>123</v>
      </c>
      <c r="AG60" s="1" t="s">
        <v>124</v>
      </c>
      <c r="AH60" t="s">
        <v>995</v>
      </c>
      <c r="AI60" t="str">
        <f>VLOOKUP(AnalizaCzyste[[#This Row],[Jak się nazywa uczelnia którą ukończyłeś? (proszę o wybranie jednej uczelni podlegającej ocenie)]],KategorieUczelni[],2,0)</f>
        <v>Publiczna</v>
      </c>
      <c r="AJ60">
        <v>2010</v>
      </c>
      <c r="AK60" t="s">
        <v>148</v>
      </c>
      <c r="AL60" t="s">
        <v>429</v>
      </c>
      <c r="AM60" t="s">
        <v>169</v>
      </c>
      <c r="AN60" t="s">
        <v>169</v>
      </c>
      <c r="AO60" t="s">
        <v>150</v>
      </c>
      <c r="AP60" t="s">
        <v>236</v>
      </c>
      <c r="AQ60" t="s">
        <v>128</v>
      </c>
      <c r="AR60" t="s">
        <v>883</v>
      </c>
      <c r="AS60" t="s">
        <v>152</v>
      </c>
      <c r="AT60" t="s">
        <v>131</v>
      </c>
      <c r="AU60" t="s">
        <v>996</v>
      </c>
      <c r="AV60" t="s">
        <v>794</v>
      </c>
      <c r="AW60" t="s">
        <v>780</v>
      </c>
      <c r="AX60" t="s">
        <v>230</v>
      </c>
      <c r="AZ60" s="1" t="s">
        <v>123</v>
      </c>
      <c r="CT60" s="1" t="s">
        <v>123</v>
      </c>
      <c r="DD60" s="1" t="s">
        <v>123</v>
      </c>
      <c r="DN60" s="1" t="s">
        <v>123</v>
      </c>
      <c r="EQ60" s="1" t="s">
        <v>123</v>
      </c>
      <c r="ER60" t="s">
        <v>180</v>
      </c>
      <c r="ES60" t="s">
        <v>132</v>
      </c>
      <c r="FQ60" s="1" t="s">
        <v>123</v>
      </c>
      <c r="FR60" t="s">
        <v>132</v>
      </c>
      <c r="FT60" t="s">
        <v>132</v>
      </c>
      <c r="GY60" t="s">
        <v>786</v>
      </c>
      <c r="GZ60" t="s">
        <v>819</v>
      </c>
      <c r="HA60" t="s">
        <v>820</v>
      </c>
      <c r="HB60" t="s">
        <v>186</v>
      </c>
      <c r="HC60">
        <v>1986</v>
      </c>
      <c r="HD60" t="str">
        <f>VLOOKUP(AnalizaCzyste[[#This Row],[Rok urodzenia]],KategorieWiekowe[],2,1)</f>
        <v>26-35 lat</v>
      </c>
      <c r="HE60" t="s">
        <v>483</v>
      </c>
      <c r="HG60" t="s">
        <v>386</v>
      </c>
      <c r="HH60" t="s">
        <v>386</v>
      </c>
    </row>
    <row r="61" spans="1:216" hidden="1" x14ac:dyDescent="0.45">
      <c r="A61">
        <v>102</v>
      </c>
      <c r="B61">
        <f>_xlfn.IFNA(VLOOKUP(AnalizaCzyste[[#This Row],[Zakończono wypełnianie]],Zakończone[],2,0),"BRAK")</f>
        <v>63</v>
      </c>
      <c r="C61">
        <f t="shared" si="1"/>
        <v>46</v>
      </c>
      <c r="D61" t="s">
        <v>999</v>
      </c>
      <c r="E61" t="s">
        <v>118</v>
      </c>
      <c r="F61" t="s">
        <v>260</v>
      </c>
      <c r="J61" t="s">
        <v>119</v>
      </c>
      <c r="K61" t="s">
        <v>1000</v>
      </c>
      <c r="L61" t="s">
        <v>1001</v>
      </c>
      <c r="M61">
        <v>18013</v>
      </c>
      <c r="O61">
        <v>0</v>
      </c>
      <c r="P61" t="s">
        <v>122</v>
      </c>
      <c r="Q61" s="1" t="s">
        <v>123</v>
      </c>
      <c r="AG61" s="1" t="s">
        <v>124</v>
      </c>
      <c r="AH61" t="s">
        <v>2271</v>
      </c>
      <c r="AI61" t="str">
        <f>VLOOKUP(AnalizaCzyste[[#This Row],[Jak się nazywa uczelnia którą ukończyłeś? (proszę o wybranie jednej uczelni podlegającej ocenie)]],KategorieUczelni[],2,0)</f>
        <v>Publiczna</v>
      </c>
      <c r="AJ61">
        <v>1996</v>
      </c>
      <c r="AK61" t="s">
        <v>148</v>
      </c>
      <c r="AL61" t="s">
        <v>1003</v>
      </c>
      <c r="AM61" t="s">
        <v>150</v>
      </c>
      <c r="AN61" t="s">
        <v>150</v>
      </c>
      <c r="AO61" t="s">
        <v>162</v>
      </c>
      <c r="AP61" t="s">
        <v>129</v>
      </c>
      <c r="AQ61" t="s">
        <v>236</v>
      </c>
      <c r="AR61">
        <v>1</v>
      </c>
      <c r="AS61" t="s">
        <v>131</v>
      </c>
      <c r="AT61" t="s">
        <v>153</v>
      </c>
      <c r="AU61" t="s">
        <v>1004</v>
      </c>
      <c r="AV61" t="s">
        <v>1005</v>
      </c>
      <c r="AW61" t="s">
        <v>532</v>
      </c>
      <c r="AX61" t="s">
        <v>157</v>
      </c>
      <c r="AY61" t="s">
        <v>1006</v>
      </c>
      <c r="AZ61" s="1" t="s">
        <v>123</v>
      </c>
      <c r="CT61" s="1" t="s">
        <v>123</v>
      </c>
      <c r="DD61" s="1" t="s">
        <v>123</v>
      </c>
      <c r="DN61" s="1" t="s">
        <v>123</v>
      </c>
      <c r="EQ61" s="1" t="s">
        <v>177</v>
      </c>
      <c r="ER61" t="s">
        <v>178</v>
      </c>
      <c r="ES61" t="s">
        <v>132</v>
      </c>
      <c r="ET61" t="s">
        <v>1002</v>
      </c>
      <c r="EU61" t="s">
        <v>236</v>
      </c>
      <c r="EV61" t="s">
        <v>236</v>
      </c>
      <c r="EW61" t="s">
        <v>151</v>
      </c>
      <c r="EX61" t="s">
        <v>178</v>
      </c>
      <c r="EY61" t="s">
        <v>1007</v>
      </c>
      <c r="EZ61" t="s">
        <v>1008</v>
      </c>
      <c r="FA61" t="s">
        <v>173</v>
      </c>
      <c r="FQ61" s="1" t="s">
        <v>123</v>
      </c>
      <c r="FR61" t="s">
        <v>132</v>
      </c>
      <c r="FT61" t="s">
        <v>132</v>
      </c>
      <c r="GY61" t="s">
        <v>1009</v>
      </c>
      <c r="GZ61" t="s">
        <v>1007</v>
      </c>
      <c r="HA61" t="s">
        <v>1009</v>
      </c>
      <c r="HB61" t="s">
        <v>186</v>
      </c>
      <c r="HC61">
        <v>1966</v>
      </c>
      <c r="HD61" t="str">
        <f>VLOOKUP(AnalizaCzyste[[#This Row],[Rok urodzenia]],KategorieWiekowe[],2,1)</f>
        <v>46-55 lat</v>
      </c>
      <c r="HE61" t="s">
        <v>141</v>
      </c>
    </row>
    <row r="62" spans="1:216" hidden="1" x14ac:dyDescent="0.45">
      <c r="A62">
        <v>105</v>
      </c>
      <c r="B62">
        <f>_xlfn.IFNA(VLOOKUP(AnalizaCzyste[[#This Row],[Zakończono wypełnianie]],Zakończone[],2,0),"BRAK")</f>
        <v>64</v>
      </c>
      <c r="C62">
        <f t="shared" si="1"/>
        <v>37</v>
      </c>
      <c r="D62" t="s">
        <v>1014</v>
      </c>
      <c r="E62" t="s">
        <v>118</v>
      </c>
      <c r="J62" t="s">
        <v>119</v>
      </c>
      <c r="K62" t="s">
        <v>1015</v>
      </c>
      <c r="L62" t="s">
        <v>1016</v>
      </c>
      <c r="M62">
        <v>1293</v>
      </c>
      <c r="O62">
        <v>0</v>
      </c>
      <c r="P62" t="s">
        <v>122</v>
      </c>
      <c r="Q62" s="1" t="s">
        <v>123</v>
      </c>
      <c r="AG62" s="1" t="s">
        <v>124</v>
      </c>
      <c r="AH62" t="s">
        <v>223</v>
      </c>
      <c r="AI62" t="str">
        <f>VLOOKUP(AnalizaCzyste[[#This Row],[Jak się nazywa uczelnia którą ukończyłeś? (proszę o wybranie jednej uczelni podlegającej ocenie)]],KategorieUczelni[],2,0)</f>
        <v>Publiczna</v>
      </c>
      <c r="AJ62">
        <v>2003</v>
      </c>
      <c r="AK62" t="s">
        <v>148</v>
      </c>
      <c r="AL62" t="s">
        <v>1017</v>
      </c>
      <c r="AM62" t="s">
        <v>128</v>
      </c>
      <c r="AN62" t="s">
        <v>128</v>
      </c>
      <c r="AO62" t="s">
        <v>128</v>
      </c>
      <c r="AP62" t="s">
        <v>236</v>
      </c>
      <c r="AQ62" t="s">
        <v>132</v>
      </c>
      <c r="AR62" t="s">
        <v>1018</v>
      </c>
      <c r="AS62" t="s">
        <v>131</v>
      </c>
      <c r="AT62" t="s">
        <v>131</v>
      </c>
      <c r="AV62" t="s">
        <v>1019</v>
      </c>
      <c r="AW62" t="s">
        <v>1020</v>
      </c>
      <c r="AX62" t="s">
        <v>157</v>
      </c>
      <c r="AZ62" s="1" t="s">
        <v>123</v>
      </c>
      <c r="CT62" s="1" t="s">
        <v>123</v>
      </c>
      <c r="DD62" s="1" t="s">
        <v>123</v>
      </c>
      <c r="DN62" s="1" t="s">
        <v>123</v>
      </c>
      <c r="EQ62" s="1" t="s">
        <v>123</v>
      </c>
      <c r="ER62" t="s">
        <v>180</v>
      </c>
      <c r="ES62" t="s">
        <v>132</v>
      </c>
      <c r="FQ62" s="1" t="s">
        <v>123</v>
      </c>
      <c r="FR62" t="s">
        <v>132</v>
      </c>
      <c r="FT62" t="s">
        <v>132</v>
      </c>
      <c r="GY62" t="s">
        <v>276</v>
      </c>
      <c r="GZ62" t="s">
        <v>1021</v>
      </c>
      <c r="HA62" t="s">
        <v>1022</v>
      </c>
      <c r="HB62" t="s">
        <v>140</v>
      </c>
      <c r="HC62">
        <v>1980</v>
      </c>
      <c r="HD62" t="str">
        <f>VLOOKUP(AnalizaCzyste[[#This Row],[Rok urodzenia]],KategorieWiekowe[],2,1)</f>
        <v>36-45 lat</v>
      </c>
      <c r="HE62" t="s">
        <v>483</v>
      </c>
      <c r="HG62" t="s">
        <v>1023</v>
      </c>
    </row>
    <row r="63" spans="1:216" hidden="1" x14ac:dyDescent="0.45">
      <c r="A63">
        <v>110</v>
      </c>
      <c r="B63">
        <f>_xlfn.IFNA(VLOOKUP(AnalizaCzyste[[#This Row],[Zakończono wypełnianie]],Zakończone[],2,0),"BRAK")</f>
        <v>65</v>
      </c>
      <c r="C63">
        <f t="shared" si="1"/>
        <v>37</v>
      </c>
      <c r="D63" t="s">
        <v>1033</v>
      </c>
      <c r="E63" t="s">
        <v>118</v>
      </c>
      <c r="F63" t="s">
        <v>1034</v>
      </c>
      <c r="J63" t="s">
        <v>119</v>
      </c>
      <c r="K63" t="s">
        <v>1035</v>
      </c>
      <c r="L63" t="s">
        <v>1036</v>
      </c>
      <c r="M63">
        <v>1167</v>
      </c>
      <c r="O63">
        <v>0</v>
      </c>
      <c r="P63" t="s">
        <v>122</v>
      </c>
      <c r="Q63" s="1" t="s">
        <v>123</v>
      </c>
      <c r="AG63" s="1" t="s">
        <v>124</v>
      </c>
      <c r="AH63" s="42" t="s">
        <v>2322</v>
      </c>
      <c r="AI63" s="42" t="str">
        <f>VLOOKUP(AnalizaCzyste[[#This Row],[Jak się nazywa uczelnia którą ukończyłeś? (proszę o wybranie jednej uczelni podlegającej ocenie)]],KategorieUczelni[],2,0)</f>
        <v>Publiczna</v>
      </c>
      <c r="AJ63" s="42">
        <v>2007</v>
      </c>
      <c r="AK63" t="s">
        <v>126</v>
      </c>
      <c r="AL63" t="s">
        <v>1039</v>
      </c>
      <c r="AM63" t="s">
        <v>128</v>
      </c>
      <c r="AN63" t="s">
        <v>151</v>
      </c>
      <c r="AO63" t="s">
        <v>236</v>
      </c>
      <c r="AP63" t="s">
        <v>129</v>
      </c>
      <c r="AQ63" t="s">
        <v>129</v>
      </c>
      <c r="AR63">
        <v>5</v>
      </c>
      <c r="AS63" t="s">
        <v>302</v>
      </c>
      <c r="AT63" t="s">
        <v>302</v>
      </c>
      <c r="AV63" t="s">
        <v>1040</v>
      </c>
      <c r="AW63" t="s">
        <v>1041</v>
      </c>
      <c r="AX63" t="s">
        <v>892</v>
      </c>
      <c r="AY63" t="s">
        <v>1042</v>
      </c>
      <c r="AZ63" s="1" t="s">
        <v>123</v>
      </c>
      <c r="CT63" s="1" t="s">
        <v>123</v>
      </c>
      <c r="DD63" s="1" t="s">
        <v>123</v>
      </c>
      <c r="DN63" s="1" t="s">
        <v>123</v>
      </c>
      <c r="EQ63" s="1" t="s">
        <v>123</v>
      </c>
      <c r="ER63" t="s">
        <v>180</v>
      </c>
      <c r="ES63" t="s">
        <v>132</v>
      </c>
      <c r="FQ63" s="1" t="s">
        <v>123</v>
      </c>
      <c r="FR63" t="s">
        <v>132</v>
      </c>
      <c r="FT63" t="s">
        <v>132</v>
      </c>
      <c r="GY63" t="s">
        <v>1043</v>
      </c>
      <c r="GZ63" t="s">
        <v>1044</v>
      </c>
      <c r="HA63" t="s">
        <v>1045</v>
      </c>
      <c r="HB63" t="s">
        <v>186</v>
      </c>
      <c r="HC63">
        <v>1982</v>
      </c>
      <c r="HD63" t="str">
        <f>VLOOKUP(AnalizaCzyste[[#This Row],[Rok urodzenia]],KategorieWiekowe[],2,1)</f>
        <v>36-45 lat</v>
      </c>
      <c r="HE63" t="s">
        <v>246</v>
      </c>
    </row>
    <row r="64" spans="1:216" hidden="1" x14ac:dyDescent="0.45">
      <c r="A64">
        <v>111</v>
      </c>
      <c r="B64">
        <f>_xlfn.IFNA(VLOOKUP(AnalizaCzyste[[#This Row],[Zakończono wypełnianie]],Zakończone[],2,0),"BRAK")</f>
        <v>66</v>
      </c>
      <c r="C64">
        <f t="shared" si="1"/>
        <v>39</v>
      </c>
      <c r="D64" t="s">
        <v>1046</v>
      </c>
      <c r="E64" t="s">
        <v>118</v>
      </c>
      <c r="J64" t="s">
        <v>119</v>
      </c>
      <c r="K64" t="s">
        <v>1047</v>
      </c>
      <c r="L64" t="s">
        <v>1048</v>
      </c>
      <c r="M64">
        <v>1978</v>
      </c>
      <c r="O64">
        <v>0</v>
      </c>
      <c r="P64" t="s">
        <v>122</v>
      </c>
      <c r="Q64" s="1" t="s">
        <v>123</v>
      </c>
      <c r="AG64" s="1" t="s">
        <v>124</v>
      </c>
      <c r="AH64" t="s">
        <v>1290</v>
      </c>
      <c r="AI64" t="str">
        <f>VLOOKUP(AnalizaCzyste[[#This Row],[Jak się nazywa uczelnia którą ukończyłeś? (proszę o wybranie jednej uczelni podlegającej ocenie)]],KategorieUczelni[],2,0)</f>
        <v>Niepubliczna</v>
      </c>
      <c r="AJ64">
        <v>2009</v>
      </c>
      <c r="AK64" t="s">
        <v>148</v>
      </c>
      <c r="AL64" t="s">
        <v>1050</v>
      </c>
      <c r="AM64" t="s">
        <v>150</v>
      </c>
      <c r="AN64" t="s">
        <v>162</v>
      </c>
      <c r="AO64" t="s">
        <v>169</v>
      </c>
      <c r="AP64" t="s">
        <v>162</v>
      </c>
      <c r="AQ64" t="s">
        <v>150</v>
      </c>
      <c r="AR64" t="s">
        <v>1051</v>
      </c>
      <c r="AS64" t="s">
        <v>302</v>
      </c>
      <c r="AT64" t="s">
        <v>153</v>
      </c>
      <c r="AU64" t="s">
        <v>1052</v>
      </c>
      <c r="AV64" t="s">
        <v>1053</v>
      </c>
      <c r="AW64" t="s">
        <v>1054</v>
      </c>
      <c r="AX64" t="s">
        <v>230</v>
      </c>
      <c r="AY64" t="s">
        <v>1050</v>
      </c>
      <c r="AZ64" s="1" t="s">
        <v>123</v>
      </c>
      <c r="CT64" s="1" t="s">
        <v>123</v>
      </c>
      <c r="DD64" s="1" t="s">
        <v>123</v>
      </c>
      <c r="DN64" s="1" t="s">
        <v>123</v>
      </c>
      <c r="EQ64" s="1" t="s">
        <v>123</v>
      </c>
      <c r="ER64" t="s">
        <v>180</v>
      </c>
      <c r="ES64" t="s">
        <v>132</v>
      </c>
      <c r="FQ64" s="1" t="s">
        <v>123</v>
      </c>
      <c r="FR64" t="s">
        <v>132</v>
      </c>
      <c r="FT64" t="s">
        <v>132</v>
      </c>
      <c r="GY64" t="s">
        <v>1055</v>
      </c>
      <c r="GZ64" t="s">
        <v>1056</v>
      </c>
      <c r="HA64" t="s">
        <v>1057</v>
      </c>
      <c r="HB64" t="s">
        <v>186</v>
      </c>
      <c r="HC64">
        <v>1978</v>
      </c>
      <c r="HD64" t="str">
        <f>VLOOKUP(AnalizaCzyste[[#This Row],[Rok urodzenia]],KategorieWiekowe[],2,1)</f>
        <v>36-45 lat</v>
      </c>
      <c r="HE64" t="s">
        <v>141</v>
      </c>
      <c r="HG64" t="s">
        <v>1058</v>
      </c>
    </row>
    <row r="65" spans="1:216" hidden="1" x14ac:dyDescent="0.45">
      <c r="A65">
        <v>113</v>
      </c>
      <c r="B65">
        <f>_xlfn.IFNA(VLOOKUP(AnalizaCzyste[[#This Row],[Zakończono wypełnianie]],Zakończone[],2,0),"BRAK")</f>
        <v>67</v>
      </c>
      <c r="C65">
        <f t="shared" si="1"/>
        <v>34</v>
      </c>
      <c r="D65" t="s">
        <v>1065</v>
      </c>
      <c r="E65" t="s">
        <v>118</v>
      </c>
      <c r="J65" t="s">
        <v>119</v>
      </c>
      <c r="K65" t="s">
        <v>1066</v>
      </c>
      <c r="L65" t="s">
        <v>1067</v>
      </c>
      <c r="M65">
        <v>2803</v>
      </c>
      <c r="O65">
        <v>0</v>
      </c>
      <c r="P65" t="s">
        <v>122</v>
      </c>
      <c r="Q65" s="1" t="s">
        <v>123</v>
      </c>
      <c r="AG65" s="1" t="s">
        <v>124</v>
      </c>
      <c r="AH65" t="s">
        <v>1439</v>
      </c>
      <c r="AI65" t="str">
        <f>VLOOKUP(AnalizaCzyste[[#This Row],[Jak się nazywa uczelnia którą ukończyłeś? (proszę o wybranie jednej uczelni podlegającej ocenie)]],KategorieUczelni[],2,0)</f>
        <v>Niepubliczna</v>
      </c>
      <c r="AJ65">
        <v>2019</v>
      </c>
      <c r="AK65" t="s">
        <v>148</v>
      </c>
      <c r="AL65" t="s">
        <v>1069</v>
      </c>
      <c r="AM65" t="s">
        <v>128</v>
      </c>
      <c r="AN65" t="s">
        <v>151</v>
      </c>
      <c r="AO65" t="s">
        <v>128</v>
      </c>
      <c r="AP65" t="s">
        <v>129</v>
      </c>
      <c r="AQ65" t="s">
        <v>132</v>
      </c>
      <c r="AR65" t="s">
        <v>1070</v>
      </c>
      <c r="AS65" t="s">
        <v>153</v>
      </c>
      <c r="AT65" t="s">
        <v>132</v>
      </c>
      <c r="AV65" t="s">
        <v>1071</v>
      </c>
      <c r="AW65" t="s">
        <v>1072</v>
      </c>
      <c r="AX65" t="s">
        <v>892</v>
      </c>
      <c r="AZ65" s="1" t="s">
        <v>123</v>
      </c>
      <c r="CT65" s="1" t="s">
        <v>123</v>
      </c>
      <c r="DD65" s="1" t="s">
        <v>123</v>
      </c>
      <c r="DN65" s="1" t="s">
        <v>123</v>
      </c>
      <c r="EQ65" s="1" t="s">
        <v>123</v>
      </c>
      <c r="FQ65" s="1" t="s">
        <v>123</v>
      </c>
      <c r="FR65" t="s">
        <v>132</v>
      </c>
      <c r="GY65" t="s">
        <v>1073</v>
      </c>
      <c r="GZ65" t="s">
        <v>1074</v>
      </c>
      <c r="HA65" t="s">
        <v>1075</v>
      </c>
      <c r="HB65" t="s">
        <v>140</v>
      </c>
      <c r="HC65">
        <v>1991</v>
      </c>
      <c r="HD65" t="str">
        <f>VLOOKUP(AnalizaCzyste[[#This Row],[Rok urodzenia]],KategorieWiekowe[],2,1)</f>
        <v>26-35 lat</v>
      </c>
      <c r="HE65" t="s">
        <v>398</v>
      </c>
      <c r="HH65" t="s">
        <v>1076</v>
      </c>
    </row>
    <row r="66" spans="1:216" hidden="1" x14ac:dyDescent="0.45">
      <c r="A66">
        <v>114</v>
      </c>
      <c r="B66">
        <f>_xlfn.IFNA(VLOOKUP(AnalizaCzyste[[#This Row],[Zakończono wypełnianie]],Zakończone[],2,0),"BRAK")</f>
        <v>68</v>
      </c>
      <c r="C66">
        <f t="shared" si="1"/>
        <v>43</v>
      </c>
      <c r="D66" t="s">
        <v>1077</v>
      </c>
      <c r="E66" t="s">
        <v>118</v>
      </c>
      <c r="J66" t="s">
        <v>119</v>
      </c>
      <c r="K66" t="s">
        <v>1078</v>
      </c>
      <c r="L66" t="s">
        <v>1079</v>
      </c>
      <c r="M66">
        <v>862</v>
      </c>
      <c r="O66">
        <v>0</v>
      </c>
      <c r="P66" t="s">
        <v>122</v>
      </c>
      <c r="Q66" s="1" t="s">
        <v>123</v>
      </c>
      <c r="AG66" s="1" t="s">
        <v>124</v>
      </c>
      <c r="AH66" t="s">
        <v>223</v>
      </c>
      <c r="AI66" t="str">
        <f>VLOOKUP(AnalizaCzyste[[#This Row],[Jak się nazywa uczelnia którą ukończyłeś? (proszę o wybranie jednej uczelni podlegającej ocenie)]],KategorieUczelni[],2,0)</f>
        <v>Publiczna</v>
      </c>
      <c r="AJ66">
        <v>2007</v>
      </c>
      <c r="AK66" t="s">
        <v>148</v>
      </c>
      <c r="AL66" t="s">
        <v>969</v>
      </c>
      <c r="AM66" t="s">
        <v>151</v>
      </c>
      <c r="AN66" t="s">
        <v>151</v>
      </c>
      <c r="AO66" t="s">
        <v>150</v>
      </c>
      <c r="AP66" t="s">
        <v>162</v>
      </c>
      <c r="AQ66" t="s">
        <v>150</v>
      </c>
      <c r="AR66" t="s">
        <v>237</v>
      </c>
      <c r="AS66" t="s">
        <v>131</v>
      </c>
      <c r="AT66" t="s">
        <v>302</v>
      </c>
      <c r="AV66" t="s">
        <v>1080</v>
      </c>
      <c r="AW66" t="s">
        <v>1081</v>
      </c>
      <c r="AX66" t="s">
        <v>230</v>
      </c>
      <c r="AZ66" s="1" t="s">
        <v>123</v>
      </c>
      <c r="CT66" s="1" t="s">
        <v>123</v>
      </c>
      <c r="DD66" s="1" t="s">
        <v>123</v>
      </c>
      <c r="DN66" s="1" t="s">
        <v>123</v>
      </c>
      <c r="EQ66" s="1" t="s">
        <v>123</v>
      </c>
      <c r="ER66" t="s">
        <v>178</v>
      </c>
      <c r="ES66" t="s">
        <v>132</v>
      </c>
      <c r="ET66" t="s">
        <v>1082</v>
      </c>
      <c r="EU66" t="s">
        <v>151</v>
      </c>
      <c r="EV66" t="s">
        <v>151</v>
      </c>
      <c r="EW66" t="s">
        <v>151</v>
      </c>
      <c r="EX66" t="s">
        <v>178</v>
      </c>
      <c r="EZ66" t="s">
        <v>1083</v>
      </c>
      <c r="FA66" t="s">
        <v>173</v>
      </c>
      <c r="FQ66" s="1" t="s">
        <v>123</v>
      </c>
      <c r="FR66" t="s">
        <v>132</v>
      </c>
      <c r="FT66" t="s">
        <v>132</v>
      </c>
      <c r="GY66" t="s">
        <v>1084</v>
      </c>
      <c r="GZ66" t="s">
        <v>1085</v>
      </c>
      <c r="HA66" t="s">
        <v>1086</v>
      </c>
      <c r="HB66" t="s">
        <v>140</v>
      </c>
      <c r="HC66">
        <v>1982</v>
      </c>
      <c r="HD66" t="str">
        <f>VLOOKUP(AnalizaCzyste[[#This Row],[Rok urodzenia]],KategorieWiekowe[],2,1)</f>
        <v>36-45 lat</v>
      </c>
      <c r="HE66" t="s">
        <v>141</v>
      </c>
    </row>
    <row r="67" spans="1:216" hidden="1" x14ac:dyDescent="0.45">
      <c r="A67">
        <v>115</v>
      </c>
      <c r="B67">
        <f>_xlfn.IFNA(VLOOKUP(AnalizaCzyste[[#This Row],[Zakończono wypełnianie]],Zakończone[],2,0),"BRAK")</f>
        <v>69</v>
      </c>
      <c r="C67">
        <f t="shared" ref="C67:C98" si="2">COUNTA(P67:HI67)</f>
        <v>34</v>
      </c>
      <c r="D67" t="s">
        <v>1087</v>
      </c>
      <c r="E67" t="s">
        <v>118</v>
      </c>
      <c r="J67" t="s">
        <v>119</v>
      </c>
      <c r="K67" t="s">
        <v>1088</v>
      </c>
      <c r="L67" t="s">
        <v>1089</v>
      </c>
      <c r="M67">
        <v>1206</v>
      </c>
      <c r="O67">
        <v>0</v>
      </c>
      <c r="P67" t="s">
        <v>122</v>
      </c>
      <c r="Q67" s="1" t="s">
        <v>123</v>
      </c>
      <c r="AG67" s="1" t="s">
        <v>124</v>
      </c>
      <c r="AH67" t="s">
        <v>1090</v>
      </c>
      <c r="AI67" t="str">
        <f>VLOOKUP(AnalizaCzyste[[#This Row],[Jak się nazywa uczelnia którą ukończyłeś? (proszę o wybranie jednej uczelni podlegającej ocenie)]],KategorieUczelni[],2,0)</f>
        <v>Publiczna</v>
      </c>
      <c r="AJ67">
        <v>2004</v>
      </c>
      <c r="AK67" t="s">
        <v>126</v>
      </c>
      <c r="AL67" t="s">
        <v>844</v>
      </c>
      <c r="AM67" t="s">
        <v>162</v>
      </c>
      <c r="AN67" t="s">
        <v>162</v>
      </c>
      <c r="AO67" t="s">
        <v>150</v>
      </c>
      <c r="AP67" t="s">
        <v>151</v>
      </c>
      <c r="AQ67" t="s">
        <v>150</v>
      </c>
      <c r="AR67" t="s">
        <v>237</v>
      </c>
      <c r="AS67" t="s">
        <v>302</v>
      </c>
      <c r="AT67" t="s">
        <v>226</v>
      </c>
      <c r="AU67" t="s">
        <v>1091</v>
      </c>
      <c r="AV67" t="s">
        <v>1092</v>
      </c>
      <c r="AW67" t="s">
        <v>1093</v>
      </c>
      <c r="AX67" t="s">
        <v>157</v>
      </c>
      <c r="AZ67" s="1" t="s">
        <v>123</v>
      </c>
      <c r="CT67" s="1" t="s">
        <v>123</v>
      </c>
      <c r="DD67" s="1" t="s">
        <v>123</v>
      </c>
      <c r="DN67" s="1" t="s">
        <v>123</v>
      </c>
      <c r="EQ67" s="1" t="s">
        <v>123</v>
      </c>
      <c r="FQ67" s="1" t="s">
        <v>123</v>
      </c>
      <c r="FR67" t="s">
        <v>132</v>
      </c>
      <c r="GY67" t="s">
        <v>1094</v>
      </c>
      <c r="GZ67" t="s">
        <v>1095</v>
      </c>
      <c r="HA67" t="s">
        <v>1096</v>
      </c>
      <c r="HB67" t="s">
        <v>140</v>
      </c>
      <c r="HC67">
        <v>1976</v>
      </c>
      <c r="HD67" t="str">
        <f>VLOOKUP(AnalizaCzyste[[#This Row],[Rok urodzenia]],KategorieWiekowe[],2,1)</f>
        <v>36-45 lat</v>
      </c>
      <c r="HE67" t="s">
        <v>141</v>
      </c>
    </row>
    <row r="68" spans="1:216" hidden="1" x14ac:dyDescent="0.45">
      <c r="A68">
        <v>117</v>
      </c>
      <c r="B68">
        <f>_xlfn.IFNA(VLOOKUP(AnalizaCzyste[[#This Row],[Zakończono wypełnianie]],Zakończone[],2,0),"BRAK")</f>
        <v>70</v>
      </c>
      <c r="C68">
        <f t="shared" si="2"/>
        <v>32</v>
      </c>
      <c r="D68" t="s">
        <v>1098</v>
      </c>
      <c r="E68" t="s">
        <v>118</v>
      </c>
      <c r="J68" t="s">
        <v>119</v>
      </c>
      <c r="K68" t="s">
        <v>1099</v>
      </c>
      <c r="L68" t="s">
        <v>1100</v>
      </c>
      <c r="M68">
        <v>358</v>
      </c>
      <c r="O68">
        <v>0</v>
      </c>
      <c r="P68" t="s">
        <v>122</v>
      </c>
      <c r="Q68" s="1" t="s">
        <v>123</v>
      </c>
      <c r="AG68" s="1" t="s">
        <v>124</v>
      </c>
      <c r="AH68" t="s">
        <v>1090</v>
      </c>
      <c r="AI68" t="str">
        <f>VLOOKUP(AnalizaCzyste[[#This Row],[Jak się nazywa uczelnia którą ukończyłeś? (proszę o wybranie jednej uczelni podlegającej ocenie)]],KategorieUczelni[],2,0)</f>
        <v>Publiczna</v>
      </c>
      <c r="AJ68">
        <v>2018</v>
      </c>
      <c r="AK68" t="s">
        <v>126</v>
      </c>
      <c r="AL68" t="s">
        <v>844</v>
      </c>
      <c r="AM68" t="s">
        <v>150</v>
      </c>
      <c r="AN68" t="s">
        <v>151</v>
      </c>
      <c r="AO68" t="s">
        <v>162</v>
      </c>
      <c r="AP68" t="s">
        <v>150</v>
      </c>
      <c r="AQ68" t="s">
        <v>132</v>
      </c>
      <c r="AR68">
        <v>1</v>
      </c>
      <c r="AS68" t="s">
        <v>153</v>
      </c>
      <c r="AT68" t="s">
        <v>132</v>
      </c>
      <c r="AV68" t="s">
        <v>1101</v>
      </c>
      <c r="AW68" t="s">
        <v>1102</v>
      </c>
      <c r="AX68" t="s">
        <v>157</v>
      </c>
      <c r="AZ68" s="1" t="s">
        <v>123</v>
      </c>
      <c r="CT68" s="1" t="s">
        <v>123</v>
      </c>
      <c r="DD68" s="1" t="s">
        <v>123</v>
      </c>
      <c r="DN68" s="1" t="s">
        <v>123</v>
      </c>
      <c r="EQ68" s="1" t="s">
        <v>123</v>
      </c>
      <c r="FQ68" s="1" t="s">
        <v>123</v>
      </c>
      <c r="GY68" t="s">
        <v>1103</v>
      </c>
      <c r="GZ68" t="s">
        <v>1104</v>
      </c>
      <c r="HA68" t="s">
        <v>1105</v>
      </c>
      <c r="HB68" t="s">
        <v>140</v>
      </c>
      <c r="HC68">
        <v>1991</v>
      </c>
      <c r="HD68" t="str">
        <f>VLOOKUP(AnalizaCzyste[[#This Row],[Rok urodzenia]],KategorieWiekowe[],2,1)</f>
        <v>26-35 lat</v>
      </c>
      <c r="HE68" t="s">
        <v>141</v>
      </c>
    </row>
    <row r="69" spans="1:216" hidden="1" x14ac:dyDescent="0.45">
      <c r="A69">
        <v>122</v>
      </c>
      <c r="B69">
        <f>_xlfn.IFNA(VLOOKUP(AnalizaCzyste[[#This Row],[Zakończono wypełnianie]],Zakończone[],2,0),"BRAK")</f>
        <v>71</v>
      </c>
      <c r="C69">
        <f t="shared" si="2"/>
        <v>34</v>
      </c>
      <c r="D69" t="s">
        <v>1131</v>
      </c>
      <c r="E69" t="s">
        <v>118</v>
      </c>
      <c r="J69" t="s">
        <v>119</v>
      </c>
      <c r="K69" t="s">
        <v>1132</v>
      </c>
      <c r="L69" t="s">
        <v>1133</v>
      </c>
      <c r="M69">
        <v>3215</v>
      </c>
      <c r="O69">
        <v>0</v>
      </c>
      <c r="P69" t="s">
        <v>122</v>
      </c>
      <c r="Q69" s="1" t="s">
        <v>123</v>
      </c>
      <c r="AG69" s="1" t="s">
        <v>124</v>
      </c>
      <c r="AH69" t="s">
        <v>191</v>
      </c>
      <c r="AI69" t="str">
        <f>VLOOKUP(AnalizaCzyste[[#This Row],[Jak się nazywa uczelnia którą ukończyłeś? (proszę o wybranie jednej uczelni podlegającej ocenie)]],KategorieUczelni[],2,0)</f>
        <v>Publiczna</v>
      </c>
      <c r="AJ69">
        <v>2015</v>
      </c>
      <c r="AK69" t="s">
        <v>126</v>
      </c>
      <c r="AL69" t="s">
        <v>1134</v>
      </c>
      <c r="AM69" t="s">
        <v>128</v>
      </c>
      <c r="AN69" t="s">
        <v>151</v>
      </c>
      <c r="AO69" t="s">
        <v>169</v>
      </c>
      <c r="AP69" t="s">
        <v>162</v>
      </c>
      <c r="AQ69" t="s">
        <v>150</v>
      </c>
      <c r="AR69">
        <v>1</v>
      </c>
      <c r="AS69" t="s">
        <v>302</v>
      </c>
      <c r="AT69" t="s">
        <v>226</v>
      </c>
      <c r="AU69" t="s">
        <v>1135</v>
      </c>
      <c r="AV69" t="s">
        <v>1136</v>
      </c>
      <c r="AW69" t="s">
        <v>1137</v>
      </c>
      <c r="AX69" t="s">
        <v>172</v>
      </c>
      <c r="AZ69" s="1" t="s">
        <v>123</v>
      </c>
      <c r="CT69" s="1" t="s">
        <v>123</v>
      </c>
      <c r="DD69" s="1" t="s">
        <v>123</v>
      </c>
      <c r="DN69" s="1" t="s">
        <v>123</v>
      </c>
      <c r="EQ69" s="1" t="s">
        <v>123</v>
      </c>
      <c r="FQ69" s="1" t="s">
        <v>123</v>
      </c>
      <c r="GY69" t="s">
        <v>1138</v>
      </c>
      <c r="GZ69" t="s">
        <v>1139</v>
      </c>
      <c r="HA69" t="s">
        <v>1140</v>
      </c>
      <c r="HB69" t="s">
        <v>186</v>
      </c>
      <c r="HC69">
        <v>1991</v>
      </c>
      <c r="HD69" t="str">
        <f>VLOOKUP(AnalizaCzyste[[#This Row],[Rok urodzenia]],KategorieWiekowe[],2,1)</f>
        <v>26-35 lat</v>
      </c>
      <c r="HE69" t="s">
        <v>141</v>
      </c>
      <c r="HG69" t="s">
        <v>1141</v>
      </c>
    </row>
    <row r="70" spans="1:216" hidden="1" x14ac:dyDescent="0.45">
      <c r="A70">
        <v>123</v>
      </c>
      <c r="B70">
        <f>_xlfn.IFNA(VLOOKUP(AnalizaCzyste[[#This Row],[Zakończono wypełnianie]],Zakończone[],2,0),"BRAK")</f>
        <v>72</v>
      </c>
      <c r="C70">
        <f t="shared" si="2"/>
        <v>34</v>
      </c>
      <c r="D70" t="s">
        <v>1142</v>
      </c>
      <c r="E70" t="s">
        <v>118</v>
      </c>
      <c r="J70" t="s">
        <v>119</v>
      </c>
      <c r="K70" t="s">
        <v>1143</v>
      </c>
      <c r="L70" t="s">
        <v>1144</v>
      </c>
      <c r="M70">
        <v>258</v>
      </c>
      <c r="O70">
        <v>0</v>
      </c>
      <c r="P70" t="s">
        <v>122</v>
      </c>
      <c r="Q70" s="1" t="s">
        <v>123</v>
      </c>
      <c r="AG70" s="1" t="s">
        <v>124</v>
      </c>
      <c r="AH70" t="s">
        <v>1439</v>
      </c>
      <c r="AI70" t="str">
        <f>VLOOKUP(AnalizaCzyste[[#This Row],[Jak się nazywa uczelnia którą ukończyłeś? (proszę o wybranie jednej uczelni podlegającej ocenie)]],KategorieUczelni[],2,0)</f>
        <v>Niepubliczna</v>
      </c>
      <c r="AJ70">
        <v>2016</v>
      </c>
      <c r="AK70" t="s">
        <v>126</v>
      </c>
      <c r="AL70" t="s">
        <v>1146</v>
      </c>
      <c r="AM70" t="s">
        <v>150</v>
      </c>
      <c r="AN70" t="s">
        <v>150</v>
      </c>
      <c r="AO70" t="s">
        <v>169</v>
      </c>
      <c r="AP70" t="s">
        <v>169</v>
      </c>
      <c r="AQ70" t="s">
        <v>169</v>
      </c>
      <c r="AR70">
        <v>3</v>
      </c>
      <c r="AS70" t="s">
        <v>302</v>
      </c>
      <c r="AT70" t="s">
        <v>943</v>
      </c>
      <c r="AV70" t="s">
        <v>1147</v>
      </c>
      <c r="AW70" t="s">
        <v>1148</v>
      </c>
      <c r="AX70" t="s">
        <v>892</v>
      </c>
      <c r="AZ70" s="1" t="s">
        <v>123</v>
      </c>
      <c r="CT70" s="1" t="s">
        <v>123</v>
      </c>
      <c r="DD70" s="1" t="s">
        <v>123</v>
      </c>
      <c r="DN70" s="1" t="s">
        <v>123</v>
      </c>
      <c r="EQ70" s="1" t="s">
        <v>123</v>
      </c>
      <c r="ER70" t="s">
        <v>178</v>
      </c>
      <c r="ES70">
        <v>1</v>
      </c>
      <c r="FQ70" s="1" t="s">
        <v>123</v>
      </c>
      <c r="GY70" t="s">
        <v>1149</v>
      </c>
      <c r="GZ70" t="s">
        <v>1149</v>
      </c>
      <c r="HA70" t="s">
        <v>1150</v>
      </c>
      <c r="HB70" t="s">
        <v>186</v>
      </c>
      <c r="HC70">
        <v>1986</v>
      </c>
      <c r="HD70" t="str">
        <f>VLOOKUP(AnalizaCzyste[[#This Row],[Rok urodzenia]],KategorieWiekowe[],2,1)</f>
        <v>26-35 lat</v>
      </c>
      <c r="HE70" t="s">
        <v>398</v>
      </c>
    </row>
    <row r="71" spans="1:216" hidden="1" x14ac:dyDescent="0.45">
      <c r="A71">
        <v>124</v>
      </c>
      <c r="B71">
        <f>_xlfn.IFNA(VLOOKUP(AnalizaCzyste[[#This Row],[Zakończono wypełnianie]],Zakończone[],2,0),"BRAK")</f>
        <v>73</v>
      </c>
      <c r="C71">
        <f t="shared" si="2"/>
        <v>36</v>
      </c>
      <c r="D71" t="s">
        <v>1151</v>
      </c>
      <c r="E71" t="s">
        <v>118</v>
      </c>
      <c r="F71" t="s">
        <v>1152</v>
      </c>
      <c r="J71" t="s">
        <v>119</v>
      </c>
      <c r="K71" t="s">
        <v>1153</v>
      </c>
      <c r="L71" t="s">
        <v>1154</v>
      </c>
      <c r="M71">
        <v>1159</v>
      </c>
      <c r="O71">
        <v>0</v>
      </c>
      <c r="P71" t="s">
        <v>122</v>
      </c>
      <c r="Q71" s="1" t="s">
        <v>123</v>
      </c>
      <c r="AG71" s="1" t="s">
        <v>124</v>
      </c>
      <c r="AH71" t="s">
        <v>191</v>
      </c>
      <c r="AI71" t="str">
        <f>VLOOKUP(AnalizaCzyste[[#This Row],[Jak się nazywa uczelnia którą ukończyłeś? (proszę o wybranie jednej uczelni podlegającej ocenie)]],KategorieUczelni[],2,0)</f>
        <v>Publiczna</v>
      </c>
      <c r="AJ71">
        <v>2018</v>
      </c>
      <c r="AK71" t="s">
        <v>126</v>
      </c>
      <c r="AL71" t="s">
        <v>969</v>
      </c>
      <c r="AM71" t="s">
        <v>150</v>
      </c>
      <c r="AN71" t="s">
        <v>150</v>
      </c>
      <c r="AO71" t="s">
        <v>162</v>
      </c>
      <c r="AP71" t="s">
        <v>128</v>
      </c>
      <c r="AQ71" t="s">
        <v>151</v>
      </c>
      <c r="AR71" t="s">
        <v>530</v>
      </c>
      <c r="AS71" t="s">
        <v>131</v>
      </c>
      <c r="AT71" t="s">
        <v>302</v>
      </c>
      <c r="AU71" t="s">
        <v>1155</v>
      </c>
      <c r="AV71" t="s">
        <v>1156</v>
      </c>
      <c r="AW71" t="s">
        <v>1157</v>
      </c>
      <c r="AX71" t="s">
        <v>230</v>
      </c>
      <c r="AY71" t="s">
        <v>1158</v>
      </c>
      <c r="AZ71" s="1" t="s">
        <v>123</v>
      </c>
      <c r="CT71" s="1" t="s">
        <v>123</v>
      </c>
      <c r="DD71" s="1" t="s">
        <v>123</v>
      </c>
      <c r="DN71" s="1" t="s">
        <v>123</v>
      </c>
      <c r="EQ71" s="1" t="s">
        <v>123</v>
      </c>
      <c r="FQ71" s="1" t="s">
        <v>123</v>
      </c>
      <c r="GY71" t="s">
        <v>1159</v>
      </c>
      <c r="GZ71" t="s">
        <v>1160</v>
      </c>
      <c r="HA71" t="s">
        <v>1161</v>
      </c>
      <c r="HB71" t="s">
        <v>140</v>
      </c>
      <c r="HC71">
        <v>1991</v>
      </c>
      <c r="HD71" t="str">
        <f>VLOOKUP(AnalizaCzyste[[#This Row],[Rok urodzenia]],KategorieWiekowe[],2,1)</f>
        <v>26-35 lat</v>
      </c>
      <c r="HE71" t="s">
        <v>483</v>
      </c>
      <c r="HG71" t="s">
        <v>1162</v>
      </c>
      <c r="HH71" t="s">
        <v>142</v>
      </c>
    </row>
    <row r="72" spans="1:216" hidden="1" x14ac:dyDescent="0.45">
      <c r="A72">
        <v>125</v>
      </c>
      <c r="B72">
        <f>_xlfn.IFNA(VLOOKUP(AnalizaCzyste[[#This Row],[Zakończono wypełnianie]],Zakończone[],2,0),"BRAK")</f>
        <v>74</v>
      </c>
      <c r="C72">
        <f t="shared" si="2"/>
        <v>81</v>
      </c>
      <c r="D72" t="s">
        <v>1163</v>
      </c>
      <c r="E72" t="s">
        <v>118</v>
      </c>
      <c r="J72" t="s">
        <v>119</v>
      </c>
      <c r="K72" t="s">
        <v>1164</v>
      </c>
      <c r="L72" t="s">
        <v>1165</v>
      </c>
      <c r="M72">
        <v>982</v>
      </c>
      <c r="O72">
        <v>0</v>
      </c>
      <c r="P72" t="s">
        <v>122</v>
      </c>
      <c r="Q72" s="1" t="s">
        <v>123</v>
      </c>
      <c r="AG72" s="1" t="s">
        <v>124</v>
      </c>
      <c r="AH72" t="s">
        <v>191</v>
      </c>
      <c r="AI72" t="str">
        <f>VLOOKUP(AnalizaCzyste[[#This Row],[Jak się nazywa uczelnia którą ukończyłeś? (proszę o wybranie jednej uczelni podlegającej ocenie)]],KategorieUczelni[],2,0)</f>
        <v>Publiczna</v>
      </c>
      <c r="AJ72">
        <v>1978</v>
      </c>
      <c r="AK72" t="s">
        <v>148</v>
      </c>
      <c r="AL72" t="s">
        <v>1167</v>
      </c>
      <c r="AM72" t="s">
        <v>169</v>
      </c>
      <c r="AN72" t="s">
        <v>169</v>
      </c>
      <c r="AO72" t="s">
        <v>169</v>
      </c>
      <c r="AP72" t="s">
        <v>150</v>
      </c>
      <c r="AQ72" t="s">
        <v>150</v>
      </c>
      <c r="AR72" t="s">
        <v>1168</v>
      </c>
      <c r="AS72" t="s">
        <v>132</v>
      </c>
      <c r="AT72" t="s">
        <v>132</v>
      </c>
      <c r="AU72" t="s">
        <v>1169</v>
      </c>
      <c r="AV72" t="s">
        <v>1170</v>
      </c>
      <c r="AW72" t="s">
        <v>132</v>
      </c>
      <c r="AY72" t="s">
        <v>1171</v>
      </c>
      <c r="AZ72" s="1" t="s">
        <v>159</v>
      </c>
      <c r="BA72">
        <v>1</v>
      </c>
      <c r="BB72" t="s">
        <v>1290</v>
      </c>
      <c r="BC72">
        <v>2020</v>
      </c>
      <c r="BD72" t="s">
        <v>148</v>
      </c>
      <c r="BE72" t="s">
        <v>1050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1173</v>
      </c>
      <c r="BL72" t="s">
        <v>1174</v>
      </c>
      <c r="BM72" t="s">
        <v>230</v>
      </c>
      <c r="BO72" t="s">
        <v>1175</v>
      </c>
      <c r="BP72" t="s">
        <v>173</v>
      </c>
      <c r="CT72" s="1" t="s">
        <v>123</v>
      </c>
      <c r="DD72" s="1" t="s">
        <v>214</v>
      </c>
      <c r="DE72" t="s">
        <v>191</v>
      </c>
      <c r="DF72" t="s">
        <v>308</v>
      </c>
      <c r="DG72" t="s">
        <v>169</v>
      </c>
      <c r="DH72" t="s">
        <v>162</v>
      </c>
      <c r="DI72" t="s">
        <v>150</v>
      </c>
      <c r="DJ72" t="s">
        <v>169</v>
      </c>
      <c r="DK72" t="s">
        <v>150</v>
      </c>
      <c r="DL72" t="s">
        <v>150</v>
      </c>
      <c r="DM72" t="s">
        <v>1177</v>
      </c>
      <c r="DN72" s="1" t="s">
        <v>174</v>
      </c>
      <c r="DQ72" t="s">
        <v>1178</v>
      </c>
      <c r="DS72" t="s">
        <v>747</v>
      </c>
      <c r="DT72" t="s">
        <v>150</v>
      </c>
      <c r="DU72" t="s">
        <v>150</v>
      </c>
      <c r="DV72" t="s">
        <v>150</v>
      </c>
      <c r="DW72" t="s">
        <v>150</v>
      </c>
      <c r="DX72" t="s">
        <v>162</v>
      </c>
      <c r="DY72" t="s">
        <v>162</v>
      </c>
      <c r="DZ72" t="s">
        <v>162</v>
      </c>
      <c r="EA72">
        <v>25</v>
      </c>
      <c r="EB72">
        <v>10</v>
      </c>
      <c r="EC72">
        <v>0</v>
      </c>
      <c r="ED72">
        <v>10</v>
      </c>
      <c r="EE72">
        <v>25</v>
      </c>
      <c r="EF72">
        <v>15</v>
      </c>
      <c r="EG72">
        <v>15</v>
      </c>
      <c r="EI72">
        <v>10</v>
      </c>
      <c r="EJ72">
        <v>10</v>
      </c>
      <c r="EK72">
        <v>0</v>
      </c>
      <c r="EL72">
        <v>10</v>
      </c>
      <c r="EM72">
        <v>50</v>
      </c>
      <c r="EN72">
        <v>10</v>
      </c>
      <c r="EO72">
        <v>10</v>
      </c>
      <c r="EQ72" s="1" t="s">
        <v>123</v>
      </c>
      <c r="FQ72" s="1" t="s">
        <v>123</v>
      </c>
      <c r="GY72" t="s">
        <v>1179</v>
      </c>
      <c r="GZ72" t="s">
        <v>1180</v>
      </c>
      <c r="HA72" t="s">
        <v>1181</v>
      </c>
      <c r="HB72" t="s">
        <v>186</v>
      </c>
      <c r="HC72" s="20" t="s">
        <v>1473</v>
      </c>
      <c r="HD72" s="20" t="e">
        <f>VLOOKUP(AnalizaCzyste[[#This Row],[Rok urodzenia]],KategorieWiekowe[],2,1)</f>
        <v>#N/A</v>
      </c>
      <c r="HE72" t="s">
        <v>141</v>
      </c>
      <c r="HG72" t="s">
        <v>1183</v>
      </c>
    </row>
    <row r="73" spans="1:216" hidden="1" x14ac:dyDescent="0.45">
      <c r="A73">
        <v>126</v>
      </c>
      <c r="B73">
        <f>_xlfn.IFNA(VLOOKUP(AnalizaCzyste[[#This Row],[Zakończono wypełnianie]],Zakończone[],2,0),"BRAK")</f>
        <v>75</v>
      </c>
      <c r="C73">
        <f t="shared" si="2"/>
        <v>33</v>
      </c>
      <c r="D73" t="s">
        <v>1151</v>
      </c>
      <c r="E73" t="s">
        <v>118</v>
      </c>
      <c r="F73" t="s">
        <v>359</v>
      </c>
      <c r="J73" t="s">
        <v>119</v>
      </c>
      <c r="K73" t="s">
        <v>1184</v>
      </c>
      <c r="L73" t="s">
        <v>1185</v>
      </c>
      <c r="M73">
        <v>739</v>
      </c>
      <c r="O73">
        <v>0</v>
      </c>
      <c r="P73" t="s">
        <v>122</v>
      </c>
      <c r="Q73" s="1" t="s">
        <v>123</v>
      </c>
      <c r="AG73" s="1" t="s">
        <v>124</v>
      </c>
      <c r="AH73" t="s">
        <v>191</v>
      </c>
      <c r="AI73" t="str">
        <f>VLOOKUP(AnalizaCzyste[[#This Row],[Jak się nazywa uczelnia którą ukończyłeś? (proszę o wybranie jednej uczelni podlegającej ocenie)]],KategorieUczelni[],2,0)</f>
        <v>Publiczna</v>
      </c>
      <c r="AJ73">
        <v>2018</v>
      </c>
      <c r="AK73" t="s">
        <v>126</v>
      </c>
      <c r="AL73" t="s">
        <v>1186</v>
      </c>
      <c r="AM73" t="s">
        <v>151</v>
      </c>
      <c r="AN73" t="s">
        <v>162</v>
      </c>
      <c r="AO73" t="s">
        <v>169</v>
      </c>
      <c r="AP73" t="s">
        <v>150</v>
      </c>
      <c r="AQ73" t="s">
        <v>132</v>
      </c>
      <c r="AR73" t="s">
        <v>959</v>
      </c>
      <c r="AS73" t="s">
        <v>302</v>
      </c>
      <c r="AT73" t="s">
        <v>226</v>
      </c>
      <c r="AU73" t="s">
        <v>1187</v>
      </c>
      <c r="AV73" t="s">
        <v>1188</v>
      </c>
      <c r="AW73" t="s">
        <v>1189</v>
      </c>
      <c r="AX73" t="s">
        <v>172</v>
      </c>
      <c r="AZ73" s="1" t="s">
        <v>123</v>
      </c>
      <c r="CT73" s="1" t="s">
        <v>123</v>
      </c>
      <c r="DD73" s="1" t="s">
        <v>123</v>
      </c>
      <c r="DN73" s="1" t="s">
        <v>123</v>
      </c>
      <c r="EQ73" s="1" t="s">
        <v>123</v>
      </c>
      <c r="FQ73" s="1" t="s">
        <v>123</v>
      </c>
      <c r="GY73" t="s">
        <v>276</v>
      </c>
      <c r="GZ73" t="s">
        <v>1190</v>
      </c>
      <c r="HA73" t="s">
        <v>1191</v>
      </c>
      <c r="HB73" t="s">
        <v>186</v>
      </c>
      <c r="HC73">
        <v>1991</v>
      </c>
      <c r="HD73" t="str">
        <f>VLOOKUP(AnalizaCzyste[[#This Row],[Rok urodzenia]],KategorieWiekowe[],2,1)</f>
        <v>26-35 lat</v>
      </c>
      <c r="HE73" t="s">
        <v>141</v>
      </c>
    </row>
    <row r="74" spans="1:216" hidden="1" x14ac:dyDescent="0.45">
      <c r="A74">
        <v>127</v>
      </c>
      <c r="B74">
        <f>_xlfn.IFNA(VLOOKUP(AnalizaCzyste[[#This Row],[Zakończono wypełnianie]],Zakończone[],2,0),"BRAK")</f>
        <v>76</v>
      </c>
      <c r="C74">
        <f t="shared" si="2"/>
        <v>44</v>
      </c>
      <c r="D74" t="s">
        <v>1192</v>
      </c>
      <c r="E74" t="s">
        <v>118</v>
      </c>
      <c r="J74" t="s">
        <v>119</v>
      </c>
      <c r="K74" t="s">
        <v>1193</v>
      </c>
      <c r="L74" t="s">
        <v>1194</v>
      </c>
      <c r="M74">
        <v>1676</v>
      </c>
      <c r="O74">
        <v>0</v>
      </c>
      <c r="P74" t="s">
        <v>122</v>
      </c>
      <c r="Q74" s="1" t="s">
        <v>123</v>
      </c>
      <c r="AG74" s="1" t="s">
        <v>124</v>
      </c>
      <c r="AH74" t="s">
        <v>223</v>
      </c>
      <c r="AI74" t="str">
        <f>VLOOKUP(AnalizaCzyste[[#This Row],[Jak się nazywa uczelnia którą ukończyłeś? (proszę o wybranie jednej uczelni podlegającej ocenie)]],KategorieUczelni[],2,0)</f>
        <v>Publiczna</v>
      </c>
      <c r="AJ74">
        <v>1998</v>
      </c>
      <c r="AK74" t="s">
        <v>148</v>
      </c>
      <c r="AL74" t="s">
        <v>1195</v>
      </c>
      <c r="AM74" t="s">
        <v>162</v>
      </c>
      <c r="AN74" t="s">
        <v>151</v>
      </c>
      <c r="AO74" t="s">
        <v>151</v>
      </c>
      <c r="AP74" t="s">
        <v>236</v>
      </c>
      <c r="AQ74" t="s">
        <v>151</v>
      </c>
      <c r="AR74">
        <v>0</v>
      </c>
      <c r="AS74" t="s">
        <v>131</v>
      </c>
      <c r="AT74" t="s">
        <v>302</v>
      </c>
      <c r="AU74" t="s">
        <v>1196</v>
      </c>
      <c r="AV74" t="s">
        <v>1196</v>
      </c>
      <c r="AW74" t="s">
        <v>1197</v>
      </c>
      <c r="AX74" t="s">
        <v>157</v>
      </c>
      <c r="AZ74" s="1" t="s">
        <v>123</v>
      </c>
      <c r="CT74" s="1" t="s">
        <v>123</v>
      </c>
      <c r="DD74" s="1" t="s">
        <v>123</v>
      </c>
      <c r="DN74" s="1" t="s">
        <v>123</v>
      </c>
      <c r="EQ74" s="1" t="s">
        <v>177</v>
      </c>
      <c r="ER74" t="s">
        <v>180</v>
      </c>
      <c r="ES74" t="s">
        <v>132</v>
      </c>
      <c r="ET74" t="s">
        <v>132</v>
      </c>
      <c r="EU74" t="s">
        <v>151</v>
      </c>
      <c r="EV74" t="s">
        <v>151</v>
      </c>
      <c r="EW74" t="s">
        <v>151</v>
      </c>
      <c r="EX74" t="s">
        <v>178</v>
      </c>
      <c r="EY74" t="s">
        <v>132</v>
      </c>
      <c r="EZ74" t="s">
        <v>132</v>
      </c>
      <c r="FA74" t="s">
        <v>173</v>
      </c>
      <c r="FQ74" s="1" t="s">
        <v>123</v>
      </c>
      <c r="GY74" t="s">
        <v>1198</v>
      </c>
      <c r="GZ74" t="s">
        <v>1199</v>
      </c>
      <c r="HA74" t="s">
        <v>1198</v>
      </c>
      <c r="HB74" t="s">
        <v>186</v>
      </c>
      <c r="HC74">
        <v>1974</v>
      </c>
      <c r="HD74" t="str">
        <f>VLOOKUP(AnalizaCzyste[[#This Row],[Rok urodzenia]],KategorieWiekowe[],2,1)</f>
        <v>46-55 lat</v>
      </c>
      <c r="HE74" t="s">
        <v>141</v>
      </c>
      <c r="HF74" t="s">
        <v>313</v>
      </c>
    </row>
    <row r="75" spans="1:216" hidden="1" x14ac:dyDescent="0.45">
      <c r="A75">
        <v>128</v>
      </c>
      <c r="B75">
        <f>_xlfn.IFNA(VLOOKUP(AnalizaCzyste[[#This Row],[Zakończono wypełnianie]],Zakończone[],2,0),"BRAK")</f>
        <v>77</v>
      </c>
      <c r="C75">
        <f t="shared" si="2"/>
        <v>45</v>
      </c>
      <c r="D75" t="s">
        <v>1200</v>
      </c>
      <c r="E75" t="s">
        <v>118</v>
      </c>
      <c r="J75" t="s">
        <v>119</v>
      </c>
      <c r="K75" t="s">
        <v>1201</v>
      </c>
      <c r="L75" t="s">
        <v>1202</v>
      </c>
      <c r="M75">
        <v>658</v>
      </c>
      <c r="O75">
        <v>0</v>
      </c>
      <c r="P75" t="s">
        <v>122</v>
      </c>
      <c r="Q75" s="1" t="s">
        <v>123</v>
      </c>
      <c r="AG75" s="1" t="s">
        <v>123</v>
      </c>
      <c r="AI75" t="e">
        <f>VLOOKUP(AnalizaCzyste[[#This Row],[Jak się nazywa uczelnia którą ukończyłeś? (proszę o wybranie jednej uczelni podlegającej ocenie)]],KategorieUczelni[],2,0)</f>
        <v>#N/A</v>
      </c>
      <c r="AZ75" s="1" t="s">
        <v>123</v>
      </c>
      <c r="CT75" s="1" t="s">
        <v>123</v>
      </c>
      <c r="DD75" s="1" t="s">
        <v>214</v>
      </c>
      <c r="DE75" t="s">
        <v>191</v>
      </c>
      <c r="DF75" t="s">
        <v>308</v>
      </c>
      <c r="DG75" t="s">
        <v>162</v>
      </c>
      <c r="DH75" t="s">
        <v>162</v>
      </c>
      <c r="DI75" t="s">
        <v>150</v>
      </c>
      <c r="DJ75" t="s">
        <v>150</v>
      </c>
      <c r="DK75" t="s">
        <v>150</v>
      </c>
      <c r="DL75" t="s">
        <v>169</v>
      </c>
      <c r="DM75" t="s">
        <v>1203</v>
      </c>
      <c r="DN75" s="1" t="s">
        <v>123</v>
      </c>
      <c r="EQ75" s="1" t="s">
        <v>177</v>
      </c>
      <c r="ER75" t="s">
        <v>178</v>
      </c>
      <c r="ES75">
        <v>2</v>
      </c>
      <c r="ET75" t="s">
        <v>191</v>
      </c>
      <c r="EU75" t="s">
        <v>169</v>
      </c>
      <c r="EV75" t="s">
        <v>169</v>
      </c>
      <c r="EW75" t="s">
        <v>169</v>
      </c>
      <c r="EX75" t="s">
        <v>178</v>
      </c>
      <c r="EY75" t="s">
        <v>1204</v>
      </c>
      <c r="EZ75" t="s">
        <v>1205</v>
      </c>
      <c r="FA75" t="s">
        <v>1206</v>
      </c>
      <c r="FB75" t="s">
        <v>223</v>
      </c>
      <c r="FC75" t="s">
        <v>128</v>
      </c>
      <c r="FD75" t="s">
        <v>236</v>
      </c>
      <c r="FE75" t="s">
        <v>129</v>
      </c>
      <c r="FF75" t="s">
        <v>178</v>
      </c>
      <c r="FG75" t="s">
        <v>960</v>
      </c>
      <c r="FH75" t="s">
        <v>1207</v>
      </c>
      <c r="FI75" t="s">
        <v>173</v>
      </c>
      <c r="FQ75" s="1" t="s">
        <v>123</v>
      </c>
      <c r="GY75" t="s">
        <v>1208</v>
      </c>
      <c r="GZ75" t="s">
        <v>1209</v>
      </c>
      <c r="HA75" t="s">
        <v>1210</v>
      </c>
      <c r="HB75" t="s">
        <v>186</v>
      </c>
      <c r="HC75">
        <v>1987</v>
      </c>
      <c r="HD75" t="str">
        <f>VLOOKUP(AnalizaCzyste[[#This Row],[Rok urodzenia]],KategorieWiekowe[],2,1)</f>
        <v>26-35 lat</v>
      </c>
      <c r="HE75" t="s">
        <v>141</v>
      </c>
      <c r="HG75" t="s">
        <v>191</v>
      </c>
    </row>
    <row r="76" spans="1:216" hidden="1" x14ac:dyDescent="0.45">
      <c r="A76">
        <v>129</v>
      </c>
      <c r="B76">
        <f>_xlfn.IFNA(VLOOKUP(AnalizaCzyste[[#This Row],[Zakończono wypełnianie]],Zakończone[],2,0),"BRAK")</f>
        <v>78</v>
      </c>
      <c r="C76">
        <f t="shared" si="2"/>
        <v>33</v>
      </c>
      <c r="D76" t="s">
        <v>1211</v>
      </c>
      <c r="E76" t="s">
        <v>118</v>
      </c>
      <c r="F76" t="s">
        <v>1152</v>
      </c>
      <c r="J76" t="s">
        <v>119</v>
      </c>
      <c r="K76" t="s">
        <v>1212</v>
      </c>
      <c r="L76" t="s">
        <v>1213</v>
      </c>
      <c r="M76">
        <v>808</v>
      </c>
      <c r="O76">
        <v>0</v>
      </c>
      <c r="P76" t="s">
        <v>122</v>
      </c>
      <c r="Q76" s="1" t="s">
        <v>123</v>
      </c>
      <c r="AG76" s="1" t="s">
        <v>124</v>
      </c>
      <c r="AH76" t="s">
        <v>428</v>
      </c>
      <c r="AI76" t="str">
        <f>VLOOKUP(AnalizaCzyste[[#This Row],[Jak się nazywa uczelnia którą ukończyłeś? (proszę o wybranie jednej uczelni podlegającej ocenie)]],KategorieUczelni[],2,0)</f>
        <v>Publiczna</v>
      </c>
      <c r="AJ76">
        <v>1998</v>
      </c>
      <c r="AK76" t="s">
        <v>148</v>
      </c>
      <c r="AL76" t="s">
        <v>1215</v>
      </c>
      <c r="AM76" t="s">
        <v>150</v>
      </c>
      <c r="AN76" t="s">
        <v>150</v>
      </c>
      <c r="AO76" t="s">
        <v>151</v>
      </c>
      <c r="AP76" t="s">
        <v>129</v>
      </c>
      <c r="AQ76" t="s">
        <v>128</v>
      </c>
      <c r="AR76" t="s">
        <v>1216</v>
      </c>
      <c r="AS76" t="s">
        <v>131</v>
      </c>
      <c r="AT76" t="s">
        <v>131</v>
      </c>
      <c r="AU76" t="s">
        <v>1217</v>
      </c>
      <c r="AV76" t="s">
        <v>1218</v>
      </c>
      <c r="AW76" t="s">
        <v>1219</v>
      </c>
      <c r="AY76" t="s">
        <v>1220</v>
      </c>
      <c r="AZ76" s="1" t="s">
        <v>123</v>
      </c>
      <c r="CT76" s="1" t="s">
        <v>123</v>
      </c>
      <c r="DD76" s="1" t="s">
        <v>123</v>
      </c>
      <c r="DN76" s="1" t="s">
        <v>123</v>
      </c>
      <c r="EQ76" s="1" t="s">
        <v>123</v>
      </c>
      <c r="FQ76" s="1" t="s">
        <v>123</v>
      </c>
      <c r="GY76" t="s">
        <v>1221</v>
      </c>
      <c r="GZ76" t="s">
        <v>1222</v>
      </c>
      <c r="HA76" t="s">
        <v>1223</v>
      </c>
      <c r="HB76" t="s">
        <v>186</v>
      </c>
      <c r="HC76">
        <v>1973</v>
      </c>
      <c r="HD76" t="str">
        <f>VLOOKUP(AnalizaCzyste[[#This Row],[Rok urodzenia]],KategorieWiekowe[],2,1)</f>
        <v>46-55 lat</v>
      </c>
      <c r="HE76" t="s">
        <v>141</v>
      </c>
    </row>
    <row r="77" spans="1:216" hidden="1" x14ac:dyDescent="0.45">
      <c r="A77">
        <v>130</v>
      </c>
      <c r="B77">
        <f>_xlfn.IFNA(VLOOKUP(AnalizaCzyste[[#This Row],[Zakończono wypełnianie]],Zakończone[],2,0),"BRAK")</f>
        <v>79</v>
      </c>
      <c r="C77">
        <f t="shared" si="2"/>
        <v>83</v>
      </c>
      <c r="D77" t="s">
        <v>1224</v>
      </c>
      <c r="E77" t="s">
        <v>118</v>
      </c>
      <c r="F77" t="s">
        <v>797</v>
      </c>
      <c r="J77" t="s">
        <v>119</v>
      </c>
      <c r="K77" t="s">
        <v>1225</v>
      </c>
      <c r="L77" t="s">
        <v>1226</v>
      </c>
      <c r="M77">
        <v>4209</v>
      </c>
      <c r="O77">
        <v>0</v>
      </c>
      <c r="P77" t="s">
        <v>122</v>
      </c>
      <c r="Q77" s="1" t="s">
        <v>123</v>
      </c>
      <c r="AG77" s="1" t="s">
        <v>124</v>
      </c>
      <c r="AH77" t="s">
        <v>2269</v>
      </c>
      <c r="AI77" t="str">
        <f>VLOOKUP(AnalizaCzyste[[#This Row],[Jak się nazywa uczelnia którą ukończyłeś? (proszę o wybranie jednej uczelni podlegającej ocenie)]],KategorieUczelni[],2,0)</f>
        <v>Publiczna</v>
      </c>
      <c r="AJ77">
        <v>1985</v>
      </c>
      <c r="AK77" t="s">
        <v>148</v>
      </c>
      <c r="AL77" t="s">
        <v>391</v>
      </c>
      <c r="AM77" t="s">
        <v>150</v>
      </c>
      <c r="AN77" t="s">
        <v>150</v>
      </c>
      <c r="AO77" t="s">
        <v>169</v>
      </c>
      <c r="AP77" t="s">
        <v>236</v>
      </c>
      <c r="AQ77" t="s">
        <v>236</v>
      </c>
      <c r="AR77">
        <v>0</v>
      </c>
      <c r="AS77" t="s">
        <v>152</v>
      </c>
      <c r="AT77" t="s">
        <v>152</v>
      </c>
      <c r="AU77" t="s">
        <v>1228</v>
      </c>
      <c r="AV77" t="s">
        <v>1229</v>
      </c>
      <c r="AW77" t="s">
        <v>1229</v>
      </c>
      <c r="AX77" t="s">
        <v>157</v>
      </c>
      <c r="AZ77" s="1" t="s">
        <v>159</v>
      </c>
      <c r="BA77">
        <v>2</v>
      </c>
      <c r="BB77" t="s">
        <v>1230</v>
      </c>
      <c r="BC77">
        <v>2005</v>
      </c>
      <c r="BD77" t="s">
        <v>148</v>
      </c>
      <c r="BE77" t="s">
        <v>1231</v>
      </c>
      <c r="BF77" t="s">
        <v>169</v>
      </c>
      <c r="BG77" t="s">
        <v>169</v>
      </c>
      <c r="BH77" t="s">
        <v>169</v>
      </c>
      <c r="BI77" t="s">
        <v>236</v>
      </c>
      <c r="BJ77" t="s">
        <v>236</v>
      </c>
      <c r="BK77">
        <v>0</v>
      </c>
      <c r="BL77" t="s">
        <v>1232</v>
      </c>
      <c r="BM77" t="s">
        <v>157</v>
      </c>
      <c r="BP77" t="s">
        <v>166</v>
      </c>
      <c r="BQ77" t="s">
        <v>1233</v>
      </c>
      <c r="BR77">
        <v>2008</v>
      </c>
      <c r="BS77" t="s">
        <v>148</v>
      </c>
      <c r="BT77" t="s">
        <v>1234</v>
      </c>
      <c r="BU77" t="s">
        <v>169</v>
      </c>
      <c r="BV77" t="s">
        <v>169</v>
      </c>
      <c r="BW77" t="s">
        <v>169</v>
      </c>
      <c r="BX77" t="s">
        <v>128</v>
      </c>
      <c r="BY77" t="s">
        <v>162</v>
      </c>
      <c r="BZ77" t="s">
        <v>1235</v>
      </c>
      <c r="CA77" t="s">
        <v>1236</v>
      </c>
      <c r="CB77" t="s">
        <v>157</v>
      </c>
      <c r="CE77" t="s">
        <v>173</v>
      </c>
      <c r="CT77" s="1" t="s">
        <v>123</v>
      </c>
      <c r="DD77" s="1" t="s">
        <v>123</v>
      </c>
      <c r="DN77" s="1" t="s">
        <v>174</v>
      </c>
      <c r="DO77" t="s">
        <v>394</v>
      </c>
      <c r="DS77" t="s">
        <v>1230</v>
      </c>
      <c r="DT77" t="s">
        <v>150</v>
      </c>
      <c r="DU77" t="s">
        <v>150</v>
      </c>
      <c r="DV77" t="s">
        <v>150</v>
      </c>
      <c r="DW77" t="s">
        <v>150</v>
      </c>
      <c r="DX77" t="s">
        <v>150</v>
      </c>
      <c r="DY77" t="s">
        <v>169</v>
      </c>
      <c r="DZ77" t="s">
        <v>150</v>
      </c>
      <c r="EA77">
        <v>20</v>
      </c>
      <c r="EB77">
        <v>5</v>
      </c>
      <c r="EC77">
        <v>0</v>
      </c>
      <c r="ED77">
        <v>30</v>
      </c>
      <c r="EE77">
        <v>25</v>
      </c>
      <c r="EF77">
        <v>10</v>
      </c>
      <c r="EG77">
        <v>10</v>
      </c>
      <c r="EI77">
        <v>10</v>
      </c>
      <c r="EJ77">
        <v>5</v>
      </c>
      <c r="EK77">
        <v>0</v>
      </c>
      <c r="EL77">
        <v>25</v>
      </c>
      <c r="EM77">
        <v>25</v>
      </c>
      <c r="EN77">
        <v>5</v>
      </c>
      <c r="EO77">
        <v>30</v>
      </c>
      <c r="EQ77" s="1" t="s">
        <v>123</v>
      </c>
      <c r="FQ77" s="1" t="s">
        <v>123</v>
      </c>
      <c r="GY77" t="s">
        <v>1237</v>
      </c>
      <c r="GZ77" t="s">
        <v>1229</v>
      </c>
      <c r="HA77" t="s">
        <v>1229</v>
      </c>
      <c r="HB77" t="s">
        <v>140</v>
      </c>
      <c r="HC77">
        <v>1958</v>
      </c>
      <c r="HD77" t="str">
        <f>VLOOKUP(AnalizaCzyste[[#This Row],[Rok urodzenia]],KategorieWiekowe[],2,1)</f>
        <v>56-65 lat</v>
      </c>
      <c r="HE77" t="s">
        <v>141</v>
      </c>
    </row>
    <row r="78" spans="1:216" hidden="1" x14ac:dyDescent="0.45">
      <c r="A78">
        <v>131</v>
      </c>
      <c r="B78">
        <f>_xlfn.IFNA(VLOOKUP(AnalizaCzyste[[#This Row],[Zakończono wypełnianie]],Zakończone[],2,0),"BRAK")</f>
        <v>80</v>
      </c>
      <c r="C78">
        <f t="shared" si="2"/>
        <v>37</v>
      </c>
      <c r="D78" t="s">
        <v>1238</v>
      </c>
      <c r="E78" t="s">
        <v>118</v>
      </c>
      <c r="J78" t="s">
        <v>119</v>
      </c>
      <c r="K78" t="s">
        <v>1239</v>
      </c>
      <c r="L78" t="s">
        <v>1240</v>
      </c>
      <c r="M78">
        <v>356</v>
      </c>
      <c r="O78">
        <v>0</v>
      </c>
      <c r="P78" t="s">
        <v>122</v>
      </c>
      <c r="Q78" s="1" t="s">
        <v>123</v>
      </c>
      <c r="AG78" s="1" t="s">
        <v>124</v>
      </c>
      <c r="AH78" t="s">
        <v>223</v>
      </c>
      <c r="AI78" t="str">
        <f>VLOOKUP(AnalizaCzyste[[#This Row],[Jak się nazywa uczelnia którą ukończyłeś? (proszę o wybranie jednej uczelni podlegającej ocenie)]],KategorieUczelni[],2,0)</f>
        <v>Publiczna</v>
      </c>
      <c r="AJ78">
        <v>1997</v>
      </c>
      <c r="AK78" t="s">
        <v>148</v>
      </c>
      <c r="AL78" t="s">
        <v>161</v>
      </c>
      <c r="AM78" t="s">
        <v>128</v>
      </c>
      <c r="AN78" t="s">
        <v>128</v>
      </c>
      <c r="AO78" t="s">
        <v>162</v>
      </c>
      <c r="AP78" t="s">
        <v>162</v>
      </c>
      <c r="AQ78" t="s">
        <v>162</v>
      </c>
      <c r="AR78">
        <v>1</v>
      </c>
      <c r="AS78" t="s">
        <v>131</v>
      </c>
      <c r="AT78" t="s">
        <v>131</v>
      </c>
      <c r="AU78" t="s">
        <v>1241</v>
      </c>
      <c r="AV78" t="s">
        <v>1242</v>
      </c>
      <c r="AW78" t="s">
        <v>1243</v>
      </c>
      <c r="AX78" t="s">
        <v>157</v>
      </c>
      <c r="AY78" t="s">
        <v>1244</v>
      </c>
      <c r="AZ78" s="1" t="s">
        <v>123</v>
      </c>
      <c r="CT78" s="1" t="s">
        <v>123</v>
      </c>
      <c r="DD78" s="1" t="s">
        <v>123</v>
      </c>
      <c r="DN78" s="1" t="s">
        <v>123</v>
      </c>
      <c r="EQ78" s="1" t="s">
        <v>123</v>
      </c>
      <c r="ER78" t="s">
        <v>178</v>
      </c>
      <c r="ES78" t="s">
        <v>132</v>
      </c>
      <c r="FQ78" s="1" t="s">
        <v>123</v>
      </c>
      <c r="GY78" t="s">
        <v>1245</v>
      </c>
      <c r="GZ78" t="s">
        <v>1246</v>
      </c>
      <c r="HA78" t="s">
        <v>1247</v>
      </c>
      <c r="HB78" t="s">
        <v>186</v>
      </c>
      <c r="HC78">
        <v>1974</v>
      </c>
      <c r="HD78" t="str">
        <f>VLOOKUP(AnalizaCzyste[[#This Row],[Rok urodzenia]],KategorieWiekowe[],2,1)</f>
        <v>46-55 lat</v>
      </c>
      <c r="HE78" t="s">
        <v>398</v>
      </c>
      <c r="HG78" t="s">
        <v>1248</v>
      </c>
    </row>
    <row r="79" spans="1:216" hidden="1" x14ac:dyDescent="0.45">
      <c r="A79">
        <v>133</v>
      </c>
      <c r="B79">
        <f>_xlfn.IFNA(VLOOKUP(AnalizaCzyste[[#This Row],[Zakończono wypełnianie]],Zakończone[],2,0),"BRAK")</f>
        <v>81</v>
      </c>
      <c r="C79">
        <f t="shared" si="2"/>
        <v>43</v>
      </c>
      <c r="D79" t="s">
        <v>1251</v>
      </c>
      <c r="E79" t="s">
        <v>118</v>
      </c>
      <c r="J79" t="s">
        <v>119</v>
      </c>
      <c r="K79" t="s">
        <v>1252</v>
      </c>
      <c r="L79" t="s">
        <v>1253</v>
      </c>
      <c r="M79">
        <v>367</v>
      </c>
      <c r="O79">
        <v>0</v>
      </c>
      <c r="P79" t="s">
        <v>122</v>
      </c>
      <c r="Q79" s="1" t="s">
        <v>123</v>
      </c>
      <c r="AG79" s="1" t="s">
        <v>124</v>
      </c>
      <c r="AH79" t="s">
        <v>223</v>
      </c>
      <c r="AI79" t="str">
        <f>VLOOKUP(AnalizaCzyste[[#This Row],[Jak się nazywa uczelnia którą ukończyłeś? (proszę o wybranie jednej uczelni podlegającej ocenie)]],KategorieUczelni[],2,0)</f>
        <v>Publiczna</v>
      </c>
      <c r="AJ79">
        <v>2006</v>
      </c>
      <c r="AK79" t="s">
        <v>148</v>
      </c>
      <c r="AL79" t="s">
        <v>1050</v>
      </c>
      <c r="AM79" t="s">
        <v>162</v>
      </c>
      <c r="AN79" t="s">
        <v>162</v>
      </c>
      <c r="AO79" t="s">
        <v>169</v>
      </c>
      <c r="AP79" t="s">
        <v>236</v>
      </c>
      <c r="AQ79" t="s">
        <v>151</v>
      </c>
      <c r="AR79">
        <v>3</v>
      </c>
      <c r="AS79" t="s">
        <v>131</v>
      </c>
      <c r="AT79" t="s">
        <v>302</v>
      </c>
      <c r="AU79" t="s">
        <v>1254</v>
      </c>
      <c r="AV79" t="s">
        <v>1255</v>
      </c>
      <c r="AW79" t="s">
        <v>1256</v>
      </c>
      <c r="AX79" t="s">
        <v>157</v>
      </c>
      <c r="AY79" t="s">
        <v>1257</v>
      </c>
      <c r="AZ79" s="1" t="s">
        <v>123</v>
      </c>
      <c r="CT79" s="1" t="s">
        <v>123</v>
      </c>
      <c r="DD79" s="1" t="s">
        <v>214</v>
      </c>
      <c r="DE79" t="s">
        <v>191</v>
      </c>
      <c r="DF79" t="s">
        <v>308</v>
      </c>
      <c r="DG79" t="s">
        <v>169</v>
      </c>
      <c r="DH79" t="s">
        <v>150</v>
      </c>
      <c r="DI79" t="s">
        <v>150</v>
      </c>
      <c r="DJ79" t="s">
        <v>169</v>
      </c>
      <c r="DK79" t="s">
        <v>162</v>
      </c>
      <c r="DL79" t="s">
        <v>162</v>
      </c>
      <c r="DM79" t="s">
        <v>1258</v>
      </c>
      <c r="DN79" s="1" t="s">
        <v>123</v>
      </c>
      <c r="EQ79" s="1" t="s">
        <v>123</v>
      </c>
      <c r="FQ79" s="1" t="s">
        <v>123</v>
      </c>
      <c r="GY79" t="s">
        <v>1259</v>
      </c>
      <c r="GZ79" t="s">
        <v>1260</v>
      </c>
      <c r="HA79" t="s">
        <v>1261</v>
      </c>
      <c r="HB79" t="s">
        <v>186</v>
      </c>
      <c r="HC79">
        <v>1982</v>
      </c>
      <c r="HD79" t="str">
        <f>VLOOKUP(AnalizaCzyste[[#This Row],[Rok urodzenia]],KategorieWiekowe[],2,1)</f>
        <v>36-45 lat</v>
      </c>
      <c r="HE79" t="s">
        <v>141</v>
      </c>
    </row>
    <row r="80" spans="1:216" hidden="1" x14ac:dyDescent="0.45">
      <c r="A80">
        <v>135</v>
      </c>
      <c r="B80">
        <f>_xlfn.IFNA(VLOOKUP(AnalizaCzyste[[#This Row],[Zakończono wypełnianie]],Zakończone[],2,0),"BRAK")</f>
        <v>82</v>
      </c>
      <c r="C80">
        <f t="shared" si="2"/>
        <v>69</v>
      </c>
      <c r="D80" t="s">
        <v>1264</v>
      </c>
      <c r="E80" t="s">
        <v>118</v>
      </c>
      <c r="F80" t="s">
        <v>1265</v>
      </c>
      <c r="J80" t="s">
        <v>119</v>
      </c>
      <c r="K80" t="s">
        <v>1266</v>
      </c>
      <c r="L80" t="s">
        <v>1267</v>
      </c>
      <c r="M80">
        <v>2127</v>
      </c>
      <c r="O80">
        <v>0</v>
      </c>
      <c r="P80" t="s">
        <v>122</v>
      </c>
      <c r="Q80" s="1" t="s">
        <v>123</v>
      </c>
      <c r="AG80" s="1" t="s">
        <v>124</v>
      </c>
      <c r="AH80" t="s">
        <v>191</v>
      </c>
      <c r="AI80" t="str">
        <f>VLOOKUP(AnalizaCzyste[[#This Row],[Jak się nazywa uczelnia którą ukończyłeś? (proszę o wybranie jednej uczelni podlegającej ocenie)]],KategorieUczelni[],2,0)</f>
        <v>Publiczna</v>
      </c>
      <c r="AJ80">
        <v>1982</v>
      </c>
      <c r="AK80" t="s">
        <v>126</v>
      </c>
      <c r="AL80" t="s">
        <v>1268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>
        <v>0</v>
      </c>
      <c r="AS80" t="s">
        <v>153</v>
      </c>
      <c r="AT80" t="s">
        <v>759</v>
      </c>
      <c r="AU80" t="s">
        <v>1269</v>
      </c>
      <c r="AV80" t="s">
        <v>1270</v>
      </c>
      <c r="AW80" t="s">
        <v>386</v>
      </c>
      <c r="AY80" t="s">
        <v>1271</v>
      </c>
      <c r="AZ80" s="1" t="s">
        <v>159</v>
      </c>
      <c r="BA80">
        <v>1</v>
      </c>
      <c r="BB80" t="s">
        <v>1290</v>
      </c>
      <c r="BC80">
        <v>2011</v>
      </c>
      <c r="BD80" t="s">
        <v>148</v>
      </c>
      <c r="BE80" t="s">
        <v>1050</v>
      </c>
      <c r="BF80" t="s">
        <v>169</v>
      </c>
      <c r="BG80" t="s">
        <v>169</v>
      </c>
      <c r="BH80" t="s">
        <v>169</v>
      </c>
      <c r="BI80" t="s">
        <v>169</v>
      </c>
      <c r="BJ80" t="s">
        <v>169</v>
      </c>
      <c r="BK80" t="s">
        <v>1273</v>
      </c>
      <c r="BL80" t="s">
        <v>1274</v>
      </c>
      <c r="BM80" t="s">
        <v>157</v>
      </c>
      <c r="BO80" t="s">
        <v>1275</v>
      </c>
      <c r="BP80" t="s">
        <v>173</v>
      </c>
      <c r="CT80" s="1" t="s">
        <v>123</v>
      </c>
      <c r="DD80" s="1" t="s">
        <v>214</v>
      </c>
      <c r="DE80" t="s">
        <v>191</v>
      </c>
      <c r="DF80" t="s">
        <v>1276</v>
      </c>
      <c r="DG80" t="s">
        <v>169</v>
      </c>
      <c r="DH80" t="s">
        <v>169</v>
      </c>
      <c r="DI80" t="s">
        <v>169</v>
      </c>
      <c r="DJ80" t="s">
        <v>150</v>
      </c>
      <c r="DK80" t="s">
        <v>169</v>
      </c>
      <c r="DL80" t="s">
        <v>169</v>
      </c>
      <c r="DM80" t="s">
        <v>1277</v>
      </c>
      <c r="DN80" s="1" t="s">
        <v>123</v>
      </c>
      <c r="EQ80" s="1" t="s">
        <v>177</v>
      </c>
      <c r="ER80" t="s">
        <v>178</v>
      </c>
      <c r="ES80">
        <v>1</v>
      </c>
      <c r="ET80" t="s">
        <v>747</v>
      </c>
      <c r="EU80" t="s">
        <v>169</v>
      </c>
      <c r="EV80" t="s">
        <v>169</v>
      </c>
      <c r="EW80" t="s">
        <v>151</v>
      </c>
      <c r="EX80" t="s">
        <v>178</v>
      </c>
      <c r="EY80" t="s">
        <v>1278</v>
      </c>
      <c r="EZ80" t="s">
        <v>1279</v>
      </c>
      <c r="FA80" t="s">
        <v>173</v>
      </c>
      <c r="FQ80" s="1" t="s">
        <v>123</v>
      </c>
      <c r="GY80" t="s">
        <v>1280</v>
      </c>
      <c r="GZ80" t="s">
        <v>1281</v>
      </c>
      <c r="HA80" t="s">
        <v>1282</v>
      </c>
      <c r="HB80" t="s">
        <v>186</v>
      </c>
      <c r="HC80" s="42">
        <v>1956</v>
      </c>
      <c r="HD80" s="42" t="str">
        <f>VLOOKUP(AnalizaCzyste[[#This Row],[Rok urodzenia]],KategorieWiekowe[],2,1)</f>
        <v>56-65 lat</v>
      </c>
      <c r="HE80" t="s">
        <v>398</v>
      </c>
      <c r="HG80" t="s">
        <v>1284</v>
      </c>
      <c r="HH80" t="s">
        <v>1285</v>
      </c>
    </row>
    <row r="81" spans="1:217" hidden="1" x14ac:dyDescent="0.45">
      <c r="A81">
        <v>137</v>
      </c>
      <c r="B81">
        <f>_xlfn.IFNA(VLOOKUP(AnalizaCzyste[[#This Row],[Zakończono wypełnianie]],Zakończone[],2,0),"BRAK")</f>
        <v>83</v>
      </c>
      <c r="C81">
        <f t="shared" si="2"/>
        <v>45</v>
      </c>
      <c r="D81" t="s">
        <v>1142</v>
      </c>
      <c r="E81" t="s">
        <v>118</v>
      </c>
      <c r="J81" t="s">
        <v>119</v>
      </c>
      <c r="K81" t="s">
        <v>1288</v>
      </c>
      <c r="L81" t="s">
        <v>1289</v>
      </c>
      <c r="M81">
        <v>1208727</v>
      </c>
      <c r="O81">
        <v>0</v>
      </c>
      <c r="P81" t="s">
        <v>122</v>
      </c>
      <c r="Q81" s="1" t="s">
        <v>123</v>
      </c>
      <c r="AG81" s="1" t="s">
        <v>124</v>
      </c>
      <c r="AH81" t="s">
        <v>1290</v>
      </c>
      <c r="AI81" t="str">
        <f>VLOOKUP(AnalizaCzyste[[#This Row],[Jak się nazywa uczelnia którą ukończyłeś? (proszę o wybranie jednej uczelni podlegającej ocenie)]],KategorieUczelni[],2,0)</f>
        <v>Niepubliczna</v>
      </c>
      <c r="AJ81">
        <v>2012</v>
      </c>
      <c r="AK81" t="s">
        <v>148</v>
      </c>
      <c r="AL81" t="s">
        <v>1050</v>
      </c>
      <c r="AM81" t="s">
        <v>162</v>
      </c>
      <c r="AN81" t="s">
        <v>151</v>
      </c>
      <c r="AO81" t="s">
        <v>162</v>
      </c>
      <c r="AP81" t="s">
        <v>151</v>
      </c>
      <c r="AQ81" t="s">
        <v>128</v>
      </c>
      <c r="AR81" t="s">
        <v>237</v>
      </c>
      <c r="AS81" t="s">
        <v>132</v>
      </c>
      <c r="AT81" t="s">
        <v>132</v>
      </c>
      <c r="AU81" t="s">
        <v>1291</v>
      </c>
      <c r="AV81" t="s">
        <v>1292</v>
      </c>
      <c r="AW81" t="s">
        <v>1293</v>
      </c>
      <c r="AX81" t="s">
        <v>892</v>
      </c>
      <c r="AZ81" s="1" t="s">
        <v>123</v>
      </c>
      <c r="CT81" s="1" t="s">
        <v>123</v>
      </c>
      <c r="DD81" s="1" t="s">
        <v>123</v>
      </c>
      <c r="DN81" s="1" t="s">
        <v>123</v>
      </c>
      <c r="EQ81" s="1" t="s">
        <v>177</v>
      </c>
      <c r="ER81" t="s">
        <v>178</v>
      </c>
      <c r="ES81" t="s">
        <v>132</v>
      </c>
      <c r="ET81" t="s">
        <v>191</v>
      </c>
      <c r="EU81" t="s">
        <v>162</v>
      </c>
      <c r="EV81" t="s">
        <v>151</v>
      </c>
      <c r="EW81" t="s">
        <v>128</v>
      </c>
      <c r="EX81" t="s">
        <v>178</v>
      </c>
      <c r="EY81" t="s">
        <v>1294</v>
      </c>
      <c r="EZ81" t="s">
        <v>1295</v>
      </c>
      <c r="FA81" t="s">
        <v>173</v>
      </c>
      <c r="FQ81" s="1" t="s">
        <v>123</v>
      </c>
      <c r="GY81" t="s">
        <v>1296</v>
      </c>
      <c r="GZ81" t="s">
        <v>1297</v>
      </c>
      <c r="HA81" t="s">
        <v>1298</v>
      </c>
      <c r="HB81" t="s">
        <v>186</v>
      </c>
      <c r="HC81">
        <v>1987</v>
      </c>
      <c r="HD81" t="str">
        <f>VLOOKUP(AnalizaCzyste[[#This Row],[Rok urodzenia]],KategorieWiekowe[],2,1)</f>
        <v>26-35 lat</v>
      </c>
      <c r="HE81" t="s">
        <v>246</v>
      </c>
      <c r="HG81" t="s">
        <v>1299</v>
      </c>
      <c r="HH81" t="s">
        <v>1300</v>
      </c>
    </row>
    <row r="82" spans="1:217" hidden="1" x14ac:dyDescent="0.45">
      <c r="A82">
        <v>139</v>
      </c>
      <c r="B82">
        <f>_xlfn.IFNA(VLOOKUP(AnalizaCzyste[[#This Row],[Zakończono wypełnianie]],Zakończone[],2,0),"BRAK")</f>
        <v>84</v>
      </c>
      <c r="C82">
        <f t="shared" si="2"/>
        <v>49</v>
      </c>
      <c r="D82" t="s">
        <v>1302</v>
      </c>
      <c r="E82" t="s">
        <v>118</v>
      </c>
      <c r="J82" t="s">
        <v>119</v>
      </c>
      <c r="K82" t="s">
        <v>1303</v>
      </c>
      <c r="L82" t="s">
        <v>1304</v>
      </c>
      <c r="M82">
        <v>558</v>
      </c>
      <c r="O82">
        <v>0</v>
      </c>
      <c r="P82" t="s">
        <v>122</v>
      </c>
      <c r="Q82" s="1" t="s">
        <v>416</v>
      </c>
      <c r="R82" t="s">
        <v>191</v>
      </c>
      <c r="S82" t="s">
        <v>126</v>
      </c>
      <c r="T82" t="s">
        <v>1305</v>
      </c>
      <c r="U82" t="s">
        <v>162</v>
      </c>
      <c r="V82" t="s">
        <v>128</v>
      </c>
      <c r="W82" t="s">
        <v>150</v>
      </c>
      <c r="X82" t="s">
        <v>1306</v>
      </c>
      <c r="Y82" t="s">
        <v>153</v>
      </c>
      <c r="Z82" t="s">
        <v>759</v>
      </c>
      <c r="AA82" t="s">
        <v>1307</v>
      </c>
      <c r="AB82" t="s">
        <v>1308</v>
      </c>
      <c r="AC82" t="s">
        <v>1309</v>
      </c>
      <c r="AD82" t="s">
        <v>230</v>
      </c>
      <c r="AF82">
        <v>2</v>
      </c>
      <c r="AG82" s="1" t="s">
        <v>124</v>
      </c>
      <c r="AH82" t="s">
        <v>191</v>
      </c>
      <c r="AI82" t="str">
        <f>VLOOKUP(AnalizaCzyste[[#This Row],[Jak się nazywa uczelnia którą ukończyłeś? (proszę o wybranie jednej uczelni podlegającej ocenie)]],KategorieUczelni[],2,0)</f>
        <v>Publiczna</v>
      </c>
      <c r="AJ82">
        <v>2015</v>
      </c>
      <c r="AK82" t="s">
        <v>126</v>
      </c>
      <c r="AL82" t="s">
        <v>1312</v>
      </c>
      <c r="AM82" t="s">
        <v>162</v>
      </c>
      <c r="AN82" t="s">
        <v>128</v>
      </c>
      <c r="AO82" t="s">
        <v>162</v>
      </c>
      <c r="AP82" t="s">
        <v>162</v>
      </c>
      <c r="AQ82" t="s">
        <v>162</v>
      </c>
      <c r="AR82" t="s">
        <v>237</v>
      </c>
      <c r="AS82" t="s">
        <v>302</v>
      </c>
      <c r="AT82" t="s">
        <v>153</v>
      </c>
      <c r="AU82" t="s">
        <v>1313</v>
      </c>
      <c r="AV82" t="s">
        <v>1314</v>
      </c>
      <c r="AW82" t="s">
        <v>1315</v>
      </c>
      <c r="AX82" t="s">
        <v>172</v>
      </c>
      <c r="AZ82" s="1" t="s">
        <v>123</v>
      </c>
      <c r="CT82" s="1" t="s">
        <v>123</v>
      </c>
      <c r="DD82" s="1" t="s">
        <v>123</v>
      </c>
      <c r="DN82" s="1" t="s">
        <v>123</v>
      </c>
      <c r="EQ82" s="1" t="s">
        <v>123</v>
      </c>
      <c r="FQ82" s="1" t="s">
        <v>123</v>
      </c>
      <c r="GY82" t="s">
        <v>1316</v>
      </c>
      <c r="GZ82" t="s">
        <v>1317</v>
      </c>
      <c r="HA82" t="s">
        <v>1318</v>
      </c>
      <c r="HB82" t="s">
        <v>186</v>
      </c>
      <c r="HC82">
        <v>1992</v>
      </c>
      <c r="HD82" t="str">
        <f>VLOOKUP(AnalizaCzyste[[#This Row],[Rok urodzenia]],KategorieWiekowe[],2,1)</f>
        <v>26-35 lat</v>
      </c>
      <c r="HE82" t="s">
        <v>398</v>
      </c>
      <c r="HG82" t="s">
        <v>1319</v>
      </c>
      <c r="HH82" t="s">
        <v>1320</v>
      </c>
    </row>
    <row r="83" spans="1:217" hidden="1" x14ac:dyDescent="0.45">
      <c r="A83">
        <v>141</v>
      </c>
      <c r="B83">
        <f>_xlfn.IFNA(VLOOKUP(AnalizaCzyste[[#This Row],[Zakończono wypełnianie]],Zakończone[],2,0),"BRAK")</f>
        <v>85</v>
      </c>
      <c r="C83">
        <f t="shared" si="2"/>
        <v>36</v>
      </c>
      <c r="D83" t="s">
        <v>1322</v>
      </c>
      <c r="E83" t="s">
        <v>118</v>
      </c>
      <c r="J83" t="s">
        <v>119</v>
      </c>
      <c r="K83" t="s">
        <v>1323</v>
      </c>
      <c r="L83" t="s">
        <v>1324</v>
      </c>
      <c r="M83">
        <v>767</v>
      </c>
      <c r="O83">
        <v>0</v>
      </c>
      <c r="P83" t="s">
        <v>122</v>
      </c>
      <c r="Q83" s="1" t="s">
        <v>123</v>
      </c>
      <c r="AG83" s="1" t="s">
        <v>124</v>
      </c>
      <c r="AH83" t="s">
        <v>191</v>
      </c>
      <c r="AI83" t="str">
        <f>VLOOKUP(AnalizaCzyste[[#This Row],[Jak się nazywa uczelnia którą ukończyłeś? (proszę o wybranie jednej uczelni podlegającej ocenie)]],KategorieUczelni[],2,0)</f>
        <v>Publiczna</v>
      </c>
      <c r="AJ83">
        <v>2018</v>
      </c>
      <c r="AK83" t="s">
        <v>126</v>
      </c>
      <c r="AL83" t="s">
        <v>1325</v>
      </c>
      <c r="AM83" t="s">
        <v>150</v>
      </c>
      <c r="AN83" t="s">
        <v>150</v>
      </c>
      <c r="AO83" t="s">
        <v>128</v>
      </c>
      <c r="AP83" t="s">
        <v>236</v>
      </c>
      <c r="AQ83" t="s">
        <v>128</v>
      </c>
      <c r="AR83">
        <v>1</v>
      </c>
      <c r="AS83" t="s">
        <v>302</v>
      </c>
      <c r="AT83" t="s">
        <v>226</v>
      </c>
      <c r="AU83" t="s">
        <v>1326</v>
      </c>
      <c r="AV83" t="s">
        <v>1327</v>
      </c>
      <c r="AW83" t="s">
        <v>1328</v>
      </c>
      <c r="AX83" t="s">
        <v>157</v>
      </c>
      <c r="AZ83" s="1" t="s">
        <v>123</v>
      </c>
      <c r="CT83" s="1" t="s">
        <v>123</v>
      </c>
      <c r="DD83" s="1" t="s">
        <v>123</v>
      </c>
      <c r="DN83" s="1" t="s">
        <v>123</v>
      </c>
      <c r="EQ83" s="1" t="s">
        <v>123</v>
      </c>
      <c r="ER83" t="s">
        <v>180</v>
      </c>
      <c r="FQ83" s="1" t="s">
        <v>123</v>
      </c>
      <c r="GY83" t="s">
        <v>1329</v>
      </c>
      <c r="GZ83" t="s">
        <v>1329</v>
      </c>
      <c r="HA83" t="s">
        <v>132</v>
      </c>
      <c r="HB83" t="s">
        <v>186</v>
      </c>
      <c r="HC83">
        <v>1991</v>
      </c>
      <c r="HD83" t="str">
        <f>VLOOKUP(AnalizaCzyste[[#This Row],[Rok urodzenia]],KategorieWiekowe[],2,1)</f>
        <v>26-35 lat</v>
      </c>
      <c r="HE83" t="s">
        <v>220</v>
      </c>
      <c r="HG83" t="s">
        <v>1330</v>
      </c>
      <c r="HH83" t="s">
        <v>532</v>
      </c>
    </row>
    <row r="84" spans="1:217" hidden="1" x14ac:dyDescent="0.45">
      <c r="A84">
        <v>145</v>
      </c>
      <c r="B84">
        <f>_xlfn.IFNA(VLOOKUP(AnalizaCzyste[[#This Row],[Zakończono wypełnianie]],Zakończone[],2,0),"BRAK")</f>
        <v>86</v>
      </c>
      <c r="C84">
        <f t="shared" si="2"/>
        <v>45</v>
      </c>
      <c r="D84" t="s">
        <v>1336</v>
      </c>
      <c r="E84" t="s">
        <v>118</v>
      </c>
      <c r="J84" t="s">
        <v>119</v>
      </c>
      <c r="K84" t="s">
        <v>1337</v>
      </c>
      <c r="L84" t="s">
        <v>1338</v>
      </c>
      <c r="M84">
        <v>516</v>
      </c>
      <c r="O84">
        <v>0</v>
      </c>
      <c r="P84" t="s">
        <v>122</v>
      </c>
      <c r="Q84" s="1" t="s">
        <v>123</v>
      </c>
      <c r="AG84" s="1" t="s">
        <v>124</v>
      </c>
      <c r="AH84" t="s">
        <v>191</v>
      </c>
      <c r="AI84" t="str">
        <f>VLOOKUP(AnalizaCzyste[[#This Row],[Jak się nazywa uczelnia którą ukończyłeś? (proszę o wybranie jednej uczelni podlegającej ocenie)]],KategorieUczelni[],2,0)</f>
        <v>Publiczna</v>
      </c>
      <c r="AJ84">
        <v>2007</v>
      </c>
      <c r="AK84" t="s">
        <v>126</v>
      </c>
      <c r="AL84" t="s">
        <v>1339</v>
      </c>
      <c r="AM84" t="s">
        <v>162</v>
      </c>
      <c r="AN84" t="s">
        <v>162</v>
      </c>
      <c r="AO84" t="s">
        <v>150</v>
      </c>
      <c r="AP84" t="s">
        <v>169</v>
      </c>
      <c r="AQ84" t="s">
        <v>169</v>
      </c>
      <c r="AR84" t="s">
        <v>1340</v>
      </c>
      <c r="AS84" t="s">
        <v>131</v>
      </c>
      <c r="AT84" t="s">
        <v>759</v>
      </c>
      <c r="AU84" t="s">
        <v>1341</v>
      </c>
      <c r="AV84" t="s">
        <v>1342</v>
      </c>
      <c r="AW84" t="s">
        <v>1343</v>
      </c>
      <c r="AX84" t="s">
        <v>157</v>
      </c>
      <c r="AY84" t="s">
        <v>1344</v>
      </c>
      <c r="AZ84" s="1" t="s">
        <v>123</v>
      </c>
      <c r="CT84" s="1" t="s">
        <v>123</v>
      </c>
      <c r="DD84" s="1" t="s">
        <v>123</v>
      </c>
      <c r="DN84" s="1" t="s">
        <v>123</v>
      </c>
      <c r="EQ84" s="1" t="s">
        <v>177</v>
      </c>
      <c r="ER84" t="s">
        <v>178</v>
      </c>
      <c r="ES84" t="s">
        <v>132</v>
      </c>
      <c r="ET84" t="s">
        <v>191</v>
      </c>
      <c r="EU84" t="s">
        <v>236</v>
      </c>
      <c r="EV84" t="s">
        <v>236</v>
      </c>
      <c r="EW84" t="s">
        <v>151</v>
      </c>
      <c r="EX84" t="s">
        <v>178</v>
      </c>
      <c r="EY84" t="s">
        <v>1345</v>
      </c>
      <c r="EZ84" t="s">
        <v>1346</v>
      </c>
      <c r="FA84" t="s">
        <v>173</v>
      </c>
      <c r="FQ84" s="1" t="s">
        <v>123</v>
      </c>
      <c r="GY84" t="s">
        <v>1347</v>
      </c>
      <c r="GZ84" t="s">
        <v>1348</v>
      </c>
      <c r="HA84" t="s">
        <v>1349</v>
      </c>
      <c r="HB84" t="s">
        <v>186</v>
      </c>
      <c r="HC84">
        <v>1982</v>
      </c>
      <c r="HD84" t="str">
        <f>VLOOKUP(AnalizaCzyste[[#This Row],[Rok urodzenia]],KategorieWiekowe[],2,1)</f>
        <v>36-45 lat</v>
      </c>
      <c r="HE84" t="s">
        <v>141</v>
      </c>
      <c r="HG84" t="s">
        <v>1350</v>
      </c>
    </row>
    <row r="85" spans="1:217" hidden="1" x14ac:dyDescent="0.45">
      <c r="A85">
        <v>149</v>
      </c>
      <c r="B85">
        <f>_xlfn.IFNA(VLOOKUP(AnalizaCzyste[[#This Row],[Zakończono wypełnianie]],Zakończone[],2,0),"BRAK")</f>
        <v>87</v>
      </c>
      <c r="C85">
        <f t="shared" si="2"/>
        <v>34</v>
      </c>
      <c r="D85" t="s">
        <v>1352</v>
      </c>
      <c r="E85" t="s">
        <v>118</v>
      </c>
      <c r="J85" t="s">
        <v>119</v>
      </c>
      <c r="K85" t="s">
        <v>1359</v>
      </c>
      <c r="L85" t="s">
        <v>1360</v>
      </c>
      <c r="M85">
        <v>8266</v>
      </c>
      <c r="O85">
        <v>0</v>
      </c>
      <c r="P85" t="s">
        <v>122</v>
      </c>
      <c r="Q85" s="1" t="s">
        <v>123</v>
      </c>
      <c r="AG85" s="1" t="s">
        <v>124</v>
      </c>
      <c r="AH85" t="s">
        <v>160</v>
      </c>
      <c r="AI85" t="str">
        <f>VLOOKUP(AnalizaCzyste[[#This Row],[Jak się nazywa uczelnia którą ukończyłeś? (proszę o wybranie jednej uczelni podlegającej ocenie)]],KategorieUczelni[],2,0)</f>
        <v>Publiczna</v>
      </c>
      <c r="AJ85">
        <v>2010</v>
      </c>
      <c r="AK85" t="s">
        <v>148</v>
      </c>
      <c r="AL85" t="s">
        <v>1361</v>
      </c>
      <c r="AM85" t="s">
        <v>236</v>
      </c>
      <c r="AN85" t="s">
        <v>150</v>
      </c>
      <c r="AO85" t="s">
        <v>129</v>
      </c>
      <c r="AP85" t="s">
        <v>129</v>
      </c>
      <c r="AQ85" t="s">
        <v>129</v>
      </c>
      <c r="AR85" t="s">
        <v>1362</v>
      </c>
      <c r="AS85" t="s">
        <v>153</v>
      </c>
      <c r="AT85" t="s">
        <v>153</v>
      </c>
      <c r="AU85" t="s">
        <v>1363</v>
      </c>
      <c r="AV85" t="s">
        <v>1364</v>
      </c>
      <c r="AW85" t="s">
        <v>1365</v>
      </c>
      <c r="AX85" t="s">
        <v>157</v>
      </c>
      <c r="AZ85" s="1" t="s">
        <v>123</v>
      </c>
      <c r="CT85" s="1" t="s">
        <v>123</v>
      </c>
      <c r="DD85" s="1" t="s">
        <v>123</v>
      </c>
      <c r="DN85" s="1" t="s">
        <v>123</v>
      </c>
      <c r="EQ85" s="1" t="s">
        <v>123</v>
      </c>
      <c r="FQ85" s="1" t="s">
        <v>123</v>
      </c>
      <c r="GY85" t="s">
        <v>1366</v>
      </c>
      <c r="GZ85" t="s">
        <v>1367</v>
      </c>
      <c r="HA85" t="s">
        <v>532</v>
      </c>
      <c r="HB85" t="s">
        <v>140</v>
      </c>
      <c r="HC85">
        <v>1986</v>
      </c>
      <c r="HD85" t="str">
        <f>VLOOKUP(AnalizaCzyste[[#This Row],[Rok urodzenia]],KategorieWiekowe[],2,1)</f>
        <v>26-35 lat</v>
      </c>
      <c r="HE85" t="s">
        <v>398</v>
      </c>
      <c r="HG85" t="s">
        <v>1368</v>
      </c>
    </row>
    <row r="86" spans="1:217" hidden="1" x14ac:dyDescent="0.45">
      <c r="A86">
        <v>153</v>
      </c>
      <c r="B86">
        <f>_xlfn.IFNA(VLOOKUP(AnalizaCzyste[[#This Row],[Zakończono wypełnianie]],Zakończone[],2,0),"BRAK")</f>
        <v>88</v>
      </c>
      <c r="C86">
        <f t="shared" si="2"/>
        <v>35</v>
      </c>
      <c r="D86" t="s">
        <v>1352</v>
      </c>
      <c r="E86" t="s">
        <v>118</v>
      </c>
      <c r="J86" t="s">
        <v>119</v>
      </c>
      <c r="K86" t="s">
        <v>1376</v>
      </c>
      <c r="L86" t="s">
        <v>1377</v>
      </c>
      <c r="M86">
        <v>352</v>
      </c>
      <c r="O86">
        <v>0</v>
      </c>
      <c r="P86" t="s">
        <v>122</v>
      </c>
      <c r="Q86" s="1" t="s">
        <v>123</v>
      </c>
      <c r="AG86" s="1" t="s">
        <v>124</v>
      </c>
      <c r="AH86" t="s">
        <v>223</v>
      </c>
      <c r="AI86" t="str">
        <f>VLOOKUP(AnalizaCzyste[[#This Row],[Jak się nazywa uczelnia którą ukończyłeś? (proszę o wybranie jednej uczelni podlegającej ocenie)]],KategorieUczelni[],2,0)</f>
        <v>Publiczna</v>
      </c>
      <c r="AJ86">
        <v>2000</v>
      </c>
      <c r="AK86" t="s">
        <v>148</v>
      </c>
      <c r="AL86" t="s">
        <v>161</v>
      </c>
      <c r="AM86" t="s">
        <v>162</v>
      </c>
      <c r="AN86" t="s">
        <v>162</v>
      </c>
      <c r="AO86" t="s">
        <v>150</v>
      </c>
      <c r="AP86" t="s">
        <v>129</v>
      </c>
      <c r="AQ86" t="s">
        <v>128</v>
      </c>
      <c r="AR86">
        <v>5</v>
      </c>
      <c r="AS86" t="s">
        <v>302</v>
      </c>
      <c r="AT86" t="s">
        <v>302</v>
      </c>
      <c r="AU86" t="s">
        <v>1378</v>
      </c>
      <c r="AV86" t="s">
        <v>1379</v>
      </c>
      <c r="AW86" t="s">
        <v>1380</v>
      </c>
      <c r="AX86" t="s">
        <v>172</v>
      </c>
      <c r="AZ86" s="1" t="s">
        <v>123</v>
      </c>
      <c r="CT86" s="1" t="s">
        <v>123</v>
      </c>
      <c r="DD86" s="1" t="s">
        <v>123</v>
      </c>
      <c r="DN86" s="1" t="s">
        <v>123</v>
      </c>
      <c r="EQ86" s="1" t="s">
        <v>123</v>
      </c>
      <c r="FQ86" s="1" t="s">
        <v>123</v>
      </c>
      <c r="GY86" t="s">
        <v>1381</v>
      </c>
      <c r="GZ86" t="s">
        <v>1382</v>
      </c>
      <c r="HA86" t="s">
        <v>1383</v>
      </c>
      <c r="HB86" t="s">
        <v>140</v>
      </c>
      <c r="HC86">
        <v>1982</v>
      </c>
      <c r="HD86" t="str">
        <f>VLOOKUP(AnalizaCzyste[[#This Row],[Rok urodzenia]],KategorieWiekowe[],2,1)</f>
        <v>36-45 lat</v>
      </c>
      <c r="HE86" t="s">
        <v>246</v>
      </c>
      <c r="HG86" t="s">
        <v>386</v>
      </c>
      <c r="HH86" t="s">
        <v>386</v>
      </c>
    </row>
    <row r="87" spans="1:217" hidden="1" x14ac:dyDescent="0.45">
      <c r="A87">
        <v>156</v>
      </c>
      <c r="B87">
        <f>_xlfn.IFNA(VLOOKUP(AnalizaCzyste[[#This Row],[Zakończono wypełnianie]],Zakończone[],2,0),"BRAK")</f>
        <v>90</v>
      </c>
      <c r="C87">
        <f t="shared" si="2"/>
        <v>34</v>
      </c>
      <c r="D87" t="s">
        <v>1142</v>
      </c>
      <c r="E87" t="s">
        <v>118</v>
      </c>
      <c r="J87" t="s">
        <v>119</v>
      </c>
      <c r="K87" t="s">
        <v>1391</v>
      </c>
      <c r="L87" t="s">
        <v>1392</v>
      </c>
      <c r="M87">
        <v>415</v>
      </c>
      <c r="O87">
        <v>0</v>
      </c>
      <c r="P87" t="s">
        <v>122</v>
      </c>
      <c r="Q87" s="1" t="s">
        <v>123</v>
      </c>
      <c r="AG87" s="1" t="s">
        <v>124</v>
      </c>
      <c r="AH87" t="s">
        <v>191</v>
      </c>
      <c r="AI87" t="str">
        <f>VLOOKUP(AnalizaCzyste[[#This Row],[Jak się nazywa uczelnia którą ukończyłeś? (proszę o wybranie jednej uczelni podlegającej ocenie)]],KategorieUczelni[],2,0)</f>
        <v>Publiczna</v>
      </c>
      <c r="AJ87">
        <v>2012</v>
      </c>
      <c r="AK87" t="s">
        <v>126</v>
      </c>
      <c r="AL87" t="s">
        <v>1393</v>
      </c>
      <c r="AM87" t="s">
        <v>162</v>
      </c>
      <c r="AN87" t="s">
        <v>150</v>
      </c>
      <c r="AO87" t="s">
        <v>150</v>
      </c>
      <c r="AP87" t="s">
        <v>236</v>
      </c>
      <c r="AQ87" t="s">
        <v>236</v>
      </c>
      <c r="AR87" t="s">
        <v>1340</v>
      </c>
      <c r="AS87" t="s">
        <v>302</v>
      </c>
      <c r="AT87" t="s">
        <v>153</v>
      </c>
      <c r="AU87" t="s">
        <v>1394</v>
      </c>
      <c r="AV87" t="s">
        <v>1395</v>
      </c>
      <c r="AW87" t="s">
        <v>1396</v>
      </c>
      <c r="AY87" t="s">
        <v>1397</v>
      </c>
      <c r="AZ87" s="1" t="s">
        <v>123</v>
      </c>
      <c r="CT87" s="1" t="s">
        <v>123</v>
      </c>
      <c r="DD87" s="1" t="s">
        <v>123</v>
      </c>
      <c r="DN87" s="1" t="s">
        <v>123</v>
      </c>
      <c r="EQ87" s="1" t="s">
        <v>123</v>
      </c>
      <c r="FQ87" s="1" t="s">
        <v>123</v>
      </c>
      <c r="GY87" t="s">
        <v>1398</v>
      </c>
      <c r="GZ87" t="s">
        <v>1399</v>
      </c>
      <c r="HA87" t="s">
        <v>1400</v>
      </c>
      <c r="HB87" t="s">
        <v>140</v>
      </c>
      <c r="HC87">
        <v>1985</v>
      </c>
      <c r="HD87" t="str">
        <f>VLOOKUP(AnalizaCzyste[[#This Row],[Rok urodzenia]],KategorieWiekowe[],2,1)</f>
        <v>26-35 lat</v>
      </c>
      <c r="HE87" t="s">
        <v>141</v>
      </c>
      <c r="HG87" t="s">
        <v>1401</v>
      </c>
    </row>
    <row r="88" spans="1:217" hidden="1" x14ac:dyDescent="0.45">
      <c r="A88">
        <v>158</v>
      </c>
      <c r="B88">
        <f>_xlfn.IFNA(VLOOKUP(AnalizaCzyste[[#This Row],[Zakończono wypełnianie]],Zakończone[],2,0),"BRAK")</f>
        <v>91</v>
      </c>
      <c r="C88">
        <f t="shared" si="2"/>
        <v>34</v>
      </c>
      <c r="D88" t="s">
        <v>1131</v>
      </c>
      <c r="E88" t="s">
        <v>118</v>
      </c>
      <c r="J88" t="s">
        <v>119</v>
      </c>
      <c r="K88" t="s">
        <v>1403</v>
      </c>
      <c r="L88" t="s">
        <v>1404</v>
      </c>
      <c r="M88">
        <v>325</v>
      </c>
      <c r="O88">
        <v>0</v>
      </c>
      <c r="P88" t="s">
        <v>122</v>
      </c>
      <c r="Q88" s="1" t="s">
        <v>123</v>
      </c>
      <c r="AG88" s="1" t="s">
        <v>124</v>
      </c>
      <c r="AH88" t="s">
        <v>223</v>
      </c>
      <c r="AI88" t="str">
        <f>VLOOKUP(AnalizaCzyste[[#This Row],[Jak się nazywa uczelnia którą ukończyłeś? (proszę o wybranie jednej uczelni podlegającej ocenie)]],KategorieUczelni[],2,0)</f>
        <v>Publiczna</v>
      </c>
      <c r="AJ88">
        <v>2013</v>
      </c>
      <c r="AK88" t="s">
        <v>148</v>
      </c>
      <c r="AL88" t="s">
        <v>958</v>
      </c>
      <c r="AM88" t="s">
        <v>128</v>
      </c>
      <c r="AN88" t="s">
        <v>128</v>
      </c>
      <c r="AO88" t="s">
        <v>162</v>
      </c>
      <c r="AP88" t="s">
        <v>151</v>
      </c>
      <c r="AQ88" t="s">
        <v>151</v>
      </c>
      <c r="AR88">
        <v>3</v>
      </c>
      <c r="AS88" t="s">
        <v>131</v>
      </c>
      <c r="AT88" t="s">
        <v>153</v>
      </c>
      <c r="AU88" t="s">
        <v>1405</v>
      </c>
      <c r="AV88" t="s">
        <v>1406</v>
      </c>
      <c r="AW88" t="s">
        <v>1407</v>
      </c>
      <c r="AX88" t="s">
        <v>157</v>
      </c>
      <c r="AZ88" s="1" t="s">
        <v>123</v>
      </c>
      <c r="CT88" s="1" t="s">
        <v>123</v>
      </c>
      <c r="DD88" s="1" t="s">
        <v>123</v>
      </c>
      <c r="DN88" s="1" t="s">
        <v>123</v>
      </c>
      <c r="EQ88" s="1" t="s">
        <v>123</v>
      </c>
      <c r="FQ88" s="1" t="s">
        <v>123</v>
      </c>
      <c r="GY88" t="s">
        <v>1408</v>
      </c>
      <c r="GZ88" t="s">
        <v>1409</v>
      </c>
      <c r="HA88" t="s">
        <v>1410</v>
      </c>
      <c r="HB88" t="s">
        <v>140</v>
      </c>
      <c r="HC88">
        <v>1984</v>
      </c>
      <c r="HD88" t="str">
        <f>VLOOKUP(AnalizaCzyste[[#This Row],[Rok urodzenia]],KategorieWiekowe[],2,1)</f>
        <v>36-45 lat</v>
      </c>
      <c r="HE88" t="s">
        <v>398</v>
      </c>
      <c r="HG88" t="s">
        <v>1411</v>
      </c>
    </row>
    <row r="89" spans="1:217" hidden="1" x14ac:dyDescent="0.45">
      <c r="A89">
        <v>159</v>
      </c>
      <c r="B89">
        <f>_xlfn.IFNA(VLOOKUP(AnalizaCzyste[[#This Row],[Zakończono wypełnianie]],Zakończone[],2,0),"BRAK")</f>
        <v>92</v>
      </c>
      <c r="C89">
        <f t="shared" si="2"/>
        <v>35</v>
      </c>
      <c r="D89" t="s">
        <v>1412</v>
      </c>
      <c r="E89" t="s">
        <v>118</v>
      </c>
      <c r="J89" t="s">
        <v>119</v>
      </c>
      <c r="K89" t="s">
        <v>1413</v>
      </c>
      <c r="L89" t="s">
        <v>1414</v>
      </c>
      <c r="M89">
        <v>1007</v>
      </c>
      <c r="O89">
        <v>0</v>
      </c>
      <c r="P89" t="s">
        <v>122</v>
      </c>
      <c r="Q89" s="1" t="s">
        <v>123</v>
      </c>
      <c r="AG89" s="1" t="s">
        <v>124</v>
      </c>
      <c r="AH89" t="s">
        <v>1415</v>
      </c>
      <c r="AI89" t="str">
        <f>VLOOKUP(AnalizaCzyste[[#This Row],[Jak się nazywa uczelnia którą ukończyłeś? (proszę o wybranie jednej uczelni podlegającej ocenie)]],KategorieUczelni[],2,0)</f>
        <v>Publiczna</v>
      </c>
      <c r="AJ89">
        <v>2006</v>
      </c>
      <c r="AK89" t="s">
        <v>148</v>
      </c>
      <c r="AL89" t="s">
        <v>263</v>
      </c>
      <c r="AM89" t="s">
        <v>169</v>
      </c>
      <c r="AN89" t="s">
        <v>169</v>
      </c>
      <c r="AO89" t="s">
        <v>169</v>
      </c>
      <c r="AP89" t="s">
        <v>150</v>
      </c>
      <c r="AQ89" t="s">
        <v>169</v>
      </c>
      <c r="AR89" t="s">
        <v>1416</v>
      </c>
      <c r="AS89" t="s">
        <v>131</v>
      </c>
      <c r="AT89" t="s">
        <v>153</v>
      </c>
      <c r="AU89" t="s">
        <v>1417</v>
      </c>
      <c r="AV89" t="s">
        <v>1418</v>
      </c>
      <c r="AW89" t="s">
        <v>1419</v>
      </c>
      <c r="AY89" t="s">
        <v>1420</v>
      </c>
      <c r="AZ89" s="1" t="s">
        <v>123</v>
      </c>
      <c r="CT89" s="1" t="s">
        <v>123</v>
      </c>
      <c r="DD89" s="1" t="s">
        <v>123</v>
      </c>
      <c r="DN89" s="1" t="s">
        <v>123</v>
      </c>
      <c r="EQ89" s="1" t="s">
        <v>123</v>
      </c>
      <c r="FQ89" s="1" t="s">
        <v>123</v>
      </c>
      <c r="GY89" t="s">
        <v>1421</v>
      </c>
      <c r="GZ89" t="s">
        <v>1422</v>
      </c>
      <c r="HA89" t="s">
        <v>142</v>
      </c>
      <c r="HB89" t="s">
        <v>140</v>
      </c>
      <c r="HC89">
        <v>1983</v>
      </c>
      <c r="HD89" t="str">
        <f>VLOOKUP(AnalizaCzyste[[#This Row],[Rok urodzenia]],KategorieWiekowe[],2,1)</f>
        <v>36-45 lat</v>
      </c>
      <c r="HE89" t="s">
        <v>141</v>
      </c>
      <c r="HG89" t="s">
        <v>1423</v>
      </c>
      <c r="HH89" t="s">
        <v>132</v>
      </c>
    </row>
    <row r="90" spans="1:217" hidden="1" x14ac:dyDescent="0.45">
      <c r="A90">
        <v>162</v>
      </c>
      <c r="B90">
        <f>_xlfn.IFNA(VLOOKUP(AnalizaCzyste[[#This Row],[Zakończono wypełnianie]],Zakończone[],2,0),"BRAK")</f>
        <v>93</v>
      </c>
      <c r="C90">
        <f t="shared" si="2"/>
        <v>33</v>
      </c>
      <c r="D90" t="s">
        <v>1352</v>
      </c>
      <c r="E90" t="s">
        <v>118</v>
      </c>
      <c r="J90" t="s">
        <v>119</v>
      </c>
      <c r="K90" t="s">
        <v>1426</v>
      </c>
      <c r="L90" t="s">
        <v>1427</v>
      </c>
      <c r="M90">
        <v>490</v>
      </c>
      <c r="O90">
        <v>0</v>
      </c>
      <c r="P90" t="s">
        <v>122</v>
      </c>
      <c r="Q90" s="1" t="s">
        <v>123</v>
      </c>
      <c r="AG90" s="1" t="s">
        <v>124</v>
      </c>
      <c r="AH90" t="s">
        <v>1415</v>
      </c>
      <c r="AI90" t="str">
        <f>VLOOKUP(AnalizaCzyste[[#This Row],[Jak się nazywa uczelnia którą ukończyłeś? (proszę o wybranie jednej uczelni podlegającej ocenie)]],KategorieUczelni[],2,0)</f>
        <v>Publiczna</v>
      </c>
      <c r="AJ90">
        <v>2006</v>
      </c>
      <c r="AK90" t="s">
        <v>126</v>
      </c>
      <c r="AL90" t="s">
        <v>192</v>
      </c>
      <c r="AM90" t="s">
        <v>150</v>
      </c>
      <c r="AN90" t="s">
        <v>150</v>
      </c>
      <c r="AO90" t="s">
        <v>169</v>
      </c>
      <c r="AP90" t="s">
        <v>150</v>
      </c>
      <c r="AQ90" t="s">
        <v>150</v>
      </c>
      <c r="AR90" t="s">
        <v>237</v>
      </c>
      <c r="AS90" t="s">
        <v>226</v>
      </c>
      <c r="AT90" t="s">
        <v>1428</v>
      </c>
      <c r="AU90" t="s">
        <v>1429</v>
      </c>
      <c r="AV90" t="s">
        <v>1430</v>
      </c>
      <c r="AW90" t="s">
        <v>1431</v>
      </c>
      <c r="AX90" t="s">
        <v>157</v>
      </c>
      <c r="AZ90" s="1" t="s">
        <v>123</v>
      </c>
      <c r="CT90" s="1" t="s">
        <v>123</v>
      </c>
      <c r="DD90" s="1" t="s">
        <v>123</v>
      </c>
      <c r="DN90" s="1" t="s">
        <v>123</v>
      </c>
      <c r="EQ90" s="1" t="s">
        <v>123</v>
      </c>
      <c r="FQ90" s="1" t="s">
        <v>123</v>
      </c>
      <c r="GY90" t="s">
        <v>1432</v>
      </c>
      <c r="GZ90" t="s">
        <v>1433</v>
      </c>
      <c r="HA90" t="s">
        <v>1434</v>
      </c>
      <c r="HB90" t="s">
        <v>186</v>
      </c>
      <c r="HC90">
        <v>1982</v>
      </c>
      <c r="HD90" t="str">
        <f>VLOOKUP(AnalizaCzyste[[#This Row],[Rok urodzenia]],KategorieWiekowe[],2,1)</f>
        <v>36-45 lat</v>
      </c>
      <c r="HE90" t="s">
        <v>141</v>
      </c>
    </row>
    <row r="91" spans="1:217" hidden="1" x14ac:dyDescent="0.45">
      <c r="A91">
        <v>164</v>
      </c>
      <c r="B91">
        <f>_xlfn.IFNA(VLOOKUP(AnalizaCzyste[[#This Row],[Zakończono wypełnianie]],Zakończone[],2,0),"BRAK")</f>
        <v>94</v>
      </c>
      <c r="C91">
        <f t="shared" si="2"/>
        <v>36</v>
      </c>
      <c r="D91" t="s">
        <v>1436</v>
      </c>
      <c r="E91" t="s">
        <v>118</v>
      </c>
      <c r="J91" t="s">
        <v>119</v>
      </c>
      <c r="K91" t="s">
        <v>1437</v>
      </c>
      <c r="L91" t="s">
        <v>1438</v>
      </c>
      <c r="M91">
        <v>880</v>
      </c>
      <c r="O91">
        <v>0</v>
      </c>
      <c r="P91" t="s">
        <v>122</v>
      </c>
      <c r="Q91" s="1" t="s">
        <v>123</v>
      </c>
      <c r="AG91" s="1" t="s">
        <v>124</v>
      </c>
      <c r="AH91" t="s">
        <v>1439</v>
      </c>
      <c r="AI91" t="str">
        <f>VLOOKUP(AnalizaCzyste[[#This Row],[Jak się nazywa uczelnia którą ukończyłeś? (proszę o wybranie jednej uczelni podlegającej ocenie)]],KategorieUczelni[],2,0)</f>
        <v>Niepubliczna</v>
      </c>
      <c r="AJ91">
        <v>2019</v>
      </c>
      <c r="AK91" t="s">
        <v>148</v>
      </c>
      <c r="AL91" t="s">
        <v>1440</v>
      </c>
      <c r="AM91" t="s">
        <v>128</v>
      </c>
      <c r="AN91" t="s">
        <v>128</v>
      </c>
      <c r="AO91" t="s">
        <v>150</v>
      </c>
      <c r="AP91" t="s">
        <v>169</v>
      </c>
      <c r="AQ91" t="s">
        <v>169</v>
      </c>
      <c r="AR91" t="s">
        <v>1441</v>
      </c>
      <c r="AS91" t="s">
        <v>302</v>
      </c>
      <c r="AT91" t="s">
        <v>226</v>
      </c>
      <c r="AU91" t="s">
        <v>1442</v>
      </c>
      <c r="AV91" t="s">
        <v>1443</v>
      </c>
      <c r="AW91" t="s">
        <v>1444</v>
      </c>
      <c r="AX91" t="s">
        <v>230</v>
      </c>
      <c r="AZ91" s="1" t="s">
        <v>123</v>
      </c>
      <c r="CT91" s="1" t="s">
        <v>123</v>
      </c>
      <c r="DD91" s="1" t="s">
        <v>123</v>
      </c>
      <c r="DN91" s="1" t="s">
        <v>123</v>
      </c>
      <c r="EQ91" s="1" t="s">
        <v>123</v>
      </c>
      <c r="ER91" t="s">
        <v>178</v>
      </c>
      <c r="FQ91" s="1" t="s">
        <v>123</v>
      </c>
      <c r="GY91" t="s">
        <v>1445</v>
      </c>
      <c r="GZ91" t="s">
        <v>1446</v>
      </c>
      <c r="HA91" t="s">
        <v>1447</v>
      </c>
      <c r="HB91" t="s">
        <v>140</v>
      </c>
      <c r="HC91">
        <v>1990</v>
      </c>
      <c r="HD91" t="str">
        <f>VLOOKUP(AnalizaCzyste[[#This Row],[Rok urodzenia]],KategorieWiekowe[],2,1)</f>
        <v>26-35 lat</v>
      </c>
      <c r="HE91" t="s">
        <v>398</v>
      </c>
      <c r="HG91" t="s">
        <v>1448</v>
      </c>
      <c r="HH91" t="s">
        <v>1449</v>
      </c>
    </row>
    <row r="92" spans="1:217" hidden="1" x14ac:dyDescent="0.45">
      <c r="A92">
        <v>165</v>
      </c>
      <c r="B92">
        <f>_xlfn.IFNA(VLOOKUP(AnalizaCzyste[[#This Row],[Zakończono wypełnianie]],Zakończone[],2,0),"BRAK")</f>
        <v>95</v>
      </c>
      <c r="C92">
        <f t="shared" si="2"/>
        <v>35</v>
      </c>
      <c r="D92" t="s">
        <v>1352</v>
      </c>
      <c r="E92" t="s">
        <v>118</v>
      </c>
      <c r="J92" t="s">
        <v>119</v>
      </c>
      <c r="K92" t="s">
        <v>1450</v>
      </c>
      <c r="L92" t="s">
        <v>1451</v>
      </c>
      <c r="M92">
        <v>402</v>
      </c>
      <c r="O92">
        <v>0</v>
      </c>
      <c r="P92" t="s">
        <v>122</v>
      </c>
      <c r="Q92" s="1" t="s">
        <v>123</v>
      </c>
      <c r="AG92" s="1" t="s">
        <v>124</v>
      </c>
      <c r="AH92" t="s">
        <v>223</v>
      </c>
      <c r="AI92" t="str">
        <f>VLOOKUP(AnalizaCzyste[[#This Row],[Jak się nazywa uczelnia którą ukończyłeś? (proszę o wybranie jednej uczelni podlegającej ocenie)]],KategorieUczelni[],2,0)</f>
        <v>Publiczna</v>
      </c>
      <c r="AJ92">
        <v>2008</v>
      </c>
      <c r="AK92" t="s">
        <v>148</v>
      </c>
      <c r="AL92" t="s">
        <v>1452</v>
      </c>
      <c r="AM92" t="s">
        <v>128</v>
      </c>
      <c r="AN92" t="s">
        <v>236</v>
      </c>
      <c r="AO92" t="s">
        <v>129</v>
      </c>
      <c r="AP92" t="s">
        <v>129</v>
      </c>
      <c r="AQ92" t="s">
        <v>128</v>
      </c>
      <c r="AR92" t="s">
        <v>237</v>
      </c>
      <c r="AS92" t="s">
        <v>131</v>
      </c>
      <c r="AT92" t="s">
        <v>131</v>
      </c>
      <c r="AU92" t="s">
        <v>1453</v>
      </c>
      <c r="AV92" t="s">
        <v>1454</v>
      </c>
      <c r="AW92" t="s">
        <v>1005</v>
      </c>
      <c r="AX92" t="s">
        <v>157</v>
      </c>
      <c r="AZ92" s="1" t="s">
        <v>123</v>
      </c>
      <c r="CT92" s="1" t="s">
        <v>123</v>
      </c>
      <c r="DD92" s="1" t="s">
        <v>123</v>
      </c>
      <c r="DN92" s="1" t="s">
        <v>123</v>
      </c>
      <c r="EQ92" s="1" t="s">
        <v>123</v>
      </c>
      <c r="FQ92" s="1" t="s">
        <v>123</v>
      </c>
      <c r="GY92" t="s">
        <v>1455</v>
      </c>
      <c r="GZ92" t="s">
        <v>1456</v>
      </c>
      <c r="HA92" t="s">
        <v>1457</v>
      </c>
      <c r="HB92" t="s">
        <v>140</v>
      </c>
      <c r="HC92">
        <v>1984</v>
      </c>
      <c r="HD92" t="str">
        <f>VLOOKUP(AnalizaCzyste[[#This Row],[Rok urodzenia]],KategorieWiekowe[],2,1)</f>
        <v>36-45 lat</v>
      </c>
      <c r="HE92" t="s">
        <v>220</v>
      </c>
      <c r="HG92" t="s">
        <v>386</v>
      </c>
      <c r="HH92" t="s">
        <v>386</v>
      </c>
    </row>
    <row r="93" spans="1:217" hidden="1" x14ac:dyDescent="0.45">
      <c r="A93">
        <v>167</v>
      </c>
      <c r="B93">
        <f>_xlfn.IFNA(VLOOKUP(AnalizaCzyste[[#This Row],[Zakończono wypełnianie]],Zakończone[],2,0),"BRAK")</f>
        <v>96</v>
      </c>
      <c r="C93">
        <f t="shared" si="2"/>
        <v>34</v>
      </c>
      <c r="D93" t="s">
        <v>1131</v>
      </c>
      <c r="E93" t="s">
        <v>118</v>
      </c>
      <c r="J93" t="s">
        <v>119</v>
      </c>
      <c r="K93" t="s">
        <v>1459</v>
      </c>
      <c r="L93" t="s">
        <v>1460</v>
      </c>
      <c r="M93">
        <v>665</v>
      </c>
      <c r="O93">
        <v>0</v>
      </c>
      <c r="P93" t="s">
        <v>122</v>
      </c>
      <c r="Q93" s="1" t="s">
        <v>123</v>
      </c>
      <c r="AG93" s="1" t="s">
        <v>124</v>
      </c>
      <c r="AH93" t="s">
        <v>1461</v>
      </c>
      <c r="AI93" t="str">
        <f>VLOOKUP(AnalizaCzyste[[#This Row],[Jak się nazywa uczelnia którą ukończyłeś? (proszę o wybranie jednej uczelni podlegającej ocenie)]],KategorieUczelni[],2,0)</f>
        <v>Publiczna</v>
      </c>
      <c r="AJ93">
        <v>2007</v>
      </c>
      <c r="AK93" t="s">
        <v>148</v>
      </c>
      <c r="AL93" t="s">
        <v>1462</v>
      </c>
      <c r="AM93" t="s">
        <v>162</v>
      </c>
      <c r="AN93" t="s">
        <v>151</v>
      </c>
      <c r="AO93" t="s">
        <v>151</v>
      </c>
      <c r="AP93" t="s">
        <v>150</v>
      </c>
      <c r="AQ93" t="s">
        <v>128</v>
      </c>
      <c r="AR93">
        <v>2</v>
      </c>
      <c r="AS93" t="s">
        <v>302</v>
      </c>
      <c r="AT93" t="s">
        <v>302</v>
      </c>
      <c r="AU93" t="s">
        <v>1463</v>
      </c>
      <c r="AV93" t="s">
        <v>1464</v>
      </c>
      <c r="AW93" t="s">
        <v>1465</v>
      </c>
      <c r="AX93" t="s">
        <v>157</v>
      </c>
      <c r="AZ93" s="1" t="s">
        <v>123</v>
      </c>
      <c r="CT93" s="1" t="s">
        <v>123</v>
      </c>
      <c r="DD93" s="1" t="s">
        <v>123</v>
      </c>
      <c r="DN93" s="1" t="s">
        <v>123</v>
      </c>
      <c r="EQ93" s="1" t="s">
        <v>123</v>
      </c>
      <c r="FQ93" s="1" t="s">
        <v>123</v>
      </c>
      <c r="GY93" t="s">
        <v>1466</v>
      </c>
      <c r="GZ93" t="s">
        <v>1467</v>
      </c>
      <c r="HA93" t="s">
        <v>1468</v>
      </c>
      <c r="HB93" t="s">
        <v>140</v>
      </c>
      <c r="HC93">
        <v>1982</v>
      </c>
      <c r="HD93" t="str">
        <f>VLOOKUP(AnalizaCzyste[[#This Row],[Rok urodzenia]],KategorieWiekowe[],2,1)</f>
        <v>36-45 lat</v>
      </c>
      <c r="HE93" t="s">
        <v>398</v>
      </c>
      <c r="HG93" t="s">
        <v>1469</v>
      </c>
    </row>
    <row r="94" spans="1:217" hidden="1" x14ac:dyDescent="0.45">
      <c r="A94">
        <v>169</v>
      </c>
      <c r="B94">
        <f>_xlfn.IFNA(VLOOKUP(AnalizaCzyste[[#This Row],[Zakończono wypełnianie]],Zakończone[],2,0),"BRAK")</f>
        <v>97</v>
      </c>
      <c r="C94">
        <f t="shared" si="2"/>
        <v>35</v>
      </c>
      <c r="D94" t="s">
        <v>1352</v>
      </c>
      <c r="E94" t="s">
        <v>118</v>
      </c>
      <c r="J94" t="s">
        <v>119</v>
      </c>
      <c r="K94" t="s">
        <v>1470</v>
      </c>
      <c r="L94" t="s">
        <v>1471</v>
      </c>
      <c r="M94">
        <v>495</v>
      </c>
      <c r="O94">
        <v>0</v>
      </c>
      <c r="P94" t="s">
        <v>122</v>
      </c>
      <c r="Q94" s="1" t="s">
        <v>123</v>
      </c>
      <c r="AG94" s="1" t="s">
        <v>124</v>
      </c>
      <c r="AH94" t="s">
        <v>1472</v>
      </c>
      <c r="AI94" t="str">
        <f>VLOOKUP(AnalizaCzyste[[#This Row],[Jak się nazywa uczelnia którą ukończyłeś? (proszę o wybranie jednej uczelni podlegającej ocenie)]],KategorieUczelni[],2,0)</f>
        <v>Publiczna</v>
      </c>
      <c r="AK94" t="s">
        <v>148</v>
      </c>
      <c r="AL94" t="s">
        <v>1474</v>
      </c>
      <c r="AM94" t="s">
        <v>169</v>
      </c>
      <c r="AN94" t="s">
        <v>169</v>
      </c>
      <c r="AO94" t="s">
        <v>151</v>
      </c>
      <c r="AP94" t="s">
        <v>162</v>
      </c>
      <c r="AQ94" t="s">
        <v>162</v>
      </c>
      <c r="AR94" t="s">
        <v>1475</v>
      </c>
      <c r="AS94" t="s">
        <v>132</v>
      </c>
      <c r="AT94" t="s">
        <v>132</v>
      </c>
      <c r="AU94" t="s">
        <v>1476</v>
      </c>
      <c r="AV94" t="s">
        <v>1477</v>
      </c>
      <c r="AW94" t="s">
        <v>1473</v>
      </c>
      <c r="AX94" t="s">
        <v>157</v>
      </c>
      <c r="AZ94" s="1" t="s">
        <v>123</v>
      </c>
      <c r="CT94" s="1" t="s">
        <v>123</v>
      </c>
      <c r="DD94" s="1" t="s">
        <v>123</v>
      </c>
      <c r="DN94" s="1" t="s">
        <v>123</v>
      </c>
      <c r="EQ94" s="1" t="s">
        <v>123</v>
      </c>
      <c r="FQ94" s="1" t="s">
        <v>123</v>
      </c>
      <c r="GY94" t="s">
        <v>1478</v>
      </c>
      <c r="GZ94" t="s">
        <v>1478</v>
      </c>
      <c r="HA94" t="s">
        <v>1473</v>
      </c>
      <c r="HB94" t="s">
        <v>140</v>
      </c>
      <c r="HC94" t="s">
        <v>1473</v>
      </c>
      <c r="HD94" t="e">
        <f>VLOOKUP(AnalizaCzyste[[#This Row],[Rok urodzenia]],KategorieWiekowe[],2,1)</f>
        <v>#N/A</v>
      </c>
      <c r="HE94" t="s">
        <v>398</v>
      </c>
      <c r="HG94" t="s">
        <v>1479</v>
      </c>
      <c r="HH94" t="s">
        <v>1473</v>
      </c>
      <c r="HI94" t="s">
        <v>1473</v>
      </c>
    </row>
    <row r="95" spans="1:217" hidden="1" x14ac:dyDescent="0.45">
      <c r="A95">
        <v>171</v>
      </c>
      <c r="B95">
        <f>_xlfn.IFNA(VLOOKUP(AnalizaCzyste[[#This Row],[Zakończono wypełnianie]],Zakończone[],2,0),"BRAK")</f>
        <v>98</v>
      </c>
      <c r="C95">
        <f t="shared" si="2"/>
        <v>32</v>
      </c>
      <c r="D95" t="s">
        <v>1336</v>
      </c>
      <c r="E95" t="s">
        <v>118</v>
      </c>
      <c r="J95" t="s">
        <v>119</v>
      </c>
      <c r="K95" t="s">
        <v>1481</v>
      </c>
      <c r="L95" t="s">
        <v>1482</v>
      </c>
      <c r="M95">
        <v>562</v>
      </c>
      <c r="O95">
        <v>0</v>
      </c>
      <c r="P95" t="s">
        <v>122</v>
      </c>
      <c r="Q95" s="1" t="s">
        <v>123</v>
      </c>
      <c r="AG95" s="1" t="s">
        <v>124</v>
      </c>
      <c r="AH95" t="s">
        <v>223</v>
      </c>
      <c r="AI95" t="str">
        <f>VLOOKUP(AnalizaCzyste[[#This Row],[Jak się nazywa uczelnia którą ukończyłeś? (proszę o wybranie jednej uczelni podlegającej ocenie)]],KategorieUczelni[],2,0)</f>
        <v>Publiczna</v>
      </c>
      <c r="AJ95">
        <v>2014</v>
      </c>
      <c r="AK95" t="s">
        <v>148</v>
      </c>
      <c r="AL95" t="s">
        <v>1483</v>
      </c>
      <c r="AM95" t="s">
        <v>151</v>
      </c>
      <c r="AN95" t="s">
        <v>128</v>
      </c>
      <c r="AO95" t="s">
        <v>128</v>
      </c>
      <c r="AP95" t="s">
        <v>151</v>
      </c>
      <c r="AQ95" t="s">
        <v>162</v>
      </c>
      <c r="AR95" t="s">
        <v>1484</v>
      </c>
      <c r="AS95" t="s">
        <v>153</v>
      </c>
      <c r="AT95" t="s">
        <v>153</v>
      </c>
      <c r="AV95" t="s">
        <v>1485</v>
      </c>
      <c r="AW95" t="s">
        <v>1486</v>
      </c>
      <c r="AX95" t="s">
        <v>172</v>
      </c>
      <c r="AZ95" s="1" t="s">
        <v>123</v>
      </c>
      <c r="CT95" s="1" t="s">
        <v>123</v>
      </c>
      <c r="DD95" s="1" t="s">
        <v>123</v>
      </c>
      <c r="DN95" s="1" t="s">
        <v>123</v>
      </c>
      <c r="EQ95" s="1" t="s">
        <v>123</v>
      </c>
      <c r="FQ95" s="1" t="s">
        <v>123</v>
      </c>
      <c r="GY95" t="s">
        <v>1487</v>
      </c>
      <c r="GZ95" t="s">
        <v>1488</v>
      </c>
      <c r="HA95" t="s">
        <v>1489</v>
      </c>
      <c r="HB95" t="s">
        <v>140</v>
      </c>
      <c r="HC95">
        <v>1991</v>
      </c>
      <c r="HD95" t="str">
        <f>VLOOKUP(AnalizaCzyste[[#This Row],[Rok urodzenia]],KategorieWiekowe[],2,1)</f>
        <v>26-35 lat</v>
      </c>
      <c r="HE95" t="s">
        <v>141</v>
      </c>
    </row>
    <row r="96" spans="1:217" hidden="1" x14ac:dyDescent="0.45">
      <c r="A96">
        <v>175</v>
      </c>
      <c r="B96">
        <f>_xlfn.IFNA(VLOOKUP(AnalizaCzyste[[#This Row],[Zakończono wypełnianie]],Zakończone[],2,0),"BRAK")</f>
        <v>99</v>
      </c>
      <c r="C96">
        <f t="shared" si="2"/>
        <v>33</v>
      </c>
      <c r="D96" t="s">
        <v>1131</v>
      </c>
      <c r="E96" t="s">
        <v>118</v>
      </c>
      <c r="J96" t="s">
        <v>119</v>
      </c>
      <c r="K96" t="s">
        <v>1493</v>
      </c>
      <c r="L96" t="s">
        <v>1494</v>
      </c>
      <c r="M96">
        <v>2185</v>
      </c>
      <c r="O96">
        <v>0</v>
      </c>
      <c r="P96" t="s">
        <v>122</v>
      </c>
      <c r="Q96" s="1" t="s">
        <v>123</v>
      </c>
      <c r="AG96" s="1" t="s">
        <v>124</v>
      </c>
      <c r="AH96" t="s">
        <v>223</v>
      </c>
      <c r="AI96" t="str">
        <f>VLOOKUP(AnalizaCzyste[[#This Row],[Jak się nazywa uczelnia którą ukończyłeś? (proszę o wybranie jednej uczelni podlegającej ocenie)]],KategorieUczelni[],2,0)</f>
        <v>Publiczna</v>
      </c>
      <c r="AJ96">
        <v>2005</v>
      </c>
      <c r="AK96" t="s">
        <v>148</v>
      </c>
      <c r="AL96" t="s">
        <v>1495</v>
      </c>
      <c r="AM96" t="s">
        <v>150</v>
      </c>
      <c r="AN96" t="s">
        <v>169</v>
      </c>
      <c r="AO96" t="s">
        <v>169</v>
      </c>
      <c r="AP96" t="s">
        <v>169</v>
      </c>
      <c r="AQ96" t="s">
        <v>150</v>
      </c>
      <c r="AR96" t="s">
        <v>237</v>
      </c>
      <c r="AS96" t="s">
        <v>131</v>
      </c>
      <c r="AT96" t="s">
        <v>302</v>
      </c>
      <c r="AV96" t="s">
        <v>1496</v>
      </c>
      <c r="AW96" t="s">
        <v>386</v>
      </c>
      <c r="AX96" t="s">
        <v>230</v>
      </c>
      <c r="AZ96" s="1" t="s">
        <v>123</v>
      </c>
      <c r="CT96" s="1" t="s">
        <v>123</v>
      </c>
      <c r="DD96" s="1" t="s">
        <v>123</v>
      </c>
      <c r="DN96" s="1" t="s">
        <v>123</v>
      </c>
      <c r="EQ96" s="1" t="s">
        <v>123</v>
      </c>
      <c r="ER96" t="s">
        <v>178</v>
      </c>
      <c r="FQ96" s="1" t="s">
        <v>123</v>
      </c>
      <c r="GY96" t="s">
        <v>1497</v>
      </c>
      <c r="GZ96" t="s">
        <v>1497</v>
      </c>
      <c r="HA96" t="s">
        <v>1497</v>
      </c>
      <c r="HB96" t="s">
        <v>186</v>
      </c>
      <c r="HC96">
        <v>1981</v>
      </c>
      <c r="HD96" t="str">
        <f>VLOOKUP(AnalizaCzyste[[#This Row],[Rok urodzenia]],KategorieWiekowe[],2,1)</f>
        <v>36-45 lat</v>
      </c>
      <c r="HE96" t="s">
        <v>246</v>
      </c>
    </row>
    <row r="97" spans="1:217" hidden="1" x14ac:dyDescent="0.45">
      <c r="A97">
        <v>178</v>
      </c>
      <c r="B97">
        <f>_xlfn.IFNA(VLOOKUP(AnalizaCzyste[[#This Row],[Zakończono wypełnianie]],Zakończone[],2,0),"BRAK")</f>
        <v>100</v>
      </c>
      <c r="C97">
        <f t="shared" si="2"/>
        <v>33</v>
      </c>
      <c r="D97" t="s">
        <v>1131</v>
      </c>
      <c r="E97" t="s">
        <v>118</v>
      </c>
      <c r="J97" t="s">
        <v>119</v>
      </c>
      <c r="K97" t="s">
        <v>1501</v>
      </c>
      <c r="L97" t="s">
        <v>1502</v>
      </c>
      <c r="M97">
        <v>1485</v>
      </c>
      <c r="O97">
        <v>0</v>
      </c>
      <c r="P97" t="s">
        <v>122</v>
      </c>
      <c r="Q97" s="1" t="s">
        <v>123</v>
      </c>
      <c r="AG97" s="1" t="s">
        <v>124</v>
      </c>
      <c r="AH97" t="s">
        <v>1503</v>
      </c>
      <c r="AI97" t="str">
        <f>VLOOKUP(AnalizaCzyste[[#This Row],[Jak się nazywa uczelnia którą ukończyłeś? (proszę o wybranie jednej uczelni podlegającej ocenie)]],KategorieUczelni[],2,0)</f>
        <v>Publiczna</v>
      </c>
      <c r="AJ97">
        <v>2016</v>
      </c>
      <c r="AK97" t="s">
        <v>148</v>
      </c>
      <c r="AL97" t="s">
        <v>1504</v>
      </c>
      <c r="AM97" t="s">
        <v>150</v>
      </c>
      <c r="AN97" t="s">
        <v>151</v>
      </c>
      <c r="AO97" t="s">
        <v>162</v>
      </c>
      <c r="AP97" t="s">
        <v>150</v>
      </c>
      <c r="AQ97" t="s">
        <v>169</v>
      </c>
      <c r="AR97">
        <v>4</v>
      </c>
      <c r="AS97" t="s">
        <v>302</v>
      </c>
      <c r="AT97" t="s">
        <v>153</v>
      </c>
      <c r="AU97" t="s">
        <v>1505</v>
      </c>
      <c r="AV97" t="s">
        <v>1506</v>
      </c>
      <c r="AW97" t="s">
        <v>1507</v>
      </c>
      <c r="AX97" t="s">
        <v>157</v>
      </c>
      <c r="AZ97" s="1" t="s">
        <v>123</v>
      </c>
      <c r="CT97" s="1" t="s">
        <v>123</v>
      </c>
      <c r="DD97" s="1" t="s">
        <v>123</v>
      </c>
      <c r="DN97" s="1" t="s">
        <v>123</v>
      </c>
      <c r="EQ97" s="1" t="s">
        <v>123</v>
      </c>
      <c r="FQ97" s="1" t="s">
        <v>123</v>
      </c>
      <c r="GY97" t="s">
        <v>1508</v>
      </c>
      <c r="GZ97" t="s">
        <v>1509</v>
      </c>
      <c r="HA97" t="s">
        <v>1510</v>
      </c>
      <c r="HB97" t="s">
        <v>186</v>
      </c>
      <c r="HC97">
        <v>1991</v>
      </c>
      <c r="HD97" t="str">
        <f>VLOOKUP(AnalizaCzyste[[#This Row],[Rok urodzenia]],KategorieWiekowe[],2,1)</f>
        <v>26-35 lat</v>
      </c>
      <c r="HE97" t="s">
        <v>398</v>
      </c>
    </row>
    <row r="98" spans="1:217" hidden="1" x14ac:dyDescent="0.45">
      <c r="A98">
        <v>179</v>
      </c>
      <c r="B98">
        <f>_xlfn.IFNA(VLOOKUP(AnalizaCzyste[[#This Row],[Zakończono wypełnianie]],Zakończone[],2,0),"BRAK")</f>
        <v>101</v>
      </c>
      <c r="C98">
        <f t="shared" si="2"/>
        <v>44</v>
      </c>
      <c r="D98" t="s">
        <v>1511</v>
      </c>
      <c r="E98" t="s">
        <v>118</v>
      </c>
      <c r="J98" t="s">
        <v>119</v>
      </c>
      <c r="K98" t="s">
        <v>1512</v>
      </c>
      <c r="L98" t="s">
        <v>1513</v>
      </c>
      <c r="M98">
        <v>2685</v>
      </c>
      <c r="O98">
        <v>0</v>
      </c>
      <c r="P98" t="s">
        <v>122</v>
      </c>
      <c r="Q98" s="1" t="s">
        <v>123</v>
      </c>
      <c r="AG98" s="1" t="s">
        <v>124</v>
      </c>
      <c r="AH98" t="s">
        <v>1514</v>
      </c>
      <c r="AI98" t="str">
        <f>VLOOKUP(AnalizaCzyste[[#This Row],[Jak się nazywa uczelnia którą ukończyłeś? (proszę o wybranie jednej uczelni podlegającej ocenie)]],KategorieUczelni[],2,0)</f>
        <v>Zagraniczna</v>
      </c>
      <c r="AJ98">
        <v>1996</v>
      </c>
      <c r="AK98" t="s">
        <v>148</v>
      </c>
      <c r="AL98" t="s">
        <v>1515</v>
      </c>
      <c r="AM98" t="s">
        <v>162</v>
      </c>
      <c r="AN98" t="s">
        <v>151</v>
      </c>
      <c r="AO98" t="s">
        <v>162</v>
      </c>
      <c r="AP98" t="s">
        <v>162</v>
      </c>
      <c r="AQ98" t="s">
        <v>151</v>
      </c>
      <c r="AR98" t="s">
        <v>1516</v>
      </c>
      <c r="AS98" t="s">
        <v>194</v>
      </c>
      <c r="AT98" t="s">
        <v>194</v>
      </c>
      <c r="AU98" t="s">
        <v>1517</v>
      </c>
      <c r="AV98" t="s">
        <v>1518</v>
      </c>
      <c r="AW98" t="s">
        <v>1519</v>
      </c>
      <c r="AX98" t="s">
        <v>172</v>
      </c>
      <c r="AZ98" s="1" t="s">
        <v>123</v>
      </c>
      <c r="CT98" s="1" t="s">
        <v>123</v>
      </c>
      <c r="DD98" s="1" t="s">
        <v>123</v>
      </c>
      <c r="DN98" s="1" t="s">
        <v>123</v>
      </c>
      <c r="EQ98" s="1" t="s">
        <v>177</v>
      </c>
      <c r="ER98" t="s">
        <v>180</v>
      </c>
      <c r="ES98">
        <v>1</v>
      </c>
      <c r="ET98" t="s">
        <v>1520</v>
      </c>
      <c r="EU98" t="s">
        <v>150</v>
      </c>
      <c r="EV98" t="s">
        <v>162</v>
      </c>
      <c r="EW98" t="s">
        <v>162</v>
      </c>
      <c r="EX98" t="s">
        <v>178</v>
      </c>
      <c r="EY98" t="s">
        <v>1521</v>
      </c>
      <c r="EZ98" t="s">
        <v>1522</v>
      </c>
      <c r="FA98" t="s">
        <v>173</v>
      </c>
      <c r="FQ98" s="1" t="s">
        <v>123</v>
      </c>
      <c r="GY98" t="s">
        <v>1523</v>
      </c>
      <c r="GZ98" t="s">
        <v>1524</v>
      </c>
      <c r="HA98" t="s">
        <v>1525</v>
      </c>
      <c r="HB98" t="s">
        <v>186</v>
      </c>
      <c r="HC98">
        <v>1974</v>
      </c>
      <c r="HD98" t="str">
        <f>VLOOKUP(AnalizaCzyste[[#This Row],[Rok urodzenia]],KategorieWiekowe[],2,1)</f>
        <v>46-55 lat</v>
      </c>
      <c r="HE98" t="s">
        <v>398</v>
      </c>
      <c r="HG98" t="s">
        <v>1526</v>
      </c>
    </row>
    <row r="99" spans="1:217" hidden="1" x14ac:dyDescent="0.45">
      <c r="A99">
        <v>181</v>
      </c>
      <c r="B99">
        <f>_xlfn.IFNA(VLOOKUP(AnalizaCzyste[[#This Row],[Zakończono wypełnianie]],Zakończone[],2,0),"BRAK")</f>
        <v>102</v>
      </c>
      <c r="C99">
        <f t="shared" ref="C99:C135" si="3">COUNTA(P99:HI99)</f>
        <v>35</v>
      </c>
      <c r="D99" t="s">
        <v>1336</v>
      </c>
      <c r="E99" t="s">
        <v>118</v>
      </c>
      <c r="J99" t="s">
        <v>119</v>
      </c>
      <c r="K99" t="s">
        <v>1528</v>
      </c>
      <c r="L99" t="s">
        <v>1529</v>
      </c>
      <c r="M99">
        <v>426</v>
      </c>
      <c r="O99">
        <v>0</v>
      </c>
      <c r="P99" t="s">
        <v>122</v>
      </c>
      <c r="Q99" s="1" t="s">
        <v>416</v>
      </c>
      <c r="R99" t="s">
        <v>1439</v>
      </c>
      <c r="S99" t="s">
        <v>126</v>
      </c>
      <c r="T99" t="s">
        <v>192</v>
      </c>
      <c r="U99" t="s">
        <v>151</v>
      </c>
      <c r="V99" t="s">
        <v>162</v>
      </c>
      <c r="W99" t="s">
        <v>128</v>
      </c>
      <c r="X99" t="s">
        <v>1531</v>
      </c>
      <c r="Y99" t="s">
        <v>194</v>
      </c>
      <c r="Z99" t="s">
        <v>194</v>
      </c>
      <c r="AA99" t="s">
        <v>1532</v>
      </c>
      <c r="AB99" t="s">
        <v>1533</v>
      </c>
      <c r="AC99" t="s">
        <v>1534</v>
      </c>
      <c r="AD99" t="s">
        <v>892</v>
      </c>
      <c r="AF99">
        <v>7</v>
      </c>
      <c r="AG99" s="1" t="s">
        <v>123</v>
      </c>
      <c r="AI99" t="e">
        <f>VLOOKUP(AnalizaCzyste[[#This Row],[Jak się nazywa uczelnia którą ukończyłeś? (proszę o wybranie jednej uczelni podlegającej ocenie)]],KategorieUczelni[],2,0)</f>
        <v>#N/A</v>
      </c>
      <c r="AZ99" s="1" t="s">
        <v>123</v>
      </c>
      <c r="CT99" s="1" t="s">
        <v>123</v>
      </c>
      <c r="DD99" s="1" t="s">
        <v>123</v>
      </c>
      <c r="DN99" s="1" t="s">
        <v>123</v>
      </c>
      <c r="EQ99" s="1" t="s">
        <v>123</v>
      </c>
      <c r="ER99" t="s">
        <v>178</v>
      </c>
      <c r="ES99" t="s">
        <v>132</v>
      </c>
      <c r="FQ99" s="1" t="s">
        <v>123</v>
      </c>
      <c r="GY99" t="s">
        <v>1535</v>
      </c>
      <c r="GZ99" t="s">
        <v>1536</v>
      </c>
      <c r="HA99" t="s">
        <v>1537</v>
      </c>
      <c r="HB99" t="s">
        <v>140</v>
      </c>
      <c r="HC99">
        <v>1991</v>
      </c>
      <c r="HD99" t="str">
        <f>VLOOKUP(AnalizaCzyste[[#This Row],[Rok urodzenia]],KategorieWiekowe[],2,1)</f>
        <v>26-35 lat</v>
      </c>
      <c r="HE99" t="s">
        <v>141</v>
      </c>
      <c r="HG99" t="s">
        <v>1538</v>
      </c>
      <c r="HH99" t="s">
        <v>1539</v>
      </c>
    </row>
    <row r="100" spans="1:217" hidden="1" x14ac:dyDescent="0.45">
      <c r="A100">
        <v>182</v>
      </c>
      <c r="B100">
        <f>_xlfn.IFNA(VLOOKUP(AnalizaCzyste[[#This Row],[Zakończono wypełnianie]],Zakończone[],2,0),"BRAK")</f>
        <v>103</v>
      </c>
      <c r="C100">
        <f t="shared" si="3"/>
        <v>35</v>
      </c>
      <c r="D100" t="s">
        <v>1540</v>
      </c>
      <c r="E100" t="s">
        <v>118</v>
      </c>
      <c r="J100" t="s">
        <v>119</v>
      </c>
      <c r="K100" t="s">
        <v>1541</v>
      </c>
      <c r="L100" t="s">
        <v>1542</v>
      </c>
      <c r="M100">
        <v>193</v>
      </c>
      <c r="O100">
        <v>0</v>
      </c>
      <c r="P100" t="s">
        <v>122</v>
      </c>
      <c r="Q100" s="1" t="s">
        <v>123</v>
      </c>
      <c r="AG100" s="1" t="s">
        <v>124</v>
      </c>
      <c r="AH100" t="s">
        <v>191</v>
      </c>
      <c r="AI100" t="str">
        <f>VLOOKUP(AnalizaCzyste[[#This Row],[Jak się nazywa uczelnia którą ukończyłeś? (proszę o wybranie jednej uczelni podlegającej ocenie)]],KategorieUczelni[],2,0)</f>
        <v>Publiczna</v>
      </c>
      <c r="AJ100">
        <v>2013</v>
      </c>
      <c r="AK100" t="s">
        <v>126</v>
      </c>
      <c r="AL100" t="s">
        <v>1544</v>
      </c>
      <c r="AM100" t="s">
        <v>236</v>
      </c>
      <c r="AN100" t="s">
        <v>236</v>
      </c>
      <c r="AO100" t="s">
        <v>162</v>
      </c>
      <c r="AP100" t="s">
        <v>236</v>
      </c>
      <c r="AQ100" t="s">
        <v>236</v>
      </c>
      <c r="AR100">
        <v>1</v>
      </c>
      <c r="AS100" t="s">
        <v>131</v>
      </c>
      <c r="AT100" t="s">
        <v>302</v>
      </c>
      <c r="AV100" t="s">
        <v>267</v>
      </c>
      <c r="AW100" t="s">
        <v>267</v>
      </c>
      <c r="AX100" t="s">
        <v>157</v>
      </c>
      <c r="AZ100" s="1" t="s">
        <v>123</v>
      </c>
      <c r="CT100" s="1" t="s">
        <v>123</v>
      </c>
      <c r="DD100" s="1" t="s">
        <v>123</v>
      </c>
      <c r="DN100" s="1" t="s">
        <v>123</v>
      </c>
      <c r="EQ100" s="1" t="s">
        <v>123</v>
      </c>
      <c r="FQ100" s="1" t="s">
        <v>123</v>
      </c>
      <c r="GY100" t="s">
        <v>267</v>
      </c>
      <c r="GZ100" t="s">
        <v>267</v>
      </c>
      <c r="HA100" t="s">
        <v>267</v>
      </c>
      <c r="HB100" t="s">
        <v>186</v>
      </c>
      <c r="HC100">
        <v>1989</v>
      </c>
      <c r="HD100" t="str">
        <f>VLOOKUP(AnalizaCzyste[[#This Row],[Rok urodzenia]],KategorieWiekowe[],2,1)</f>
        <v>26-35 lat</v>
      </c>
      <c r="HE100" t="s">
        <v>141</v>
      </c>
      <c r="HG100" t="s">
        <v>267</v>
      </c>
      <c r="HH100" t="s">
        <v>267</v>
      </c>
      <c r="HI100" t="s">
        <v>267</v>
      </c>
    </row>
    <row r="101" spans="1:217" hidden="1" x14ac:dyDescent="0.45">
      <c r="A101">
        <v>183</v>
      </c>
      <c r="B101">
        <f>_xlfn.IFNA(VLOOKUP(AnalizaCzyste[[#This Row],[Zakończono wypełnianie]],Zakończone[],2,0),"BRAK")</f>
        <v>104</v>
      </c>
      <c r="C101">
        <f t="shared" si="3"/>
        <v>34</v>
      </c>
      <c r="D101" t="s">
        <v>1545</v>
      </c>
      <c r="E101" t="s">
        <v>118</v>
      </c>
      <c r="J101" t="s">
        <v>119</v>
      </c>
      <c r="K101" t="s">
        <v>1546</v>
      </c>
      <c r="L101" t="s">
        <v>1547</v>
      </c>
      <c r="M101">
        <v>1556</v>
      </c>
      <c r="O101">
        <v>0</v>
      </c>
      <c r="P101" t="s">
        <v>122</v>
      </c>
      <c r="Q101" s="1" t="s">
        <v>123</v>
      </c>
      <c r="AG101" s="1" t="s">
        <v>124</v>
      </c>
      <c r="AH101" t="s">
        <v>191</v>
      </c>
      <c r="AI101" t="str">
        <f>VLOOKUP(AnalizaCzyste[[#This Row],[Jak się nazywa uczelnia którą ukończyłeś? (proszę o wybranie jednej uczelni podlegającej ocenie)]],KategorieUczelni[],2,0)</f>
        <v>Publiczna</v>
      </c>
      <c r="AJ101">
        <v>2018</v>
      </c>
      <c r="AK101" t="s">
        <v>126</v>
      </c>
      <c r="AL101" t="s">
        <v>192</v>
      </c>
      <c r="AM101" t="s">
        <v>150</v>
      </c>
      <c r="AN101" t="s">
        <v>162</v>
      </c>
      <c r="AO101" t="s">
        <v>150</v>
      </c>
      <c r="AP101" t="s">
        <v>162</v>
      </c>
      <c r="AQ101" t="s">
        <v>169</v>
      </c>
      <c r="AR101" t="s">
        <v>237</v>
      </c>
      <c r="AS101" t="s">
        <v>153</v>
      </c>
      <c r="AT101" t="s">
        <v>209</v>
      </c>
      <c r="AU101" t="s">
        <v>1548</v>
      </c>
      <c r="AV101" t="s">
        <v>1549</v>
      </c>
      <c r="AW101" t="s">
        <v>1550</v>
      </c>
      <c r="AX101" t="s">
        <v>230</v>
      </c>
      <c r="AZ101" s="1" t="s">
        <v>123</v>
      </c>
      <c r="CT101" s="1" t="s">
        <v>123</v>
      </c>
      <c r="DD101" s="1" t="s">
        <v>123</v>
      </c>
      <c r="DN101" s="1" t="s">
        <v>123</v>
      </c>
      <c r="EQ101" s="1" t="s">
        <v>123</v>
      </c>
      <c r="FQ101" s="1" t="s">
        <v>123</v>
      </c>
      <c r="GY101" t="s">
        <v>1551</v>
      </c>
      <c r="GZ101" t="s">
        <v>1552</v>
      </c>
      <c r="HA101" t="s">
        <v>1553</v>
      </c>
      <c r="HB101" t="s">
        <v>186</v>
      </c>
      <c r="HC101">
        <v>1994</v>
      </c>
      <c r="HD101" t="str">
        <f>VLOOKUP(AnalizaCzyste[[#This Row],[Rok urodzenia]],KategorieWiekowe[],2,1)</f>
        <v>26-35 lat</v>
      </c>
      <c r="HE101" t="s">
        <v>483</v>
      </c>
      <c r="HG101" t="s">
        <v>1554</v>
      </c>
    </row>
    <row r="102" spans="1:217" hidden="1" x14ac:dyDescent="0.45">
      <c r="A102">
        <v>184</v>
      </c>
      <c r="B102">
        <f>_xlfn.IFNA(VLOOKUP(AnalizaCzyste[[#This Row],[Zakończono wypełnianie]],Zakończone[],2,0),"BRAK")</f>
        <v>105</v>
      </c>
      <c r="C102">
        <f t="shared" si="3"/>
        <v>35</v>
      </c>
      <c r="D102" t="s">
        <v>1555</v>
      </c>
      <c r="E102" t="s">
        <v>118</v>
      </c>
      <c r="J102" t="s">
        <v>119</v>
      </c>
      <c r="K102" t="s">
        <v>1556</v>
      </c>
      <c r="L102" t="s">
        <v>1557</v>
      </c>
      <c r="M102">
        <v>1119</v>
      </c>
      <c r="O102">
        <v>0</v>
      </c>
      <c r="P102" t="s">
        <v>122</v>
      </c>
      <c r="Q102" s="1" t="s">
        <v>123</v>
      </c>
      <c r="AG102" s="1" t="s">
        <v>124</v>
      </c>
      <c r="AH102" t="s">
        <v>191</v>
      </c>
      <c r="AI102" t="str">
        <f>VLOOKUP(AnalizaCzyste[[#This Row],[Jak się nazywa uczelnia którą ukończyłeś? (proszę o wybranie jednej uczelni podlegającej ocenie)]],KategorieUczelni[],2,0)</f>
        <v>Publiczna</v>
      </c>
      <c r="AJ102">
        <v>1997</v>
      </c>
      <c r="AK102" t="s">
        <v>126</v>
      </c>
      <c r="AL102" t="s">
        <v>1558</v>
      </c>
      <c r="AM102" t="s">
        <v>150</v>
      </c>
      <c r="AN102" t="s">
        <v>150</v>
      </c>
      <c r="AO102" t="s">
        <v>150</v>
      </c>
      <c r="AP102" t="s">
        <v>150</v>
      </c>
      <c r="AQ102" t="s">
        <v>150</v>
      </c>
      <c r="AR102" t="s">
        <v>1559</v>
      </c>
      <c r="AS102" t="s">
        <v>132</v>
      </c>
      <c r="AT102" t="s">
        <v>132</v>
      </c>
      <c r="AU102" t="s">
        <v>1560</v>
      </c>
      <c r="AV102" t="s">
        <v>1561</v>
      </c>
      <c r="AW102" t="s">
        <v>1562</v>
      </c>
      <c r="AX102" t="s">
        <v>172</v>
      </c>
      <c r="AZ102" s="1" t="s">
        <v>123</v>
      </c>
      <c r="CT102" s="1" t="s">
        <v>123</v>
      </c>
      <c r="DD102" s="1" t="s">
        <v>123</v>
      </c>
      <c r="DN102" s="1" t="s">
        <v>123</v>
      </c>
      <c r="EQ102" s="1" t="s">
        <v>123</v>
      </c>
      <c r="FQ102" s="1" t="s">
        <v>123</v>
      </c>
      <c r="GY102" t="s">
        <v>1563</v>
      </c>
      <c r="GZ102" t="s">
        <v>1564</v>
      </c>
      <c r="HA102" t="s">
        <v>1565</v>
      </c>
      <c r="HB102" t="s">
        <v>186</v>
      </c>
      <c r="HC102">
        <v>1972</v>
      </c>
      <c r="HD102" t="str">
        <f>VLOOKUP(AnalizaCzyste[[#This Row],[Rok urodzenia]],KategorieWiekowe[],2,1)</f>
        <v>46-55 lat</v>
      </c>
      <c r="HE102" t="s">
        <v>483</v>
      </c>
      <c r="HG102" t="s">
        <v>1566</v>
      </c>
      <c r="HH102" t="s">
        <v>142</v>
      </c>
    </row>
    <row r="103" spans="1:217" hidden="1" x14ac:dyDescent="0.45">
      <c r="A103">
        <v>187</v>
      </c>
      <c r="B103">
        <f>_xlfn.IFNA(VLOOKUP(AnalizaCzyste[[#This Row],[Zakończono wypełnianie]],Zakończone[],2,0),"BRAK")</f>
        <v>106</v>
      </c>
      <c r="C103">
        <f t="shared" si="3"/>
        <v>35</v>
      </c>
      <c r="D103" t="s">
        <v>1574</v>
      </c>
      <c r="E103" t="s">
        <v>118</v>
      </c>
      <c r="J103" t="s">
        <v>119</v>
      </c>
      <c r="K103" t="s">
        <v>1575</v>
      </c>
      <c r="L103" t="s">
        <v>1576</v>
      </c>
      <c r="M103">
        <v>701</v>
      </c>
      <c r="O103">
        <v>0</v>
      </c>
      <c r="P103" t="s">
        <v>122</v>
      </c>
      <c r="Q103" s="1" t="s">
        <v>123</v>
      </c>
      <c r="AG103" s="1" t="s">
        <v>124</v>
      </c>
      <c r="AH103" t="s">
        <v>191</v>
      </c>
      <c r="AI103" t="str">
        <f>VLOOKUP(AnalizaCzyste[[#This Row],[Jak się nazywa uczelnia którą ukończyłeś? (proszę o wybranie jednej uczelni podlegającej ocenie)]],KategorieUczelni[],2,0)</f>
        <v>Publiczna</v>
      </c>
      <c r="AJ103" s="42">
        <v>2009</v>
      </c>
      <c r="AK103" t="s">
        <v>126</v>
      </c>
      <c r="AL103" t="s">
        <v>1578</v>
      </c>
      <c r="AM103" t="s">
        <v>162</v>
      </c>
      <c r="AN103" t="s">
        <v>162</v>
      </c>
      <c r="AO103" t="s">
        <v>151</v>
      </c>
      <c r="AP103" t="s">
        <v>162</v>
      </c>
      <c r="AQ103" t="s">
        <v>151</v>
      </c>
      <c r="AR103" t="s">
        <v>530</v>
      </c>
      <c r="AS103" t="s">
        <v>302</v>
      </c>
      <c r="AT103" t="s">
        <v>302</v>
      </c>
      <c r="AV103" t="s">
        <v>1579</v>
      </c>
      <c r="AW103" t="s">
        <v>1580</v>
      </c>
      <c r="AX103" t="s">
        <v>157</v>
      </c>
      <c r="AY103" t="s">
        <v>1581</v>
      </c>
      <c r="AZ103" s="1" t="s">
        <v>123</v>
      </c>
      <c r="CT103" s="1" t="s">
        <v>123</v>
      </c>
      <c r="DD103" s="1" t="s">
        <v>123</v>
      </c>
      <c r="DN103" s="1" t="s">
        <v>123</v>
      </c>
      <c r="EQ103" s="1" t="s">
        <v>123</v>
      </c>
      <c r="FQ103" s="1" t="s">
        <v>123</v>
      </c>
      <c r="GY103" t="s">
        <v>1582</v>
      </c>
      <c r="GZ103" t="s">
        <v>1583</v>
      </c>
      <c r="HA103" t="s">
        <v>1584</v>
      </c>
      <c r="HB103" t="s">
        <v>140</v>
      </c>
      <c r="HC103">
        <v>1985</v>
      </c>
      <c r="HD103" t="str">
        <f>VLOOKUP(AnalizaCzyste[[#This Row],[Rok urodzenia]],KategorieWiekowe[],2,1)</f>
        <v>26-35 lat</v>
      </c>
      <c r="HE103" t="s">
        <v>220</v>
      </c>
      <c r="HG103" t="s">
        <v>1585</v>
      </c>
      <c r="HH103" t="s">
        <v>1586</v>
      </c>
    </row>
    <row r="104" spans="1:217" hidden="1" x14ac:dyDescent="0.45">
      <c r="A104">
        <v>188</v>
      </c>
      <c r="B104">
        <f>_xlfn.IFNA(VLOOKUP(AnalizaCzyste[[#This Row],[Zakończono wypełnianie]],Zakończone[],2,0),"BRAK")</f>
        <v>107</v>
      </c>
      <c r="C104">
        <f t="shared" si="3"/>
        <v>68</v>
      </c>
      <c r="D104" t="s">
        <v>1587</v>
      </c>
      <c r="E104" t="s">
        <v>118</v>
      </c>
      <c r="J104" t="s">
        <v>119</v>
      </c>
      <c r="K104" t="s">
        <v>1588</v>
      </c>
      <c r="L104" t="s">
        <v>1589</v>
      </c>
      <c r="M104">
        <v>1788</v>
      </c>
      <c r="O104">
        <v>0</v>
      </c>
      <c r="P104" t="s">
        <v>122</v>
      </c>
      <c r="Q104" s="1" t="s">
        <v>123</v>
      </c>
      <c r="AG104" s="1" t="s">
        <v>124</v>
      </c>
      <c r="AH104" t="s">
        <v>191</v>
      </c>
      <c r="AI104" t="str">
        <f>VLOOKUP(AnalizaCzyste[[#This Row],[Jak się nazywa uczelnia którą ukończyłeś? (proszę o wybranie jednej uczelni podlegającej ocenie)]],KategorieUczelni[],2,0)</f>
        <v>Publiczna</v>
      </c>
      <c r="AJ104">
        <v>1983</v>
      </c>
      <c r="AK104" t="s">
        <v>126</v>
      </c>
      <c r="AL104" t="s">
        <v>1590</v>
      </c>
      <c r="AM104" t="s">
        <v>150</v>
      </c>
      <c r="AN104" t="s">
        <v>150</v>
      </c>
      <c r="AO104" t="s">
        <v>236</v>
      </c>
      <c r="AP104" t="s">
        <v>129</v>
      </c>
      <c r="AQ104" t="s">
        <v>162</v>
      </c>
      <c r="AR104">
        <v>36</v>
      </c>
      <c r="AS104" t="s">
        <v>132</v>
      </c>
      <c r="AT104" t="s">
        <v>132</v>
      </c>
      <c r="AU104" t="s">
        <v>1591</v>
      </c>
      <c r="AV104" t="s">
        <v>1592</v>
      </c>
      <c r="AW104" t="s">
        <v>1593</v>
      </c>
      <c r="AX104" t="s">
        <v>172</v>
      </c>
      <c r="AZ104" s="1" t="s">
        <v>159</v>
      </c>
      <c r="BA104">
        <v>3</v>
      </c>
      <c r="BB104" t="s">
        <v>191</v>
      </c>
      <c r="BC104">
        <v>2019</v>
      </c>
      <c r="BD104" t="s">
        <v>126</v>
      </c>
      <c r="BE104" t="s">
        <v>1594</v>
      </c>
      <c r="BF104" t="s">
        <v>236</v>
      </c>
      <c r="BG104" t="s">
        <v>128</v>
      </c>
      <c r="BH104" t="s">
        <v>162</v>
      </c>
      <c r="BI104" t="s">
        <v>151</v>
      </c>
      <c r="BJ104" t="s">
        <v>132</v>
      </c>
      <c r="BK104" t="s">
        <v>1595</v>
      </c>
      <c r="BL104" t="s">
        <v>1596</v>
      </c>
      <c r="BM104" t="s">
        <v>157</v>
      </c>
      <c r="BP104" t="s">
        <v>173</v>
      </c>
      <c r="CT104" s="1" t="s">
        <v>123</v>
      </c>
      <c r="DD104" s="1" t="s">
        <v>123</v>
      </c>
      <c r="DN104" s="1" t="s">
        <v>123</v>
      </c>
      <c r="EQ104" s="1" t="s">
        <v>177</v>
      </c>
      <c r="ER104" t="s">
        <v>178</v>
      </c>
      <c r="ES104">
        <v>2</v>
      </c>
      <c r="ET104" t="s">
        <v>747</v>
      </c>
      <c r="EU104" t="s">
        <v>236</v>
      </c>
      <c r="EV104" t="s">
        <v>236</v>
      </c>
      <c r="EW104" t="s">
        <v>128</v>
      </c>
      <c r="EX104" t="s">
        <v>178</v>
      </c>
      <c r="EY104" t="s">
        <v>1597</v>
      </c>
      <c r="EZ104" t="s">
        <v>1598</v>
      </c>
      <c r="FA104" t="s">
        <v>1206</v>
      </c>
      <c r="FB104" t="s">
        <v>1599</v>
      </c>
      <c r="FC104" t="s">
        <v>129</v>
      </c>
      <c r="FD104" t="s">
        <v>129</v>
      </c>
      <c r="FE104" t="s">
        <v>236</v>
      </c>
      <c r="FF104" t="s">
        <v>178</v>
      </c>
      <c r="FG104" t="s">
        <v>1600</v>
      </c>
      <c r="FH104" t="s">
        <v>1601</v>
      </c>
      <c r="FI104" t="s">
        <v>173</v>
      </c>
      <c r="FQ104" s="1" t="s">
        <v>123</v>
      </c>
      <c r="GY104" t="s">
        <v>1602</v>
      </c>
      <c r="GZ104" t="s">
        <v>1603</v>
      </c>
      <c r="HA104" t="s">
        <v>1604</v>
      </c>
      <c r="HB104" t="s">
        <v>186</v>
      </c>
      <c r="HC104">
        <v>1959</v>
      </c>
      <c r="HD104" t="str">
        <f>VLOOKUP(AnalizaCzyste[[#This Row],[Rok urodzenia]],KategorieWiekowe[],2,1)</f>
        <v>56-65 lat</v>
      </c>
      <c r="HE104" t="s">
        <v>483</v>
      </c>
      <c r="HG104" t="s">
        <v>1605</v>
      </c>
      <c r="HH104" t="s">
        <v>1606</v>
      </c>
      <c r="HI104" t="s">
        <v>1607</v>
      </c>
    </row>
    <row r="105" spans="1:217" hidden="1" x14ac:dyDescent="0.45">
      <c r="A105">
        <v>189</v>
      </c>
      <c r="B105">
        <f>_xlfn.IFNA(VLOOKUP(AnalizaCzyste[[#This Row],[Zakończono wypełnianie]],Zakończone[],2,0),"BRAK")</f>
        <v>108</v>
      </c>
      <c r="C105">
        <f t="shared" si="3"/>
        <v>36</v>
      </c>
      <c r="D105" t="s">
        <v>1352</v>
      </c>
      <c r="E105" t="s">
        <v>118</v>
      </c>
      <c r="J105" t="s">
        <v>119</v>
      </c>
      <c r="K105" t="s">
        <v>1608</v>
      </c>
      <c r="L105" t="s">
        <v>1609</v>
      </c>
      <c r="M105">
        <v>4906</v>
      </c>
      <c r="O105">
        <v>0</v>
      </c>
      <c r="P105" t="s">
        <v>122</v>
      </c>
      <c r="Q105" s="1" t="s">
        <v>123</v>
      </c>
      <c r="AG105" s="1" t="s">
        <v>124</v>
      </c>
      <c r="AH105" t="s">
        <v>223</v>
      </c>
      <c r="AI105" t="str">
        <f>VLOOKUP(AnalizaCzyste[[#This Row],[Jak się nazywa uczelnia którą ukończyłeś? (proszę o wybranie jednej uczelni podlegającej ocenie)]],KategorieUczelni[],2,0)</f>
        <v>Publiczna</v>
      </c>
      <c r="AJ105">
        <v>2009</v>
      </c>
      <c r="AK105" t="s">
        <v>148</v>
      </c>
      <c r="AL105" t="s">
        <v>554</v>
      </c>
      <c r="AM105" t="s">
        <v>162</v>
      </c>
      <c r="AN105" t="s">
        <v>162</v>
      </c>
      <c r="AO105" t="s">
        <v>162</v>
      </c>
      <c r="AP105" t="s">
        <v>162</v>
      </c>
      <c r="AQ105" t="s">
        <v>162</v>
      </c>
      <c r="AR105" t="s">
        <v>1610</v>
      </c>
      <c r="AS105" t="s">
        <v>302</v>
      </c>
      <c r="AT105" t="s">
        <v>153</v>
      </c>
      <c r="AV105" t="s">
        <v>1611</v>
      </c>
      <c r="AW105" t="s">
        <v>1612</v>
      </c>
      <c r="AY105" t="s">
        <v>1613</v>
      </c>
      <c r="AZ105" s="1" t="s">
        <v>123</v>
      </c>
      <c r="CT105" s="1" t="s">
        <v>123</v>
      </c>
      <c r="DD105" s="1" t="s">
        <v>123</v>
      </c>
      <c r="DN105" s="1" t="s">
        <v>123</v>
      </c>
      <c r="EQ105" s="1" t="s">
        <v>123</v>
      </c>
      <c r="ER105" t="s">
        <v>180</v>
      </c>
      <c r="ES105" t="s">
        <v>132</v>
      </c>
      <c r="FQ105" s="1" t="s">
        <v>123</v>
      </c>
      <c r="GY105" t="s">
        <v>1614</v>
      </c>
      <c r="GZ105" t="s">
        <v>1247</v>
      </c>
      <c r="HA105" t="s">
        <v>1247</v>
      </c>
      <c r="HB105" t="s">
        <v>140</v>
      </c>
      <c r="HC105">
        <v>1983</v>
      </c>
      <c r="HD105" t="str">
        <f>VLOOKUP(AnalizaCzyste[[#This Row],[Rok urodzenia]],KategorieWiekowe[],2,1)</f>
        <v>36-45 lat</v>
      </c>
      <c r="HE105" t="s">
        <v>220</v>
      </c>
      <c r="HG105" t="s">
        <v>1615</v>
      </c>
      <c r="HH105" t="s">
        <v>1615</v>
      </c>
    </row>
    <row r="106" spans="1:217" hidden="1" x14ac:dyDescent="0.45">
      <c r="A106">
        <v>191</v>
      </c>
      <c r="B106">
        <f>_xlfn.IFNA(VLOOKUP(AnalizaCzyste[[#This Row],[Zakończono wypełnianie]],Zakończone[],2,0),"BRAK")</f>
        <v>109</v>
      </c>
      <c r="C106">
        <f t="shared" si="3"/>
        <v>34</v>
      </c>
      <c r="D106" t="s">
        <v>1618</v>
      </c>
      <c r="E106" t="s">
        <v>118</v>
      </c>
      <c r="J106" t="s">
        <v>119</v>
      </c>
      <c r="K106" t="s">
        <v>1619</v>
      </c>
      <c r="L106" t="s">
        <v>1620</v>
      </c>
      <c r="M106">
        <v>1891</v>
      </c>
      <c r="O106">
        <v>0</v>
      </c>
      <c r="P106" t="s">
        <v>122</v>
      </c>
      <c r="Q106" s="1" t="s">
        <v>123</v>
      </c>
      <c r="AG106" s="1" t="s">
        <v>124</v>
      </c>
      <c r="AH106" t="s">
        <v>1503</v>
      </c>
      <c r="AI106" t="str">
        <f>VLOOKUP(AnalizaCzyste[[#This Row],[Jak się nazywa uczelnia którą ukończyłeś? (proszę o wybranie jednej uczelni podlegającej ocenie)]],KategorieUczelni[],2,0)</f>
        <v>Publiczna</v>
      </c>
      <c r="AJ106">
        <v>2000</v>
      </c>
      <c r="AK106" t="s">
        <v>148</v>
      </c>
      <c r="AL106" t="s">
        <v>1622</v>
      </c>
      <c r="AM106" t="s">
        <v>150</v>
      </c>
      <c r="AN106" t="s">
        <v>150</v>
      </c>
      <c r="AO106" t="s">
        <v>150</v>
      </c>
      <c r="AP106" t="s">
        <v>236</v>
      </c>
      <c r="AQ106" t="s">
        <v>162</v>
      </c>
      <c r="AR106" t="s">
        <v>1623</v>
      </c>
      <c r="AS106" t="s">
        <v>132</v>
      </c>
      <c r="AT106" t="s">
        <v>302</v>
      </c>
      <c r="AU106" t="s">
        <v>1624</v>
      </c>
      <c r="AV106" t="s">
        <v>1625</v>
      </c>
      <c r="AW106" t="s">
        <v>1626</v>
      </c>
      <c r="AX106" t="s">
        <v>172</v>
      </c>
      <c r="AZ106" s="1" t="s">
        <v>123</v>
      </c>
      <c r="CT106" s="1" t="s">
        <v>123</v>
      </c>
      <c r="DD106" s="1" t="s">
        <v>123</v>
      </c>
      <c r="DN106" s="1" t="s">
        <v>123</v>
      </c>
      <c r="EQ106" s="1" t="s">
        <v>123</v>
      </c>
      <c r="FQ106" s="1" t="s">
        <v>123</v>
      </c>
      <c r="GY106" t="s">
        <v>1627</v>
      </c>
      <c r="GZ106" t="s">
        <v>1628</v>
      </c>
      <c r="HA106" t="s">
        <v>1629</v>
      </c>
      <c r="HB106" t="s">
        <v>186</v>
      </c>
      <c r="HC106">
        <v>1948</v>
      </c>
      <c r="HD106" t="str">
        <f>VLOOKUP(AnalizaCzyste[[#This Row],[Rok urodzenia]],KategorieWiekowe[],2,1)</f>
        <v>powyżej 65 lat</v>
      </c>
      <c r="HE106" t="s">
        <v>1630</v>
      </c>
      <c r="HH106" t="s">
        <v>1631</v>
      </c>
    </row>
    <row r="107" spans="1:217" hidden="1" x14ac:dyDescent="0.45">
      <c r="A107">
        <v>193</v>
      </c>
      <c r="B107">
        <f>_xlfn.IFNA(VLOOKUP(AnalizaCzyste[[#This Row],[Zakończono wypełnianie]],Zakończone[],2,0),"BRAK")</f>
        <v>110</v>
      </c>
      <c r="C107">
        <f t="shared" si="3"/>
        <v>35</v>
      </c>
      <c r="D107" t="s">
        <v>1131</v>
      </c>
      <c r="E107" t="s">
        <v>118</v>
      </c>
      <c r="J107" t="s">
        <v>119</v>
      </c>
      <c r="K107" t="s">
        <v>1634</v>
      </c>
      <c r="L107" t="s">
        <v>1635</v>
      </c>
      <c r="M107">
        <v>545</v>
      </c>
      <c r="O107">
        <v>0</v>
      </c>
      <c r="P107" t="s">
        <v>122</v>
      </c>
      <c r="Q107" s="1" t="s">
        <v>123</v>
      </c>
      <c r="AG107" s="1" t="s">
        <v>124</v>
      </c>
      <c r="AH107" t="s">
        <v>1636</v>
      </c>
      <c r="AI107" t="str">
        <f>VLOOKUP(AnalizaCzyste[[#This Row],[Jak się nazywa uczelnia którą ukończyłeś? (proszę o wybranie jednej uczelni podlegającej ocenie)]],KategorieUczelni[],2,0)</f>
        <v>Publiczna</v>
      </c>
      <c r="AJ107">
        <v>2001</v>
      </c>
      <c r="AK107" t="s">
        <v>148</v>
      </c>
      <c r="AL107" t="s">
        <v>1637</v>
      </c>
      <c r="AM107" t="s">
        <v>150</v>
      </c>
      <c r="AN107" t="s">
        <v>150</v>
      </c>
      <c r="AO107" t="s">
        <v>169</v>
      </c>
      <c r="AP107" t="s">
        <v>150</v>
      </c>
      <c r="AQ107" t="s">
        <v>169</v>
      </c>
      <c r="AR107" t="s">
        <v>1638</v>
      </c>
      <c r="AS107" t="s">
        <v>152</v>
      </c>
      <c r="AT107" t="s">
        <v>153</v>
      </c>
      <c r="AU107" t="s">
        <v>1639</v>
      </c>
      <c r="AV107" t="s">
        <v>1640</v>
      </c>
      <c r="AW107" t="s">
        <v>386</v>
      </c>
      <c r="AX107" t="s">
        <v>157</v>
      </c>
      <c r="AZ107" s="1" t="s">
        <v>123</v>
      </c>
      <c r="CT107" s="1" t="s">
        <v>123</v>
      </c>
      <c r="DD107" s="1" t="s">
        <v>123</v>
      </c>
      <c r="DN107" s="1" t="s">
        <v>123</v>
      </c>
      <c r="EQ107" s="1" t="s">
        <v>123</v>
      </c>
      <c r="FQ107" s="1" t="s">
        <v>123</v>
      </c>
      <c r="GY107" t="s">
        <v>1641</v>
      </c>
      <c r="GZ107" t="s">
        <v>1642</v>
      </c>
      <c r="HA107" t="s">
        <v>1643</v>
      </c>
      <c r="HB107" t="s">
        <v>140</v>
      </c>
      <c r="HC107">
        <v>1977</v>
      </c>
      <c r="HD107" t="str">
        <f>VLOOKUP(AnalizaCzyste[[#This Row],[Rok urodzenia]],KategorieWiekowe[],2,1)</f>
        <v>36-45 lat</v>
      </c>
      <c r="HE107" t="s">
        <v>141</v>
      </c>
      <c r="HF107" t="s">
        <v>1644</v>
      </c>
      <c r="HG107" t="s">
        <v>1645</v>
      </c>
    </row>
    <row r="108" spans="1:217" hidden="1" x14ac:dyDescent="0.45">
      <c r="A108">
        <v>195</v>
      </c>
      <c r="B108">
        <f>_xlfn.IFNA(VLOOKUP(AnalizaCzyste[[#This Row],[Zakończono wypełnianie]],Zakończone[],2,0),"BRAK")</f>
        <v>111</v>
      </c>
      <c r="C108">
        <f t="shared" si="3"/>
        <v>34</v>
      </c>
      <c r="D108" t="s">
        <v>1649</v>
      </c>
      <c r="E108" t="s">
        <v>118</v>
      </c>
      <c r="F108" t="s">
        <v>359</v>
      </c>
      <c r="J108" t="s">
        <v>119</v>
      </c>
      <c r="K108" t="s">
        <v>1650</v>
      </c>
      <c r="L108" t="s">
        <v>1651</v>
      </c>
      <c r="M108">
        <v>386</v>
      </c>
      <c r="O108">
        <v>0</v>
      </c>
      <c r="P108" t="s">
        <v>122</v>
      </c>
      <c r="Q108" s="1" t="s">
        <v>123</v>
      </c>
      <c r="AG108" s="1" t="s">
        <v>124</v>
      </c>
      <c r="AH108" t="s">
        <v>191</v>
      </c>
      <c r="AI108" t="str">
        <f>VLOOKUP(AnalizaCzyste[[#This Row],[Jak się nazywa uczelnia którą ukończyłeś? (proszę o wybranie jednej uczelni podlegającej ocenie)]],KategorieUczelni[],2,0)</f>
        <v>Publiczna</v>
      </c>
      <c r="AJ108">
        <v>2016</v>
      </c>
      <c r="AK108" t="s">
        <v>126</v>
      </c>
      <c r="AL108" t="s">
        <v>1652</v>
      </c>
      <c r="AM108" t="s">
        <v>162</v>
      </c>
      <c r="AN108" t="s">
        <v>151</v>
      </c>
      <c r="AO108" t="s">
        <v>162</v>
      </c>
      <c r="AP108" t="s">
        <v>150</v>
      </c>
      <c r="AQ108" t="s">
        <v>236</v>
      </c>
      <c r="AR108" t="s">
        <v>530</v>
      </c>
      <c r="AS108" t="s">
        <v>153</v>
      </c>
      <c r="AT108" t="s">
        <v>153</v>
      </c>
      <c r="AU108" t="s">
        <v>1653</v>
      </c>
      <c r="AV108" t="s">
        <v>1654</v>
      </c>
      <c r="AW108" t="s">
        <v>1655</v>
      </c>
      <c r="AX108" t="s">
        <v>172</v>
      </c>
      <c r="AZ108" s="1" t="s">
        <v>123</v>
      </c>
      <c r="CT108" s="1" t="s">
        <v>123</v>
      </c>
      <c r="DD108" s="1" t="s">
        <v>123</v>
      </c>
      <c r="DN108" s="1" t="s">
        <v>123</v>
      </c>
      <c r="EQ108" s="1" t="s">
        <v>123</v>
      </c>
      <c r="ER108" t="s">
        <v>178</v>
      </c>
      <c r="FQ108" s="1" t="s">
        <v>123</v>
      </c>
      <c r="GY108" t="s">
        <v>1656</v>
      </c>
      <c r="GZ108" t="s">
        <v>1657</v>
      </c>
      <c r="HA108" t="s">
        <v>1658</v>
      </c>
      <c r="HB108" t="s">
        <v>140</v>
      </c>
      <c r="HC108">
        <v>1993</v>
      </c>
      <c r="HD108" t="str">
        <f>VLOOKUP(AnalizaCzyste[[#This Row],[Rok urodzenia]],KategorieWiekowe[],2,1)</f>
        <v>26-35 lat</v>
      </c>
      <c r="HE108" t="s">
        <v>220</v>
      </c>
    </row>
    <row r="109" spans="1:217" hidden="1" x14ac:dyDescent="0.45">
      <c r="A109">
        <v>196</v>
      </c>
      <c r="B109">
        <f>_xlfn.IFNA(VLOOKUP(AnalizaCzyste[[#This Row],[Zakończono wypełnianie]],Zakończone[],2,0),"BRAK")</f>
        <v>112</v>
      </c>
      <c r="C109">
        <f t="shared" si="3"/>
        <v>56</v>
      </c>
      <c r="D109" t="s">
        <v>1659</v>
      </c>
      <c r="E109" t="s">
        <v>118</v>
      </c>
      <c r="J109" t="s">
        <v>119</v>
      </c>
      <c r="K109" t="s">
        <v>1660</v>
      </c>
      <c r="L109" t="s">
        <v>1661</v>
      </c>
      <c r="M109">
        <v>614</v>
      </c>
      <c r="O109">
        <v>0</v>
      </c>
      <c r="P109" t="s">
        <v>122</v>
      </c>
      <c r="Q109" s="1" t="s">
        <v>123</v>
      </c>
      <c r="AG109" s="1" t="s">
        <v>124</v>
      </c>
      <c r="AH109" t="s">
        <v>191</v>
      </c>
      <c r="AI109" t="str">
        <f>VLOOKUP(AnalizaCzyste[[#This Row],[Jak się nazywa uczelnia którą ukończyłeś? (proszę o wybranie jednej uczelni podlegającej ocenie)]],KategorieUczelni[],2,0)</f>
        <v>Publiczna</v>
      </c>
      <c r="AJ109">
        <v>1991</v>
      </c>
      <c r="AK109" t="s">
        <v>126</v>
      </c>
      <c r="AL109" t="s">
        <v>1662</v>
      </c>
      <c r="AM109" t="s">
        <v>150</v>
      </c>
      <c r="AN109" t="s">
        <v>150</v>
      </c>
      <c r="AO109" t="s">
        <v>150</v>
      </c>
      <c r="AP109" t="s">
        <v>132</v>
      </c>
      <c r="AQ109" t="s">
        <v>132</v>
      </c>
      <c r="AR109" t="s">
        <v>718</v>
      </c>
      <c r="AS109" t="s">
        <v>132</v>
      </c>
      <c r="AT109" t="s">
        <v>132</v>
      </c>
      <c r="AU109" t="s">
        <v>1663</v>
      </c>
      <c r="AV109" t="s">
        <v>1664</v>
      </c>
      <c r="AW109" t="s">
        <v>1665</v>
      </c>
      <c r="AX109" t="s">
        <v>172</v>
      </c>
      <c r="AZ109" s="1" t="s">
        <v>159</v>
      </c>
      <c r="BA109">
        <v>1</v>
      </c>
      <c r="BB109" t="s">
        <v>191</v>
      </c>
      <c r="BC109">
        <v>2018</v>
      </c>
      <c r="BD109" t="s">
        <v>126</v>
      </c>
      <c r="BE109" t="s">
        <v>1666</v>
      </c>
      <c r="BF109" t="s">
        <v>151</v>
      </c>
      <c r="BG109" t="s">
        <v>151</v>
      </c>
      <c r="BH109" t="s">
        <v>151</v>
      </c>
      <c r="BI109" t="s">
        <v>151</v>
      </c>
      <c r="BJ109" t="s">
        <v>151</v>
      </c>
      <c r="BK109">
        <v>1</v>
      </c>
      <c r="BM109" t="s">
        <v>172</v>
      </c>
      <c r="BP109" t="s">
        <v>173</v>
      </c>
      <c r="CT109" s="1" t="s">
        <v>123</v>
      </c>
      <c r="DD109" s="1" t="s">
        <v>123</v>
      </c>
      <c r="DN109" s="1" t="s">
        <v>123</v>
      </c>
      <c r="EQ109" s="1" t="s">
        <v>177</v>
      </c>
      <c r="ER109" t="s">
        <v>178</v>
      </c>
      <c r="ES109">
        <v>1</v>
      </c>
      <c r="ET109" t="s">
        <v>191</v>
      </c>
      <c r="EU109" t="s">
        <v>169</v>
      </c>
      <c r="EV109" t="s">
        <v>169</v>
      </c>
      <c r="EW109" t="s">
        <v>151</v>
      </c>
      <c r="EX109" t="s">
        <v>178</v>
      </c>
      <c r="EY109" t="s">
        <v>1667</v>
      </c>
      <c r="EZ109" t="s">
        <v>1668</v>
      </c>
      <c r="FA109" t="s">
        <v>173</v>
      </c>
      <c r="FQ109" s="1" t="s">
        <v>123</v>
      </c>
      <c r="GY109" t="s">
        <v>1669</v>
      </c>
      <c r="GZ109" t="s">
        <v>1670</v>
      </c>
      <c r="HA109" t="s">
        <v>1671</v>
      </c>
      <c r="HB109" t="s">
        <v>186</v>
      </c>
      <c r="HC109">
        <v>1966</v>
      </c>
      <c r="HD109" t="str">
        <f>VLOOKUP(AnalizaCzyste[[#This Row],[Rok urodzenia]],KategorieWiekowe[],2,1)</f>
        <v>46-55 lat</v>
      </c>
      <c r="HE109" t="s">
        <v>141</v>
      </c>
    </row>
    <row r="110" spans="1:217" hidden="1" x14ac:dyDescent="0.45">
      <c r="A110">
        <v>198</v>
      </c>
      <c r="B110">
        <f>_xlfn.IFNA(VLOOKUP(AnalizaCzyste[[#This Row],[Zakończono wypełnianie]],Zakończone[],2,0),"BRAK")</f>
        <v>113</v>
      </c>
      <c r="C110">
        <f t="shared" si="3"/>
        <v>33</v>
      </c>
      <c r="D110" t="s">
        <v>1674</v>
      </c>
      <c r="E110" t="s">
        <v>118</v>
      </c>
      <c r="J110" t="s">
        <v>119</v>
      </c>
      <c r="K110" t="s">
        <v>1675</v>
      </c>
      <c r="L110" t="s">
        <v>1676</v>
      </c>
      <c r="M110">
        <v>445</v>
      </c>
      <c r="O110">
        <v>0</v>
      </c>
      <c r="P110" t="s">
        <v>122</v>
      </c>
      <c r="Q110" s="1" t="s">
        <v>123</v>
      </c>
      <c r="AG110" s="1" t="s">
        <v>124</v>
      </c>
      <c r="AH110" t="s">
        <v>191</v>
      </c>
      <c r="AI110" t="str">
        <f>VLOOKUP(AnalizaCzyste[[#This Row],[Jak się nazywa uczelnia którą ukończyłeś? (proszę o wybranie jednej uczelni podlegającej ocenie)]],KategorieUczelni[],2,0)</f>
        <v>Publiczna</v>
      </c>
      <c r="AJ110">
        <v>2014</v>
      </c>
      <c r="AK110" t="s">
        <v>126</v>
      </c>
      <c r="AL110" t="s">
        <v>192</v>
      </c>
      <c r="AM110" t="s">
        <v>169</v>
      </c>
      <c r="AN110" t="s">
        <v>169</v>
      </c>
      <c r="AO110" t="s">
        <v>162</v>
      </c>
      <c r="AP110" t="s">
        <v>151</v>
      </c>
      <c r="AQ110" t="s">
        <v>151</v>
      </c>
      <c r="AR110" t="s">
        <v>237</v>
      </c>
      <c r="AS110" t="s">
        <v>226</v>
      </c>
      <c r="AT110" t="s">
        <v>1428</v>
      </c>
      <c r="AU110" t="s">
        <v>1677</v>
      </c>
      <c r="AV110" t="s">
        <v>1678</v>
      </c>
      <c r="AW110" t="s">
        <v>1679</v>
      </c>
      <c r="AX110" t="s">
        <v>157</v>
      </c>
      <c r="AZ110" s="1" t="s">
        <v>123</v>
      </c>
      <c r="CT110" s="1" t="s">
        <v>123</v>
      </c>
      <c r="DD110" s="1" t="s">
        <v>123</v>
      </c>
      <c r="DN110" s="1" t="s">
        <v>123</v>
      </c>
      <c r="EQ110" s="1" t="s">
        <v>123</v>
      </c>
      <c r="FQ110" s="1" t="s">
        <v>123</v>
      </c>
      <c r="GY110" t="s">
        <v>532</v>
      </c>
      <c r="GZ110" t="s">
        <v>1680</v>
      </c>
      <c r="HA110" t="s">
        <v>1681</v>
      </c>
      <c r="HB110" t="s">
        <v>186</v>
      </c>
      <c r="HC110">
        <v>1984</v>
      </c>
      <c r="HD110" t="str">
        <f>VLOOKUP(AnalizaCzyste[[#This Row],[Rok urodzenia]],KategorieWiekowe[],2,1)</f>
        <v>36-45 lat</v>
      </c>
      <c r="HE110" t="s">
        <v>398</v>
      </c>
    </row>
    <row r="111" spans="1:217" hidden="1" x14ac:dyDescent="0.45">
      <c r="A111">
        <v>205</v>
      </c>
      <c r="B111">
        <f>_xlfn.IFNA(VLOOKUP(AnalizaCzyste[[#This Row],[Zakończono wypełnianie]],Zakończone[],2,0),"BRAK")</f>
        <v>114</v>
      </c>
      <c r="C111">
        <f t="shared" si="3"/>
        <v>35</v>
      </c>
      <c r="D111" t="s">
        <v>1709</v>
      </c>
      <c r="E111" t="s">
        <v>118</v>
      </c>
      <c r="J111" t="s">
        <v>119</v>
      </c>
      <c r="K111" t="s">
        <v>1710</v>
      </c>
      <c r="L111" t="s">
        <v>1711</v>
      </c>
      <c r="M111">
        <v>588</v>
      </c>
      <c r="O111">
        <v>0</v>
      </c>
      <c r="P111" t="s">
        <v>122</v>
      </c>
      <c r="Q111" s="1" t="s">
        <v>123</v>
      </c>
      <c r="AG111" s="1" t="s">
        <v>124</v>
      </c>
      <c r="AH111" t="s">
        <v>1712</v>
      </c>
      <c r="AI111" t="str">
        <f>VLOOKUP(AnalizaCzyste[[#This Row],[Jak się nazywa uczelnia którą ukończyłeś? (proszę o wybranie jednej uczelni podlegającej ocenie)]],KategorieUczelni[],2,0)</f>
        <v>Publiczna</v>
      </c>
      <c r="AJ111">
        <v>2012</v>
      </c>
      <c r="AK111" t="s">
        <v>148</v>
      </c>
      <c r="AL111" t="s">
        <v>1713</v>
      </c>
      <c r="AM111" t="s">
        <v>162</v>
      </c>
      <c r="AN111" t="s">
        <v>162</v>
      </c>
      <c r="AO111" t="s">
        <v>169</v>
      </c>
      <c r="AP111" t="s">
        <v>129</v>
      </c>
      <c r="AQ111" t="s">
        <v>129</v>
      </c>
      <c r="AR111" t="s">
        <v>1714</v>
      </c>
      <c r="AS111" t="s">
        <v>131</v>
      </c>
      <c r="AT111" t="s">
        <v>131</v>
      </c>
      <c r="AU111" t="s">
        <v>1715</v>
      </c>
      <c r="AV111" t="s">
        <v>1716</v>
      </c>
      <c r="AW111" t="s">
        <v>1717</v>
      </c>
      <c r="AX111" t="s">
        <v>157</v>
      </c>
      <c r="AZ111" s="1" t="s">
        <v>123</v>
      </c>
      <c r="CT111" s="1" t="s">
        <v>123</v>
      </c>
      <c r="DD111" s="1" t="s">
        <v>123</v>
      </c>
      <c r="DN111" s="1" t="s">
        <v>123</v>
      </c>
      <c r="EQ111" s="1" t="s">
        <v>123</v>
      </c>
      <c r="FQ111" s="1" t="s">
        <v>123</v>
      </c>
      <c r="GY111" t="s">
        <v>1718</v>
      </c>
      <c r="GZ111" t="s">
        <v>1719</v>
      </c>
      <c r="HA111" t="s">
        <v>1720</v>
      </c>
      <c r="HB111" t="s">
        <v>140</v>
      </c>
      <c r="HC111">
        <v>1985</v>
      </c>
      <c r="HD111" t="str">
        <f>VLOOKUP(AnalizaCzyste[[#This Row],[Rok urodzenia]],KategorieWiekowe[],2,1)</f>
        <v>26-35 lat</v>
      </c>
      <c r="HE111" t="s">
        <v>246</v>
      </c>
      <c r="HG111" t="s">
        <v>1721</v>
      </c>
      <c r="HH111" t="s">
        <v>532</v>
      </c>
    </row>
    <row r="112" spans="1:217" hidden="1" x14ac:dyDescent="0.45">
      <c r="A112">
        <v>211</v>
      </c>
      <c r="B112">
        <f>_xlfn.IFNA(VLOOKUP(AnalizaCzyste[[#This Row],[Zakończono wypełnianie]],Zakończone[],2,0),"BRAK")</f>
        <v>115</v>
      </c>
      <c r="C112">
        <f t="shared" si="3"/>
        <v>37</v>
      </c>
      <c r="D112" t="s">
        <v>1572</v>
      </c>
      <c r="E112" t="s">
        <v>118</v>
      </c>
      <c r="J112" t="s">
        <v>119</v>
      </c>
      <c r="K112" t="s">
        <v>1738</v>
      </c>
      <c r="L112" t="s">
        <v>1739</v>
      </c>
      <c r="M112">
        <v>1112</v>
      </c>
      <c r="O112">
        <v>0</v>
      </c>
      <c r="P112" t="s">
        <v>122</v>
      </c>
      <c r="Q112" s="1" t="s">
        <v>123</v>
      </c>
      <c r="AG112" s="1" t="s">
        <v>124</v>
      </c>
      <c r="AH112" s="20" t="s">
        <v>191</v>
      </c>
      <c r="AI112" s="20" t="str">
        <f>VLOOKUP(AnalizaCzyste[[#This Row],[Jak się nazywa uczelnia którą ukończyłeś? (proszę o wybranie jednej uczelni podlegającej ocenie)]],KategorieUczelni[],2,0)</f>
        <v>Publiczna</v>
      </c>
      <c r="AJ112">
        <v>2001</v>
      </c>
      <c r="AK112" t="s">
        <v>126</v>
      </c>
      <c r="AL112" t="s">
        <v>1339</v>
      </c>
      <c r="AM112" t="s">
        <v>150</v>
      </c>
      <c r="AN112" t="s">
        <v>150</v>
      </c>
      <c r="AO112" t="s">
        <v>150</v>
      </c>
      <c r="AP112" t="s">
        <v>162</v>
      </c>
      <c r="AQ112" t="s">
        <v>162</v>
      </c>
      <c r="AR112" t="s">
        <v>1740</v>
      </c>
      <c r="AS112" t="s">
        <v>131</v>
      </c>
      <c r="AT112" t="s">
        <v>302</v>
      </c>
      <c r="AU112" t="s">
        <v>1741</v>
      </c>
      <c r="AV112" t="s">
        <v>1742</v>
      </c>
      <c r="AW112" t="s">
        <v>1743</v>
      </c>
      <c r="AX112" t="s">
        <v>157</v>
      </c>
      <c r="AY112" t="s">
        <v>1744</v>
      </c>
      <c r="AZ112" s="1" t="s">
        <v>123</v>
      </c>
      <c r="CT112" s="1" t="s">
        <v>123</v>
      </c>
      <c r="DD112" s="1" t="s">
        <v>123</v>
      </c>
      <c r="DN112" s="1" t="s">
        <v>123</v>
      </c>
      <c r="EQ112" s="1" t="s">
        <v>123</v>
      </c>
      <c r="FQ112" s="1" t="s">
        <v>123</v>
      </c>
      <c r="GY112" t="s">
        <v>1745</v>
      </c>
      <c r="GZ112" t="s">
        <v>1746</v>
      </c>
      <c r="HA112" t="s">
        <v>1747</v>
      </c>
      <c r="HB112" t="s">
        <v>186</v>
      </c>
      <c r="HC112">
        <v>1976</v>
      </c>
      <c r="HD112" t="str">
        <f>VLOOKUP(AnalizaCzyste[[#This Row],[Rok urodzenia]],KategorieWiekowe[],2,1)</f>
        <v>36-45 lat</v>
      </c>
      <c r="HE112" t="s">
        <v>141</v>
      </c>
      <c r="HG112" t="s">
        <v>1748</v>
      </c>
      <c r="HH112" t="s">
        <v>1749</v>
      </c>
      <c r="HI112" t="s">
        <v>1750</v>
      </c>
    </row>
    <row r="113" spans="1:217" hidden="1" x14ac:dyDescent="0.45">
      <c r="A113">
        <v>212</v>
      </c>
      <c r="B113">
        <f>_xlfn.IFNA(VLOOKUP(AnalizaCzyste[[#This Row],[Zakończono wypełnianie]],Zakończone[],2,0),"BRAK")</f>
        <v>116</v>
      </c>
      <c r="C113">
        <f t="shared" si="3"/>
        <v>32</v>
      </c>
      <c r="D113" t="s">
        <v>1751</v>
      </c>
      <c r="E113" t="s">
        <v>118</v>
      </c>
      <c r="J113" t="s">
        <v>119</v>
      </c>
      <c r="K113" t="s">
        <v>1752</v>
      </c>
      <c r="L113" t="s">
        <v>1753</v>
      </c>
      <c r="M113">
        <v>625</v>
      </c>
      <c r="O113">
        <v>0</v>
      </c>
      <c r="P113" t="s">
        <v>122</v>
      </c>
      <c r="Q113" s="1" t="s">
        <v>123</v>
      </c>
      <c r="AG113" s="1" t="s">
        <v>124</v>
      </c>
      <c r="AH113" t="s">
        <v>191</v>
      </c>
      <c r="AI113" t="str">
        <f>VLOOKUP(AnalizaCzyste[[#This Row],[Jak się nazywa uczelnia którą ukończyłeś? (proszę o wybranie jednej uczelni podlegającej ocenie)]],KategorieUczelni[],2,0)</f>
        <v>Publiczna</v>
      </c>
      <c r="AJ113">
        <v>2009</v>
      </c>
      <c r="AK113" t="s">
        <v>126</v>
      </c>
      <c r="AL113" t="s">
        <v>192</v>
      </c>
      <c r="AM113" t="s">
        <v>162</v>
      </c>
      <c r="AN113" t="s">
        <v>150</v>
      </c>
      <c r="AO113" t="s">
        <v>169</v>
      </c>
      <c r="AP113" t="s">
        <v>169</v>
      </c>
      <c r="AQ113" t="s">
        <v>169</v>
      </c>
      <c r="AR113" t="s">
        <v>530</v>
      </c>
      <c r="AS113" t="s">
        <v>226</v>
      </c>
      <c r="AT113" t="s">
        <v>759</v>
      </c>
      <c r="AV113" t="s">
        <v>1754</v>
      </c>
      <c r="AW113" t="s">
        <v>1755</v>
      </c>
      <c r="AY113" t="s">
        <v>1756</v>
      </c>
      <c r="AZ113" s="1" t="s">
        <v>123</v>
      </c>
      <c r="CT113" s="1" t="s">
        <v>123</v>
      </c>
      <c r="DD113" s="1" t="s">
        <v>123</v>
      </c>
      <c r="DN113" s="1" t="s">
        <v>123</v>
      </c>
      <c r="EQ113" s="1" t="s">
        <v>123</v>
      </c>
      <c r="FQ113" s="1" t="s">
        <v>123</v>
      </c>
      <c r="GY113" t="s">
        <v>1757</v>
      </c>
      <c r="GZ113" t="s">
        <v>1758</v>
      </c>
      <c r="HA113" t="s">
        <v>1759</v>
      </c>
      <c r="HB113" t="s">
        <v>186</v>
      </c>
      <c r="HC113">
        <v>1984</v>
      </c>
      <c r="HD113" t="str">
        <f>VLOOKUP(AnalizaCzyste[[#This Row],[Rok urodzenia]],KategorieWiekowe[],2,1)</f>
        <v>36-45 lat</v>
      </c>
      <c r="HE113" t="s">
        <v>141</v>
      </c>
    </row>
    <row r="114" spans="1:217" hidden="1" x14ac:dyDescent="0.45">
      <c r="A114">
        <v>214</v>
      </c>
      <c r="B114">
        <f>_xlfn.IFNA(VLOOKUP(AnalizaCzyste[[#This Row],[Zakończono wypełnianie]],Zakończone[],2,0),"BRAK")</f>
        <v>117</v>
      </c>
      <c r="C114">
        <f t="shared" si="3"/>
        <v>35</v>
      </c>
      <c r="D114" t="s">
        <v>1762</v>
      </c>
      <c r="E114" t="s">
        <v>118</v>
      </c>
      <c r="J114" t="s">
        <v>119</v>
      </c>
      <c r="K114" t="s">
        <v>1763</v>
      </c>
      <c r="L114" t="s">
        <v>1764</v>
      </c>
      <c r="M114">
        <v>336</v>
      </c>
      <c r="O114">
        <v>0</v>
      </c>
      <c r="P114" t="s">
        <v>122</v>
      </c>
      <c r="Q114" s="1" t="s">
        <v>123</v>
      </c>
      <c r="AG114" s="1" t="s">
        <v>124</v>
      </c>
      <c r="AH114" t="s">
        <v>191</v>
      </c>
      <c r="AI114" t="str">
        <f>VLOOKUP(AnalizaCzyste[[#This Row],[Jak się nazywa uczelnia którą ukończyłeś? (proszę o wybranie jednej uczelni podlegającej ocenie)]],KategorieUczelni[],2,0)</f>
        <v>Publiczna</v>
      </c>
      <c r="AJ114">
        <v>2002</v>
      </c>
      <c r="AK114" t="s">
        <v>126</v>
      </c>
      <c r="AL114" t="s">
        <v>1176</v>
      </c>
      <c r="AM114" t="s">
        <v>129</v>
      </c>
      <c r="AN114" t="s">
        <v>129</v>
      </c>
      <c r="AO114" t="s">
        <v>129</v>
      </c>
      <c r="AP114" t="s">
        <v>129</v>
      </c>
      <c r="AQ114" t="s">
        <v>129</v>
      </c>
      <c r="AR114" t="s">
        <v>1765</v>
      </c>
      <c r="AS114" t="s">
        <v>302</v>
      </c>
      <c r="AT114" t="s">
        <v>226</v>
      </c>
      <c r="AV114" t="s">
        <v>1766</v>
      </c>
      <c r="AW114" t="s">
        <v>386</v>
      </c>
      <c r="AX114" t="s">
        <v>157</v>
      </c>
      <c r="AY114" t="s">
        <v>1767</v>
      </c>
      <c r="AZ114" s="1" t="s">
        <v>123</v>
      </c>
      <c r="CT114" s="1" t="s">
        <v>123</v>
      </c>
      <c r="DD114" s="1" t="s">
        <v>123</v>
      </c>
      <c r="DN114" s="1" t="s">
        <v>123</v>
      </c>
      <c r="EQ114" s="1" t="s">
        <v>123</v>
      </c>
      <c r="FQ114" s="1" t="s">
        <v>123</v>
      </c>
      <c r="GY114" t="s">
        <v>1768</v>
      </c>
      <c r="GZ114" t="s">
        <v>1769</v>
      </c>
      <c r="HA114" t="s">
        <v>1769</v>
      </c>
      <c r="HB114" t="s">
        <v>186</v>
      </c>
      <c r="HC114">
        <v>1977</v>
      </c>
      <c r="HD114" t="str">
        <f>VLOOKUP(AnalizaCzyste[[#This Row],[Rok urodzenia]],KategorieWiekowe[],2,1)</f>
        <v>36-45 lat</v>
      </c>
      <c r="HE114" t="s">
        <v>141</v>
      </c>
      <c r="HG114" t="s">
        <v>386</v>
      </c>
      <c r="HH114" t="s">
        <v>386</v>
      </c>
    </row>
    <row r="115" spans="1:217" hidden="1" x14ac:dyDescent="0.45">
      <c r="A115">
        <v>215</v>
      </c>
      <c r="B115">
        <f>_xlfn.IFNA(VLOOKUP(AnalizaCzyste[[#This Row],[Zakończono wypełnianie]],Zakończone[],2,0),"BRAK")</f>
        <v>118</v>
      </c>
      <c r="C115">
        <f t="shared" si="3"/>
        <v>34</v>
      </c>
      <c r="D115" t="s">
        <v>1131</v>
      </c>
      <c r="E115" t="s">
        <v>118</v>
      </c>
      <c r="J115" t="s">
        <v>119</v>
      </c>
      <c r="K115" t="s">
        <v>1770</v>
      </c>
      <c r="L115" t="s">
        <v>1771</v>
      </c>
      <c r="M115">
        <v>1129</v>
      </c>
      <c r="O115">
        <v>0</v>
      </c>
      <c r="P115" t="s">
        <v>122</v>
      </c>
      <c r="Q115" s="1" t="s">
        <v>123</v>
      </c>
      <c r="AG115" s="1" t="s">
        <v>124</v>
      </c>
      <c r="AH115" t="s">
        <v>191</v>
      </c>
      <c r="AI115" t="str">
        <f>VLOOKUP(AnalizaCzyste[[#This Row],[Jak się nazywa uczelnia którą ukończyłeś? (proszę o wybranie jednej uczelni podlegającej ocenie)]],KategorieUczelni[],2,0)</f>
        <v>Publiczna</v>
      </c>
      <c r="AJ115">
        <v>2014</v>
      </c>
      <c r="AK115" t="s">
        <v>126</v>
      </c>
      <c r="AL115" t="s">
        <v>1186</v>
      </c>
      <c r="AM115" t="s">
        <v>162</v>
      </c>
      <c r="AN115" t="s">
        <v>150</v>
      </c>
      <c r="AO115" t="s">
        <v>162</v>
      </c>
      <c r="AP115" t="s">
        <v>162</v>
      </c>
      <c r="AQ115" t="s">
        <v>150</v>
      </c>
      <c r="AR115">
        <v>1</v>
      </c>
      <c r="AS115" t="s">
        <v>131</v>
      </c>
      <c r="AT115" t="s">
        <v>153</v>
      </c>
      <c r="AV115" t="s">
        <v>766</v>
      </c>
      <c r="AW115" t="s">
        <v>1772</v>
      </c>
      <c r="AX115" t="s">
        <v>172</v>
      </c>
      <c r="AZ115" s="1" t="s">
        <v>123</v>
      </c>
      <c r="CT115" s="1" t="s">
        <v>123</v>
      </c>
      <c r="DD115" s="1" t="s">
        <v>123</v>
      </c>
      <c r="DN115" s="1" t="s">
        <v>123</v>
      </c>
      <c r="EQ115" s="1" t="s">
        <v>123</v>
      </c>
      <c r="FQ115" s="1" t="s">
        <v>123</v>
      </c>
      <c r="GY115" t="s">
        <v>1773</v>
      </c>
      <c r="GZ115" t="s">
        <v>1774</v>
      </c>
      <c r="HA115" t="s">
        <v>1775</v>
      </c>
      <c r="HB115" t="s">
        <v>140</v>
      </c>
      <c r="HC115">
        <v>1990</v>
      </c>
      <c r="HD115" t="str">
        <f>VLOOKUP(AnalizaCzyste[[#This Row],[Rok urodzenia]],KategorieWiekowe[],2,1)</f>
        <v>26-35 lat</v>
      </c>
      <c r="HE115" t="s">
        <v>141</v>
      </c>
      <c r="HG115" t="s">
        <v>1776</v>
      </c>
      <c r="HH115" t="s">
        <v>1777</v>
      </c>
    </row>
    <row r="116" spans="1:217" hidden="1" x14ac:dyDescent="0.45">
      <c r="A116">
        <v>217</v>
      </c>
      <c r="B116">
        <f>_xlfn.IFNA(VLOOKUP(AnalizaCzyste[[#This Row],[Zakończono wypełnianie]],Zakończone[],2,0),"BRAK")</f>
        <v>119</v>
      </c>
      <c r="C116">
        <f t="shared" si="3"/>
        <v>34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AG116" s="1" t="s">
        <v>124</v>
      </c>
      <c r="AH116" t="s">
        <v>223</v>
      </c>
      <c r="AI116" t="str">
        <f>VLOOKUP(AnalizaCzyste[[#This Row],[Jak się nazywa uczelnia którą ukończyłeś? (proszę o wybranie jednej uczelni podlegającej ocenie)]],KategorieUczelni[],2,0)</f>
        <v>Publiczna</v>
      </c>
      <c r="AJ116">
        <v>2011</v>
      </c>
      <c r="AK116" t="s">
        <v>148</v>
      </c>
      <c r="AL116" t="s">
        <v>1784</v>
      </c>
      <c r="AM116" t="s">
        <v>150</v>
      </c>
      <c r="AN116" t="s">
        <v>162</v>
      </c>
      <c r="AO116" t="s">
        <v>169</v>
      </c>
      <c r="AP116" t="s">
        <v>150</v>
      </c>
      <c r="AQ116" t="s">
        <v>150</v>
      </c>
      <c r="AR116">
        <v>2</v>
      </c>
      <c r="AS116" t="s">
        <v>302</v>
      </c>
      <c r="AT116" t="s">
        <v>153</v>
      </c>
      <c r="AU116" t="s">
        <v>1785</v>
      </c>
      <c r="AV116" t="s">
        <v>1786</v>
      </c>
      <c r="AW116" t="s">
        <v>1787</v>
      </c>
      <c r="AX116" t="s">
        <v>157</v>
      </c>
      <c r="AZ116" s="1" t="s">
        <v>123</v>
      </c>
      <c r="CT116" s="1" t="s">
        <v>123</v>
      </c>
      <c r="DD116" s="1" t="s">
        <v>123</v>
      </c>
      <c r="DN116" s="1" t="s">
        <v>123</v>
      </c>
      <c r="EQ116" s="1" t="s">
        <v>123</v>
      </c>
      <c r="FQ116" s="1" t="s">
        <v>123</v>
      </c>
      <c r="GY116" t="s">
        <v>1788</v>
      </c>
      <c r="GZ116" t="s">
        <v>1789</v>
      </c>
      <c r="HA116" t="s">
        <v>1790</v>
      </c>
      <c r="HB116" t="s">
        <v>140</v>
      </c>
      <c r="HC116">
        <v>1986</v>
      </c>
      <c r="HD116" t="str">
        <f>VLOOKUP(AnalizaCzyste[[#This Row],[Rok urodzenia]],KategorieWiekowe[],2,1)</f>
        <v>26-35 lat</v>
      </c>
      <c r="HE116" t="s">
        <v>398</v>
      </c>
      <c r="HG116" t="s">
        <v>1791</v>
      </c>
    </row>
    <row r="117" spans="1:217" hidden="1" x14ac:dyDescent="0.45">
      <c r="A117">
        <v>218</v>
      </c>
      <c r="B117">
        <f>_xlfn.IFNA(VLOOKUP(AnalizaCzyste[[#This Row],[Zakończono wypełnianie]],Zakończone[],2,0),"BRAK")</f>
        <v>120</v>
      </c>
      <c r="C117">
        <f t="shared" si="3"/>
        <v>33</v>
      </c>
      <c r="D117" t="s">
        <v>1792</v>
      </c>
      <c r="E117" t="s">
        <v>118</v>
      </c>
      <c r="F117" t="s">
        <v>359</v>
      </c>
      <c r="J117" t="s">
        <v>119</v>
      </c>
      <c r="K117" t="s">
        <v>1793</v>
      </c>
      <c r="L117" t="s">
        <v>1794</v>
      </c>
      <c r="M117">
        <v>465</v>
      </c>
      <c r="O117">
        <v>0</v>
      </c>
      <c r="P117" t="s">
        <v>122</v>
      </c>
      <c r="Q117" s="1" t="s">
        <v>123</v>
      </c>
      <c r="AG117" s="1" t="s">
        <v>124</v>
      </c>
      <c r="AH117" t="s">
        <v>191</v>
      </c>
      <c r="AI117" t="str">
        <f>VLOOKUP(AnalizaCzyste[[#This Row],[Jak się nazywa uczelnia którą ukończyłeś? (proszę o wybranie jednej uczelni podlegającej ocenie)]],KategorieUczelni[],2,0)</f>
        <v>Publiczna</v>
      </c>
      <c r="AJ117">
        <v>2016</v>
      </c>
      <c r="AK117" t="s">
        <v>126</v>
      </c>
      <c r="AL117" t="s">
        <v>1795</v>
      </c>
      <c r="AM117" t="s">
        <v>236</v>
      </c>
      <c r="AN117" t="s">
        <v>236</v>
      </c>
      <c r="AO117" t="s">
        <v>129</v>
      </c>
      <c r="AP117" t="s">
        <v>129</v>
      </c>
      <c r="AQ117" t="s">
        <v>129</v>
      </c>
      <c r="AR117">
        <v>34</v>
      </c>
      <c r="AS117" t="s">
        <v>152</v>
      </c>
      <c r="AT117" t="s">
        <v>152</v>
      </c>
      <c r="AU117" t="s">
        <v>1796</v>
      </c>
      <c r="AV117" t="s">
        <v>1797</v>
      </c>
      <c r="AW117" t="s">
        <v>1798</v>
      </c>
      <c r="AX117" t="s">
        <v>157</v>
      </c>
      <c r="AZ117" s="1" t="s">
        <v>123</v>
      </c>
      <c r="CT117" s="1" t="s">
        <v>123</v>
      </c>
      <c r="DD117" s="1" t="s">
        <v>123</v>
      </c>
      <c r="DN117" s="1" t="s">
        <v>123</v>
      </c>
      <c r="EQ117" s="1" t="s">
        <v>123</v>
      </c>
      <c r="FQ117" s="1" t="s">
        <v>123</v>
      </c>
      <c r="GY117" t="s">
        <v>1799</v>
      </c>
      <c r="GZ117" t="s">
        <v>1800</v>
      </c>
      <c r="HA117" t="s">
        <v>1801</v>
      </c>
      <c r="HB117" t="s">
        <v>140</v>
      </c>
      <c r="HC117" s="42">
        <v>1995</v>
      </c>
      <c r="HD117" t="str">
        <f>VLOOKUP(AnalizaCzyste[[#This Row],[Rok urodzenia]],KategorieWiekowe[],2,1)</f>
        <v>poniżej 26 lat</v>
      </c>
      <c r="HE117" t="s">
        <v>483</v>
      </c>
    </row>
    <row r="118" spans="1:217" hidden="1" x14ac:dyDescent="0.45">
      <c r="A118">
        <v>220</v>
      </c>
      <c r="B118">
        <f>_xlfn.IFNA(VLOOKUP(AnalizaCzyste[[#This Row],[Zakończono wypełnianie]],Zakończone[],2,0),"BRAK")</f>
        <v>121</v>
      </c>
      <c r="C118">
        <f t="shared" si="3"/>
        <v>36</v>
      </c>
      <c r="D118" t="s">
        <v>1336</v>
      </c>
      <c r="E118" t="s">
        <v>118</v>
      </c>
      <c r="J118" t="s">
        <v>119</v>
      </c>
      <c r="K118" t="s">
        <v>1808</v>
      </c>
      <c r="L118" t="s">
        <v>1809</v>
      </c>
      <c r="M118">
        <v>2379</v>
      </c>
      <c r="O118">
        <v>0</v>
      </c>
      <c r="P118" t="s">
        <v>122</v>
      </c>
      <c r="Q118" s="1" t="s">
        <v>123</v>
      </c>
      <c r="AG118" s="1" t="s">
        <v>124</v>
      </c>
      <c r="AH118" t="s">
        <v>223</v>
      </c>
      <c r="AI118" t="str">
        <f>VLOOKUP(AnalizaCzyste[[#This Row],[Jak się nazywa uczelnia którą ukończyłeś? (proszę o wybranie jednej uczelni podlegającej ocenie)]],KategorieUczelni[],2,0)</f>
        <v>Publiczna</v>
      </c>
      <c r="AJ118">
        <v>2012</v>
      </c>
      <c r="AK118" t="s">
        <v>148</v>
      </c>
      <c r="AL118" t="s">
        <v>1810</v>
      </c>
      <c r="AM118" t="s">
        <v>150</v>
      </c>
      <c r="AN118" t="s">
        <v>162</v>
      </c>
      <c r="AO118" t="s">
        <v>150</v>
      </c>
      <c r="AP118" t="s">
        <v>162</v>
      </c>
      <c r="AQ118" t="s">
        <v>150</v>
      </c>
      <c r="AR118" t="s">
        <v>237</v>
      </c>
      <c r="AS118" t="s">
        <v>132</v>
      </c>
      <c r="AT118" t="s">
        <v>132</v>
      </c>
      <c r="AU118" t="s">
        <v>1811</v>
      </c>
      <c r="AV118" t="s">
        <v>1812</v>
      </c>
      <c r="AW118" t="s">
        <v>1813</v>
      </c>
      <c r="AX118" t="s">
        <v>230</v>
      </c>
      <c r="AY118" t="s">
        <v>1814</v>
      </c>
      <c r="AZ118" s="1" t="s">
        <v>123</v>
      </c>
      <c r="CT118" s="1" t="s">
        <v>123</v>
      </c>
      <c r="DD118" s="1" t="s">
        <v>123</v>
      </c>
      <c r="DN118" s="1" t="s">
        <v>123</v>
      </c>
      <c r="EQ118" s="1" t="s">
        <v>123</v>
      </c>
      <c r="FQ118" s="1" t="s">
        <v>123</v>
      </c>
      <c r="GY118" t="s">
        <v>1815</v>
      </c>
      <c r="GZ118" t="s">
        <v>1816</v>
      </c>
      <c r="HA118" t="s">
        <v>1817</v>
      </c>
      <c r="HB118" t="s">
        <v>140</v>
      </c>
      <c r="HC118">
        <v>1986</v>
      </c>
      <c r="HD118" t="str">
        <f>VLOOKUP(AnalizaCzyste[[#This Row],[Rok urodzenia]],KategorieWiekowe[],2,1)</f>
        <v>26-35 lat</v>
      </c>
      <c r="HE118" t="s">
        <v>246</v>
      </c>
      <c r="HG118" t="s">
        <v>1818</v>
      </c>
      <c r="HH118" t="s">
        <v>1819</v>
      </c>
    </row>
    <row r="119" spans="1:217" hidden="1" x14ac:dyDescent="0.45">
      <c r="A119">
        <v>223</v>
      </c>
      <c r="B119">
        <f>_xlfn.IFNA(VLOOKUP(AnalizaCzyste[[#This Row],[Zakończono wypełnianie]],Zakończone[],2,0),"BRAK")</f>
        <v>122</v>
      </c>
      <c r="C119">
        <f t="shared" si="3"/>
        <v>43</v>
      </c>
      <c r="D119" t="s">
        <v>1827</v>
      </c>
      <c r="E119" t="s">
        <v>118</v>
      </c>
      <c r="J119" t="s">
        <v>119</v>
      </c>
      <c r="K119" t="s">
        <v>1828</v>
      </c>
      <c r="L119" t="s">
        <v>1829</v>
      </c>
      <c r="M119">
        <v>673</v>
      </c>
      <c r="O119">
        <v>0</v>
      </c>
      <c r="P119" t="s">
        <v>122</v>
      </c>
      <c r="Q119" s="1" t="s">
        <v>123</v>
      </c>
      <c r="AG119" s="1" t="s">
        <v>124</v>
      </c>
      <c r="AH119" t="s">
        <v>223</v>
      </c>
      <c r="AI119" t="str">
        <f>VLOOKUP(AnalizaCzyste[[#This Row],[Jak się nazywa uczelnia którą ukończyłeś? (proszę o wybranie jednej uczelni podlegającej ocenie)]],KategorieUczelni[],2,0)</f>
        <v>Publiczna</v>
      </c>
      <c r="AJ119">
        <v>2005</v>
      </c>
      <c r="AK119" t="s">
        <v>148</v>
      </c>
      <c r="AL119" t="s">
        <v>1831</v>
      </c>
      <c r="AM119" t="s">
        <v>162</v>
      </c>
      <c r="AN119" t="s">
        <v>169</v>
      </c>
      <c r="AO119" t="s">
        <v>169</v>
      </c>
      <c r="AP119" t="s">
        <v>128</v>
      </c>
      <c r="AQ119" t="s">
        <v>162</v>
      </c>
      <c r="AR119" t="s">
        <v>237</v>
      </c>
      <c r="AS119" t="s">
        <v>302</v>
      </c>
      <c r="AT119" t="s">
        <v>153</v>
      </c>
      <c r="AU119" t="s">
        <v>1832</v>
      </c>
      <c r="AV119" t="s">
        <v>1833</v>
      </c>
      <c r="AW119" t="s">
        <v>1834</v>
      </c>
      <c r="AY119" t="s">
        <v>158</v>
      </c>
      <c r="AZ119" s="1" t="s">
        <v>123</v>
      </c>
      <c r="CT119" s="1" t="s">
        <v>123</v>
      </c>
      <c r="DD119" s="1" t="s">
        <v>214</v>
      </c>
      <c r="DE119" t="s">
        <v>191</v>
      </c>
      <c r="DF119" t="s">
        <v>2277</v>
      </c>
      <c r="DG119" t="s">
        <v>150</v>
      </c>
      <c r="DH119" t="s">
        <v>150</v>
      </c>
      <c r="DI119" t="s">
        <v>151</v>
      </c>
      <c r="DJ119" t="s">
        <v>150</v>
      </c>
      <c r="DK119" t="s">
        <v>169</v>
      </c>
      <c r="DL119" t="s">
        <v>169</v>
      </c>
      <c r="DM119" t="s">
        <v>1836</v>
      </c>
      <c r="DN119" s="1" t="s">
        <v>123</v>
      </c>
      <c r="EQ119" s="1" t="s">
        <v>123</v>
      </c>
      <c r="FQ119" s="1" t="s">
        <v>123</v>
      </c>
      <c r="GY119" t="s">
        <v>1837</v>
      </c>
      <c r="GZ119" t="s">
        <v>1838</v>
      </c>
      <c r="HA119" t="s">
        <v>1839</v>
      </c>
      <c r="HB119" t="s">
        <v>140</v>
      </c>
      <c r="HC119">
        <v>1981</v>
      </c>
      <c r="HD119" t="str">
        <f>VLOOKUP(AnalizaCzyste[[#This Row],[Rok urodzenia]],KategorieWiekowe[],2,1)</f>
        <v>36-45 lat</v>
      </c>
      <c r="HE119" t="s">
        <v>141</v>
      </c>
      <c r="HG119" t="s">
        <v>1840</v>
      </c>
    </row>
    <row r="120" spans="1:217" hidden="1" x14ac:dyDescent="0.45">
      <c r="A120">
        <v>227</v>
      </c>
      <c r="B120">
        <f>_xlfn.IFNA(VLOOKUP(AnalizaCzyste[[#This Row],[Zakończono wypełnianie]],Zakończone[],2,0),"BRAK")</f>
        <v>123</v>
      </c>
      <c r="C120">
        <f t="shared" si="3"/>
        <v>35</v>
      </c>
      <c r="D120" t="s">
        <v>1845</v>
      </c>
      <c r="E120" t="s">
        <v>118</v>
      </c>
      <c r="J120" t="s">
        <v>119</v>
      </c>
      <c r="K120" t="s">
        <v>1846</v>
      </c>
      <c r="L120" t="s">
        <v>1847</v>
      </c>
      <c r="M120">
        <v>790</v>
      </c>
      <c r="O120">
        <v>0</v>
      </c>
      <c r="P120" t="s">
        <v>122</v>
      </c>
      <c r="Q120" s="1" t="s">
        <v>123</v>
      </c>
      <c r="AG120" s="1" t="s">
        <v>124</v>
      </c>
      <c r="AH120" t="s">
        <v>223</v>
      </c>
      <c r="AI120" t="str">
        <f>VLOOKUP(AnalizaCzyste[[#This Row],[Jak się nazywa uczelnia którą ukończyłeś? (proszę o wybranie jednej uczelni podlegającej ocenie)]],KategorieUczelni[],2,0)</f>
        <v>Publiczna</v>
      </c>
      <c r="AJ120">
        <v>2018</v>
      </c>
      <c r="AK120" t="s">
        <v>148</v>
      </c>
      <c r="AL120" t="s">
        <v>461</v>
      </c>
      <c r="AM120" t="s">
        <v>162</v>
      </c>
      <c r="AN120" t="s">
        <v>162</v>
      </c>
      <c r="AO120" t="s">
        <v>150</v>
      </c>
      <c r="AP120" t="s">
        <v>169</v>
      </c>
      <c r="AQ120" t="s">
        <v>132</v>
      </c>
      <c r="AR120" t="s">
        <v>1848</v>
      </c>
      <c r="AS120" t="s">
        <v>302</v>
      </c>
      <c r="AT120" t="s">
        <v>132</v>
      </c>
      <c r="AU120" t="s">
        <v>1849</v>
      </c>
      <c r="AV120" t="s">
        <v>1850</v>
      </c>
      <c r="AW120" t="s">
        <v>1851</v>
      </c>
      <c r="AX120" t="s">
        <v>157</v>
      </c>
      <c r="AZ120" s="1" t="s">
        <v>123</v>
      </c>
      <c r="CT120" s="1" t="s">
        <v>123</v>
      </c>
      <c r="DD120" s="1" t="s">
        <v>123</v>
      </c>
      <c r="DN120" s="1" t="s">
        <v>123</v>
      </c>
      <c r="EQ120" s="1" t="s">
        <v>123</v>
      </c>
      <c r="FQ120" s="1" t="s">
        <v>123</v>
      </c>
      <c r="GY120" t="s">
        <v>1852</v>
      </c>
      <c r="GZ120" t="s">
        <v>1853</v>
      </c>
      <c r="HA120" t="s">
        <v>1854</v>
      </c>
      <c r="HB120" t="s">
        <v>140</v>
      </c>
      <c r="HC120">
        <v>1994</v>
      </c>
      <c r="HD120" t="str">
        <f>VLOOKUP(AnalizaCzyste[[#This Row],[Rok urodzenia]],KategorieWiekowe[],2,1)</f>
        <v>26-35 lat</v>
      </c>
      <c r="HE120" t="s">
        <v>141</v>
      </c>
      <c r="HF120" t="s">
        <v>1855</v>
      </c>
      <c r="HG120" t="s">
        <v>1856</v>
      </c>
    </row>
    <row r="121" spans="1:217" hidden="1" x14ac:dyDescent="0.45">
      <c r="A121">
        <v>231</v>
      </c>
      <c r="B121">
        <f>_xlfn.IFNA(VLOOKUP(AnalizaCzyste[[#This Row],[Zakończono wypełnianie]],Zakończone[],2,0),"BRAK")</f>
        <v>124</v>
      </c>
      <c r="C121">
        <f t="shared" si="3"/>
        <v>33</v>
      </c>
      <c r="D121" t="s">
        <v>1864</v>
      </c>
      <c r="E121" t="s">
        <v>118</v>
      </c>
      <c r="F121" t="s">
        <v>359</v>
      </c>
      <c r="J121" t="s">
        <v>119</v>
      </c>
      <c r="K121" t="s">
        <v>1865</v>
      </c>
      <c r="L121" t="s">
        <v>1866</v>
      </c>
      <c r="M121">
        <v>607</v>
      </c>
      <c r="O121">
        <v>0</v>
      </c>
      <c r="P121" t="s">
        <v>122</v>
      </c>
      <c r="Q121" s="1" t="s">
        <v>123</v>
      </c>
      <c r="AG121" s="1" t="s">
        <v>124</v>
      </c>
      <c r="AH121" t="s">
        <v>191</v>
      </c>
      <c r="AI121" t="str">
        <f>VLOOKUP(AnalizaCzyste[[#This Row],[Jak się nazywa uczelnia którą ukończyłeś? (proszę o wybranie jednej uczelni podlegającej ocenie)]],KategorieUczelni[],2,0)</f>
        <v>Publiczna</v>
      </c>
      <c r="AJ121">
        <v>2015</v>
      </c>
      <c r="AK121" t="s">
        <v>148</v>
      </c>
      <c r="AL121" t="s">
        <v>1867</v>
      </c>
      <c r="AM121" t="s">
        <v>162</v>
      </c>
      <c r="AN121" t="s">
        <v>150</v>
      </c>
      <c r="AO121" t="s">
        <v>169</v>
      </c>
      <c r="AP121" t="s">
        <v>151</v>
      </c>
      <c r="AQ121" t="s">
        <v>162</v>
      </c>
      <c r="AR121" t="s">
        <v>1868</v>
      </c>
      <c r="AS121" t="s">
        <v>153</v>
      </c>
      <c r="AT121" t="s">
        <v>226</v>
      </c>
      <c r="AU121" t="s">
        <v>1869</v>
      </c>
      <c r="AV121" t="s">
        <v>1870</v>
      </c>
      <c r="AW121" t="s">
        <v>1871</v>
      </c>
      <c r="AX121" t="s">
        <v>172</v>
      </c>
      <c r="AZ121" s="1" t="s">
        <v>123</v>
      </c>
      <c r="CT121" s="1" t="s">
        <v>123</v>
      </c>
      <c r="DD121" s="1" t="s">
        <v>123</v>
      </c>
      <c r="DN121" s="1" t="s">
        <v>123</v>
      </c>
      <c r="EQ121" s="1" t="s">
        <v>123</v>
      </c>
      <c r="FQ121" s="1" t="s">
        <v>123</v>
      </c>
      <c r="GY121" t="s">
        <v>276</v>
      </c>
      <c r="GZ121" t="s">
        <v>1872</v>
      </c>
      <c r="HA121" t="s">
        <v>1873</v>
      </c>
      <c r="HB121" t="s">
        <v>186</v>
      </c>
      <c r="HC121">
        <v>1991</v>
      </c>
      <c r="HD121" t="str">
        <f>VLOOKUP(AnalizaCzyste[[#This Row],[Rok urodzenia]],KategorieWiekowe[],2,1)</f>
        <v>26-35 lat</v>
      </c>
      <c r="HE121" t="s">
        <v>398</v>
      </c>
    </row>
    <row r="122" spans="1:217" hidden="1" x14ac:dyDescent="0.45">
      <c r="A122">
        <v>233</v>
      </c>
      <c r="B122">
        <f>_xlfn.IFNA(VLOOKUP(AnalizaCzyste[[#This Row],[Zakończono wypełnianie]],Zakończone[],2,0),"BRAK")</f>
        <v>125</v>
      </c>
      <c r="C122">
        <f t="shared" si="3"/>
        <v>46</v>
      </c>
      <c r="D122" t="s">
        <v>1880</v>
      </c>
      <c r="E122" t="s">
        <v>118</v>
      </c>
      <c r="F122" t="s">
        <v>359</v>
      </c>
      <c r="J122" t="s">
        <v>119</v>
      </c>
      <c r="K122" t="s">
        <v>1881</v>
      </c>
      <c r="L122" t="s">
        <v>1882</v>
      </c>
      <c r="M122">
        <v>627</v>
      </c>
      <c r="O122">
        <v>0</v>
      </c>
      <c r="P122" t="s">
        <v>122</v>
      </c>
      <c r="Q122" s="1" t="s">
        <v>123</v>
      </c>
      <c r="AG122" s="1" t="s">
        <v>124</v>
      </c>
      <c r="AH122" s="20" t="s">
        <v>191</v>
      </c>
      <c r="AI122" s="20" t="str">
        <f>VLOOKUP(AnalizaCzyste[[#This Row],[Jak się nazywa uczelnia którą ukończyłeś? (proszę o wybranie jednej uczelni podlegającej ocenie)]],KategorieUczelni[],2,0)</f>
        <v>Publiczna</v>
      </c>
      <c r="AJ122">
        <v>2011</v>
      </c>
      <c r="AK122" t="s">
        <v>126</v>
      </c>
      <c r="AL122" t="s">
        <v>1883</v>
      </c>
      <c r="AM122" t="s">
        <v>169</v>
      </c>
      <c r="AN122" t="s">
        <v>169</v>
      </c>
      <c r="AO122" t="s">
        <v>169</v>
      </c>
      <c r="AP122" t="s">
        <v>151</v>
      </c>
      <c r="AQ122" t="s">
        <v>150</v>
      </c>
      <c r="AR122" t="s">
        <v>1884</v>
      </c>
      <c r="AS122" t="s">
        <v>131</v>
      </c>
      <c r="AT122" t="s">
        <v>153</v>
      </c>
      <c r="AU122" t="s">
        <v>1885</v>
      </c>
      <c r="AV122" t="s">
        <v>1886</v>
      </c>
      <c r="AW122" t="s">
        <v>1887</v>
      </c>
      <c r="AX122" t="s">
        <v>157</v>
      </c>
      <c r="AY122" t="s">
        <v>1888</v>
      </c>
      <c r="AZ122" s="1" t="s">
        <v>123</v>
      </c>
      <c r="CT122" s="1" t="s">
        <v>123</v>
      </c>
      <c r="DD122" s="1" t="s">
        <v>123</v>
      </c>
      <c r="DN122" s="1" t="s">
        <v>123</v>
      </c>
      <c r="EQ122" s="1" t="s">
        <v>177</v>
      </c>
      <c r="ER122" t="s">
        <v>180</v>
      </c>
      <c r="ES122" t="s">
        <v>132</v>
      </c>
      <c r="ET122" t="s">
        <v>1889</v>
      </c>
      <c r="EU122" t="s">
        <v>132</v>
      </c>
      <c r="EV122" t="s">
        <v>132</v>
      </c>
      <c r="EW122" t="s">
        <v>132</v>
      </c>
      <c r="EX122" t="s">
        <v>180</v>
      </c>
      <c r="EY122" t="s">
        <v>1889</v>
      </c>
      <c r="EZ122" t="s">
        <v>1889</v>
      </c>
      <c r="FA122" t="s">
        <v>173</v>
      </c>
      <c r="FQ122" s="1" t="s">
        <v>123</v>
      </c>
      <c r="GY122" t="s">
        <v>1889</v>
      </c>
      <c r="GZ122" t="s">
        <v>1889</v>
      </c>
      <c r="HA122" t="s">
        <v>1889</v>
      </c>
      <c r="HB122" t="s">
        <v>140</v>
      </c>
      <c r="HC122">
        <v>1987</v>
      </c>
      <c r="HD122" t="str">
        <f>VLOOKUP(AnalizaCzyste[[#This Row],[Rok urodzenia]],KategorieWiekowe[],2,1)</f>
        <v>26-35 lat</v>
      </c>
      <c r="HE122" t="s">
        <v>220</v>
      </c>
      <c r="HG122" t="s">
        <v>1889</v>
      </c>
      <c r="HH122" t="s">
        <v>1889</v>
      </c>
    </row>
    <row r="123" spans="1:217" hidden="1" x14ac:dyDescent="0.45">
      <c r="A123">
        <v>234</v>
      </c>
      <c r="B123">
        <f>_xlfn.IFNA(VLOOKUP(AnalizaCzyste[[#This Row],[Zakończono wypełnianie]],Zakończone[],2,0),"BRAK")</f>
        <v>126</v>
      </c>
      <c r="C123">
        <f t="shared" si="3"/>
        <v>32</v>
      </c>
      <c r="D123" t="s">
        <v>1890</v>
      </c>
      <c r="E123" t="s">
        <v>118</v>
      </c>
      <c r="J123" t="s">
        <v>119</v>
      </c>
      <c r="K123" t="s">
        <v>1891</v>
      </c>
      <c r="L123" t="s">
        <v>1892</v>
      </c>
      <c r="M123">
        <v>680</v>
      </c>
      <c r="O123">
        <v>0</v>
      </c>
      <c r="P123" t="s">
        <v>122</v>
      </c>
      <c r="Q123" s="1" t="s">
        <v>123</v>
      </c>
      <c r="AG123" s="1" t="s">
        <v>124</v>
      </c>
      <c r="AH123" t="s">
        <v>191</v>
      </c>
      <c r="AI123" t="str">
        <f>VLOOKUP(AnalizaCzyste[[#This Row],[Jak się nazywa uczelnia którą ukończyłeś? (proszę o wybranie jednej uczelni podlegającej ocenie)]],KategorieUczelni[],2,0)</f>
        <v>Publiczna</v>
      </c>
      <c r="AJ123">
        <v>2016</v>
      </c>
      <c r="AK123" t="s">
        <v>126</v>
      </c>
      <c r="AL123" t="s">
        <v>1893</v>
      </c>
      <c r="AM123" t="s">
        <v>150</v>
      </c>
      <c r="AN123" t="s">
        <v>150</v>
      </c>
      <c r="AO123" t="s">
        <v>150</v>
      </c>
      <c r="AP123" t="s">
        <v>128</v>
      </c>
      <c r="AQ123" t="s">
        <v>150</v>
      </c>
      <c r="AR123" t="s">
        <v>530</v>
      </c>
      <c r="AS123" t="s">
        <v>302</v>
      </c>
      <c r="AT123" t="s">
        <v>226</v>
      </c>
      <c r="AV123" t="s">
        <v>1894</v>
      </c>
      <c r="AW123" t="s">
        <v>1895</v>
      </c>
      <c r="AX123" t="s">
        <v>157</v>
      </c>
      <c r="AZ123" s="1" t="s">
        <v>123</v>
      </c>
      <c r="CT123" s="1" t="s">
        <v>123</v>
      </c>
      <c r="DD123" s="1" t="s">
        <v>123</v>
      </c>
      <c r="DN123" s="1" t="s">
        <v>123</v>
      </c>
      <c r="EQ123" s="1" t="s">
        <v>123</v>
      </c>
      <c r="FQ123" s="1" t="s">
        <v>123</v>
      </c>
      <c r="GY123" t="s">
        <v>1896</v>
      </c>
      <c r="GZ123" t="s">
        <v>1897</v>
      </c>
      <c r="HA123" t="s">
        <v>1898</v>
      </c>
      <c r="HB123" t="s">
        <v>140</v>
      </c>
      <c r="HC123">
        <v>1991</v>
      </c>
      <c r="HD123" t="str">
        <f>VLOOKUP(AnalizaCzyste[[#This Row],[Rok urodzenia]],KategorieWiekowe[],2,1)</f>
        <v>26-35 lat</v>
      </c>
      <c r="HE123" t="s">
        <v>398</v>
      </c>
    </row>
    <row r="124" spans="1:217" hidden="1" x14ac:dyDescent="0.45">
      <c r="A124">
        <v>235</v>
      </c>
      <c r="B124">
        <f>_xlfn.IFNA(VLOOKUP(AnalizaCzyste[[#This Row],[Zakończono wypełnianie]],Zakończone[],2,0),"BRAK")</f>
        <v>127</v>
      </c>
      <c r="C124">
        <f t="shared" si="3"/>
        <v>35</v>
      </c>
      <c r="D124" t="s">
        <v>1899</v>
      </c>
      <c r="E124" t="s">
        <v>118</v>
      </c>
      <c r="F124" t="s">
        <v>359</v>
      </c>
      <c r="J124" t="s">
        <v>119</v>
      </c>
      <c r="K124" t="s">
        <v>1900</v>
      </c>
      <c r="L124" t="s">
        <v>1901</v>
      </c>
      <c r="M124">
        <v>650</v>
      </c>
      <c r="O124">
        <v>0</v>
      </c>
      <c r="P124" t="s">
        <v>122</v>
      </c>
      <c r="Q124" s="1" t="s">
        <v>123</v>
      </c>
      <c r="AG124" s="1" t="s">
        <v>124</v>
      </c>
      <c r="AH124" t="s">
        <v>223</v>
      </c>
      <c r="AI124" t="str">
        <f>VLOOKUP(AnalizaCzyste[[#This Row],[Jak się nazywa uczelnia którą ukończyłeś? (proszę o wybranie jednej uczelni podlegającej ocenie)]],KategorieUczelni[],2,0)</f>
        <v>Publiczna</v>
      </c>
      <c r="AJ124">
        <v>2009</v>
      </c>
      <c r="AK124" t="s">
        <v>148</v>
      </c>
      <c r="AL124" t="s">
        <v>1666</v>
      </c>
      <c r="AM124" t="s">
        <v>162</v>
      </c>
      <c r="AN124" t="s">
        <v>151</v>
      </c>
      <c r="AO124" t="s">
        <v>236</v>
      </c>
      <c r="AP124" t="s">
        <v>236</v>
      </c>
      <c r="AQ124" t="s">
        <v>128</v>
      </c>
      <c r="AR124">
        <v>9</v>
      </c>
      <c r="AS124" t="s">
        <v>131</v>
      </c>
      <c r="AT124" t="s">
        <v>153</v>
      </c>
      <c r="AU124" t="s">
        <v>1902</v>
      </c>
      <c r="AV124" t="s">
        <v>1903</v>
      </c>
      <c r="AW124" t="s">
        <v>1904</v>
      </c>
      <c r="AY124" t="s">
        <v>1905</v>
      </c>
      <c r="AZ124" s="1" t="s">
        <v>123</v>
      </c>
      <c r="CT124" s="1" t="s">
        <v>123</v>
      </c>
      <c r="DD124" s="1" t="s">
        <v>123</v>
      </c>
      <c r="DN124" s="1" t="s">
        <v>123</v>
      </c>
      <c r="EQ124" s="1" t="s">
        <v>123</v>
      </c>
      <c r="FQ124" s="1" t="s">
        <v>123</v>
      </c>
      <c r="GY124" t="s">
        <v>1906</v>
      </c>
      <c r="GZ124" t="s">
        <v>1907</v>
      </c>
      <c r="HA124" t="s">
        <v>1908</v>
      </c>
      <c r="HB124" t="s">
        <v>140</v>
      </c>
      <c r="HC124">
        <v>1985</v>
      </c>
      <c r="HD124" t="str">
        <f>VLOOKUP(AnalizaCzyste[[#This Row],[Rok urodzenia]],KategorieWiekowe[],2,1)</f>
        <v>26-35 lat</v>
      </c>
      <c r="HE124" t="s">
        <v>141</v>
      </c>
      <c r="HG124" t="s">
        <v>142</v>
      </c>
      <c r="HH124" t="s">
        <v>1909</v>
      </c>
    </row>
    <row r="125" spans="1:217" hidden="1" x14ac:dyDescent="0.45">
      <c r="A125">
        <v>236</v>
      </c>
      <c r="B125">
        <f>_xlfn.IFNA(VLOOKUP(AnalizaCzyste[[#This Row],[Zakończono wypełnianie]],Zakończone[],2,0),"BRAK")</f>
        <v>128</v>
      </c>
      <c r="C125">
        <f t="shared" si="3"/>
        <v>36</v>
      </c>
      <c r="D125" t="s">
        <v>1910</v>
      </c>
      <c r="E125" t="s">
        <v>118</v>
      </c>
      <c r="F125" t="s">
        <v>1911</v>
      </c>
      <c r="J125" t="s">
        <v>119</v>
      </c>
      <c r="K125" t="s">
        <v>1912</v>
      </c>
      <c r="L125" t="s">
        <v>1913</v>
      </c>
      <c r="M125">
        <v>1026</v>
      </c>
      <c r="O125">
        <v>0</v>
      </c>
      <c r="P125" t="s">
        <v>122</v>
      </c>
      <c r="Q125" s="1" t="s">
        <v>123</v>
      </c>
      <c r="AG125" s="1" t="s">
        <v>124</v>
      </c>
      <c r="AH125" t="s">
        <v>191</v>
      </c>
      <c r="AI125" t="str">
        <f>VLOOKUP(AnalizaCzyste[[#This Row],[Jak się nazywa uczelnia którą ukończyłeś? (proszę o wybranie jednej uczelni podlegającej ocenie)]],KategorieUczelni[],2,0)</f>
        <v>Publiczna</v>
      </c>
      <c r="AJ125">
        <v>2011</v>
      </c>
      <c r="AK125" t="s">
        <v>126</v>
      </c>
      <c r="AL125" t="s">
        <v>1914</v>
      </c>
      <c r="AM125" t="s">
        <v>150</v>
      </c>
      <c r="AN125" t="s">
        <v>162</v>
      </c>
      <c r="AO125" t="s">
        <v>150</v>
      </c>
      <c r="AP125" t="s">
        <v>151</v>
      </c>
      <c r="AQ125" t="s">
        <v>169</v>
      </c>
      <c r="AR125" t="s">
        <v>1362</v>
      </c>
      <c r="AS125" t="s">
        <v>131</v>
      </c>
      <c r="AT125" t="s">
        <v>759</v>
      </c>
      <c r="AU125" t="s">
        <v>1915</v>
      </c>
      <c r="AV125" t="s">
        <v>1916</v>
      </c>
      <c r="AW125" t="s">
        <v>1917</v>
      </c>
      <c r="AY125" t="s">
        <v>1918</v>
      </c>
      <c r="AZ125" s="1" t="s">
        <v>123</v>
      </c>
      <c r="CT125" s="1" t="s">
        <v>123</v>
      </c>
      <c r="DD125" s="1" t="s">
        <v>123</v>
      </c>
      <c r="DN125" s="1" t="s">
        <v>123</v>
      </c>
      <c r="EQ125" s="1" t="s">
        <v>123</v>
      </c>
      <c r="FQ125" s="1" t="s">
        <v>123</v>
      </c>
      <c r="GY125" t="s">
        <v>1919</v>
      </c>
      <c r="GZ125" t="s">
        <v>1920</v>
      </c>
      <c r="HA125" t="s">
        <v>1921</v>
      </c>
      <c r="HB125" t="s">
        <v>140</v>
      </c>
      <c r="HC125">
        <v>1987</v>
      </c>
      <c r="HD125" t="str">
        <f>VLOOKUP(AnalizaCzyste[[#This Row],[Rok urodzenia]],KategorieWiekowe[],2,1)</f>
        <v>26-35 lat</v>
      </c>
      <c r="HE125" t="s">
        <v>220</v>
      </c>
      <c r="HG125" t="s">
        <v>1922</v>
      </c>
      <c r="HH125" t="s">
        <v>1923</v>
      </c>
      <c r="HI125" t="s">
        <v>1924</v>
      </c>
    </row>
    <row r="126" spans="1:217" hidden="1" x14ac:dyDescent="0.45">
      <c r="A126">
        <v>238</v>
      </c>
      <c r="B126">
        <f>_xlfn.IFNA(VLOOKUP(AnalizaCzyste[[#This Row],[Zakończono wypełnianie]],Zakończone[],2,0),"BRAK")</f>
        <v>129</v>
      </c>
      <c r="C126">
        <f t="shared" si="3"/>
        <v>34</v>
      </c>
      <c r="D126" t="s">
        <v>1142</v>
      </c>
      <c r="E126" t="s">
        <v>118</v>
      </c>
      <c r="F126" t="s">
        <v>1927</v>
      </c>
      <c r="J126" t="s">
        <v>119</v>
      </c>
      <c r="K126" t="s">
        <v>1928</v>
      </c>
      <c r="L126" t="s">
        <v>1929</v>
      </c>
      <c r="M126">
        <v>1449</v>
      </c>
      <c r="O126">
        <v>0</v>
      </c>
      <c r="P126" t="s">
        <v>122</v>
      </c>
      <c r="Q126" s="1" t="s">
        <v>123</v>
      </c>
      <c r="AG126" s="1" t="s">
        <v>124</v>
      </c>
      <c r="AH126" t="s">
        <v>2270</v>
      </c>
      <c r="AI126" t="str">
        <f>VLOOKUP(AnalizaCzyste[[#This Row],[Jak się nazywa uczelnia którą ukończyłeś? (proszę o wybranie jednej uczelni podlegającej ocenie)]],KategorieUczelni[],2,0)</f>
        <v>Publiczna</v>
      </c>
      <c r="AJ126">
        <v>2007</v>
      </c>
      <c r="AK126" t="s">
        <v>126</v>
      </c>
      <c r="AL126" t="s">
        <v>1931</v>
      </c>
      <c r="AM126" t="s">
        <v>162</v>
      </c>
      <c r="AN126" t="s">
        <v>162</v>
      </c>
      <c r="AO126" t="s">
        <v>169</v>
      </c>
      <c r="AP126" t="s">
        <v>169</v>
      </c>
      <c r="AQ126" t="s">
        <v>169</v>
      </c>
      <c r="AR126" t="s">
        <v>1932</v>
      </c>
      <c r="AS126" t="s">
        <v>302</v>
      </c>
      <c r="AT126" t="s">
        <v>153</v>
      </c>
      <c r="AU126" t="s">
        <v>1933</v>
      </c>
      <c r="AV126" t="s">
        <v>1934</v>
      </c>
      <c r="AW126" t="s">
        <v>1935</v>
      </c>
      <c r="AY126" t="s">
        <v>1936</v>
      </c>
      <c r="AZ126" s="1" t="s">
        <v>123</v>
      </c>
      <c r="CT126" s="1" t="s">
        <v>123</v>
      </c>
      <c r="DD126" s="1" t="s">
        <v>123</v>
      </c>
      <c r="DN126" s="1" t="s">
        <v>123</v>
      </c>
      <c r="EQ126" s="1" t="s">
        <v>123</v>
      </c>
      <c r="FQ126" s="1" t="s">
        <v>123</v>
      </c>
      <c r="GY126" t="s">
        <v>1937</v>
      </c>
      <c r="GZ126" t="s">
        <v>1938</v>
      </c>
      <c r="HA126" t="s">
        <v>1939</v>
      </c>
      <c r="HB126" t="s">
        <v>186</v>
      </c>
      <c r="HC126" s="42">
        <v>1995</v>
      </c>
      <c r="HD126" t="str">
        <f>VLOOKUP(AnalizaCzyste[[#This Row],[Rok urodzenia]],KategorieWiekowe[],2,1)</f>
        <v>poniżej 26 lat</v>
      </c>
      <c r="HE126" t="s">
        <v>398</v>
      </c>
      <c r="HG126" t="s">
        <v>1940</v>
      </c>
    </row>
    <row r="127" spans="1:217" hidden="1" x14ac:dyDescent="0.45">
      <c r="A127">
        <v>243</v>
      </c>
      <c r="B127">
        <f>_xlfn.IFNA(VLOOKUP(AnalizaCzyste[[#This Row],[Zakończono wypełnianie]],Zakończone[],2,0),"BRAK")</f>
        <v>130</v>
      </c>
      <c r="C127">
        <f t="shared" si="3"/>
        <v>35</v>
      </c>
      <c r="D127" t="s">
        <v>1951</v>
      </c>
      <c r="E127" t="s">
        <v>118</v>
      </c>
      <c r="J127" t="s">
        <v>119</v>
      </c>
      <c r="K127" t="s">
        <v>1952</v>
      </c>
      <c r="L127" t="s">
        <v>1953</v>
      </c>
      <c r="M127">
        <v>942</v>
      </c>
      <c r="O127">
        <v>0</v>
      </c>
      <c r="P127" t="s">
        <v>122</v>
      </c>
      <c r="Q127" s="1" t="s">
        <v>123</v>
      </c>
      <c r="AG127" s="1" t="s">
        <v>124</v>
      </c>
      <c r="AH127" t="s">
        <v>223</v>
      </c>
      <c r="AI127" t="str">
        <f>VLOOKUP(AnalizaCzyste[[#This Row],[Jak się nazywa uczelnia którą ukończyłeś? (proszę o wybranie jednej uczelni podlegającej ocenie)]],KategorieUczelni[],2,0)</f>
        <v>Publiczna</v>
      </c>
      <c r="AJ127">
        <v>2012</v>
      </c>
      <c r="AK127" t="s">
        <v>148</v>
      </c>
      <c r="AL127" t="s">
        <v>161</v>
      </c>
      <c r="AM127" t="s">
        <v>128</v>
      </c>
      <c r="AN127" t="s">
        <v>162</v>
      </c>
      <c r="AO127" t="s">
        <v>128</v>
      </c>
      <c r="AP127" t="s">
        <v>128</v>
      </c>
      <c r="AQ127" t="s">
        <v>236</v>
      </c>
      <c r="AR127" t="s">
        <v>530</v>
      </c>
      <c r="AS127" t="s">
        <v>302</v>
      </c>
      <c r="AT127" t="s">
        <v>131</v>
      </c>
      <c r="AU127" t="s">
        <v>1955</v>
      </c>
      <c r="AV127" t="s">
        <v>1956</v>
      </c>
      <c r="AW127" t="s">
        <v>1957</v>
      </c>
      <c r="AX127" t="s">
        <v>157</v>
      </c>
      <c r="AZ127" s="1" t="s">
        <v>123</v>
      </c>
      <c r="CT127" s="1" t="s">
        <v>123</v>
      </c>
      <c r="DD127" s="1" t="s">
        <v>123</v>
      </c>
      <c r="DN127" s="1" t="s">
        <v>123</v>
      </c>
      <c r="EQ127" s="1" t="s">
        <v>123</v>
      </c>
      <c r="FQ127" s="1" t="s">
        <v>123</v>
      </c>
      <c r="GY127" t="s">
        <v>1958</v>
      </c>
      <c r="GZ127" t="s">
        <v>1959</v>
      </c>
      <c r="HA127" t="s">
        <v>1960</v>
      </c>
      <c r="HB127" t="s">
        <v>140</v>
      </c>
      <c r="HC127">
        <v>1986</v>
      </c>
      <c r="HD127" t="str">
        <f>VLOOKUP(AnalizaCzyste[[#This Row],[Rok urodzenia]],KategorieWiekowe[],2,1)</f>
        <v>26-35 lat</v>
      </c>
      <c r="HE127" t="s">
        <v>1630</v>
      </c>
      <c r="HG127" t="s">
        <v>1961</v>
      </c>
      <c r="HH127" t="s">
        <v>142</v>
      </c>
    </row>
    <row r="128" spans="1:217" hidden="1" x14ac:dyDescent="0.45">
      <c r="A128">
        <v>245</v>
      </c>
      <c r="B128">
        <f>_xlfn.IFNA(VLOOKUP(AnalizaCzyste[[#This Row],[Zakończono wypełnianie]],Zakończone[],2,0),"BRAK")</f>
        <v>131</v>
      </c>
      <c r="C128">
        <f t="shared" si="3"/>
        <v>34</v>
      </c>
      <c r="D128" t="s">
        <v>1965</v>
      </c>
      <c r="E128" t="s">
        <v>118</v>
      </c>
      <c r="F128" t="s">
        <v>1966</v>
      </c>
      <c r="J128" t="s">
        <v>119</v>
      </c>
      <c r="K128" t="s">
        <v>1967</v>
      </c>
      <c r="L128" t="s">
        <v>1968</v>
      </c>
      <c r="M128">
        <v>504</v>
      </c>
      <c r="O128">
        <v>0</v>
      </c>
      <c r="P128" t="s">
        <v>122</v>
      </c>
      <c r="Q128" s="1" t="s">
        <v>123</v>
      </c>
      <c r="AG128" s="1" t="s">
        <v>124</v>
      </c>
      <c r="AH128" t="s">
        <v>191</v>
      </c>
      <c r="AI128" t="str">
        <f>VLOOKUP(AnalizaCzyste[[#This Row],[Jak się nazywa uczelnia którą ukończyłeś? (proszę o wybranie jednej uczelni podlegającej ocenie)]],KategorieUczelni[],2,0)</f>
        <v>Publiczna</v>
      </c>
      <c r="AJ128">
        <v>2003</v>
      </c>
      <c r="AK128" t="s">
        <v>126</v>
      </c>
      <c r="AL128" t="s">
        <v>127</v>
      </c>
      <c r="AM128" t="s">
        <v>150</v>
      </c>
      <c r="AN128" t="s">
        <v>150</v>
      </c>
      <c r="AO128" t="s">
        <v>162</v>
      </c>
      <c r="AP128" t="s">
        <v>151</v>
      </c>
      <c r="AQ128" t="s">
        <v>151</v>
      </c>
      <c r="AR128" t="s">
        <v>237</v>
      </c>
      <c r="AS128" t="s">
        <v>152</v>
      </c>
      <c r="AT128" t="s">
        <v>131</v>
      </c>
      <c r="AU128" t="s">
        <v>1969</v>
      </c>
      <c r="AV128" t="s">
        <v>1970</v>
      </c>
      <c r="AW128" t="s">
        <v>1971</v>
      </c>
      <c r="AX128" t="s">
        <v>157</v>
      </c>
      <c r="AY128" t="s">
        <v>1972</v>
      </c>
      <c r="AZ128" s="1" t="s">
        <v>123</v>
      </c>
      <c r="CT128" s="1" t="s">
        <v>123</v>
      </c>
      <c r="DD128" s="1" t="s">
        <v>123</v>
      </c>
      <c r="DN128" s="1" t="s">
        <v>123</v>
      </c>
      <c r="EQ128" s="1" t="s">
        <v>123</v>
      </c>
      <c r="FQ128" s="1" t="s">
        <v>123</v>
      </c>
      <c r="GY128" t="s">
        <v>1973</v>
      </c>
      <c r="GZ128" t="s">
        <v>1363</v>
      </c>
      <c r="HA128" t="s">
        <v>1974</v>
      </c>
      <c r="HB128" t="s">
        <v>140</v>
      </c>
      <c r="HC128">
        <v>1979</v>
      </c>
      <c r="HD128" t="str">
        <f>VLOOKUP(AnalizaCzyste[[#This Row],[Rok urodzenia]],KategorieWiekowe[],2,1)</f>
        <v>36-45 lat</v>
      </c>
      <c r="HE128" t="s">
        <v>141</v>
      </c>
    </row>
    <row r="129" spans="1:217" hidden="1" x14ac:dyDescent="0.45">
      <c r="A129">
        <v>248</v>
      </c>
      <c r="B129">
        <f>_xlfn.IFNA(VLOOKUP(AnalizaCzyste[[#This Row],[Zakończono wypełnianie]],Zakończone[],2,0),"BRAK")</f>
        <v>133</v>
      </c>
      <c r="C129">
        <f t="shared" si="3"/>
        <v>32</v>
      </c>
      <c r="D129" t="s">
        <v>1142</v>
      </c>
      <c r="E129" t="s">
        <v>118</v>
      </c>
      <c r="J129" t="s">
        <v>119</v>
      </c>
      <c r="K129" t="s">
        <v>1979</v>
      </c>
      <c r="L129" t="s">
        <v>1980</v>
      </c>
      <c r="M129">
        <v>1026</v>
      </c>
      <c r="O129">
        <v>0</v>
      </c>
      <c r="P129" t="s">
        <v>122</v>
      </c>
      <c r="Q129" s="1" t="s">
        <v>416</v>
      </c>
      <c r="R129" t="s">
        <v>813</v>
      </c>
      <c r="S129" t="s">
        <v>148</v>
      </c>
      <c r="T129" t="s">
        <v>1982</v>
      </c>
      <c r="U129" t="s">
        <v>162</v>
      </c>
      <c r="V129" t="s">
        <v>162</v>
      </c>
      <c r="W129" t="s">
        <v>150</v>
      </c>
      <c r="X129" t="s">
        <v>1983</v>
      </c>
      <c r="Y129" t="s">
        <v>1984</v>
      </c>
      <c r="Z129" t="s">
        <v>194</v>
      </c>
      <c r="AA129" t="s">
        <v>1985</v>
      </c>
      <c r="AB129" t="s">
        <v>1986</v>
      </c>
      <c r="AC129" t="s">
        <v>1987</v>
      </c>
      <c r="AD129" t="s">
        <v>157</v>
      </c>
      <c r="AF129">
        <v>4</v>
      </c>
      <c r="AG129" s="1" t="s">
        <v>123</v>
      </c>
      <c r="AI129" t="e">
        <f>VLOOKUP(AnalizaCzyste[[#This Row],[Jak się nazywa uczelnia którą ukończyłeś? (proszę o wybranie jednej uczelni podlegającej ocenie)]],KategorieUczelni[],2,0)</f>
        <v>#N/A</v>
      </c>
      <c r="AZ129" s="1" t="s">
        <v>123</v>
      </c>
      <c r="CT129" s="1" t="s">
        <v>123</v>
      </c>
      <c r="DD129" s="1" t="s">
        <v>123</v>
      </c>
      <c r="DN129" s="1" t="s">
        <v>123</v>
      </c>
      <c r="EQ129" s="1" t="s">
        <v>123</v>
      </c>
      <c r="FQ129" s="1" t="s">
        <v>123</v>
      </c>
      <c r="GY129" t="s">
        <v>1988</v>
      </c>
      <c r="GZ129" t="s">
        <v>1989</v>
      </c>
      <c r="HA129" t="s">
        <v>1990</v>
      </c>
      <c r="HB129" t="s">
        <v>186</v>
      </c>
      <c r="HC129">
        <v>1992</v>
      </c>
      <c r="HD129" t="str">
        <f>VLOOKUP(AnalizaCzyste[[#This Row],[Rok urodzenia]],KategorieWiekowe[],2,1)</f>
        <v>26-35 lat</v>
      </c>
      <c r="HE129" t="s">
        <v>246</v>
      </c>
      <c r="HG129" t="s">
        <v>1991</v>
      </c>
    </row>
    <row r="130" spans="1:217" hidden="1" x14ac:dyDescent="0.45">
      <c r="A130">
        <v>257</v>
      </c>
      <c r="B130">
        <f>_xlfn.IFNA(VLOOKUP(AnalizaCzyste[[#This Row],[Zakończono wypełnianie]],Zakończone[],2,0),"BRAK")</f>
        <v>134</v>
      </c>
      <c r="C130">
        <f t="shared" si="3"/>
        <v>63</v>
      </c>
      <c r="D130" t="s">
        <v>2014</v>
      </c>
      <c r="E130" t="s">
        <v>118</v>
      </c>
      <c r="J130" t="s">
        <v>119</v>
      </c>
      <c r="K130" t="s">
        <v>2015</v>
      </c>
      <c r="L130" t="s">
        <v>2016</v>
      </c>
      <c r="M130">
        <v>1430</v>
      </c>
      <c r="O130">
        <v>0</v>
      </c>
      <c r="P130" t="s">
        <v>122</v>
      </c>
      <c r="Q130" s="1" t="s">
        <v>123</v>
      </c>
      <c r="AG130" s="1" t="s">
        <v>124</v>
      </c>
      <c r="AH130" t="s">
        <v>191</v>
      </c>
      <c r="AI130" t="str">
        <f>VLOOKUP(AnalizaCzyste[[#This Row],[Jak się nazywa uczelnia którą ukończyłeś? (proszę o wybranie jednej uczelni podlegającej ocenie)]],KategorieUczelni[],2,0)</f>
        <v>Publiczna</v>
      </c>
      <c r="AJ130">
        <v>1989</v>
      </c>
      <c r="AK130" t="s">
        <v>126</v>
      </c>
      <c r="AL130" t="s">
        <v>2017</v>
      </c>
      <c r="AM130" t="s">
        <v>150</v>
      </c>
      <c r="AN130" t="s">
        <v>150</v>
      </c>
      <c r="AO130" t="s">
        <v>162</v>
      </c>
      <c r="AP130" t="s">
        <v>162</v>
      </c>
      <c r="AQ130" t="s">
        <v>162</v>
      </c>
      <c r="AR130">
        <v>0</v>
      </c>
      <c r="AS130" t="s">
        <v>226</v>
      </c>
      <c r="AT130" t="s">
        <v>226</v>
      </c>
      <c r="AU130" t="s">
        <v>2018</v>
      </c>
      <c r="AV130" t="s">
        <v>1229</v>
      </c>
      <c r="AW130" t="s">
        <v>1229</v>
      </c>
      <c r="AX130" t="s">
        <v>157</v>
      </c>
      <c r="AY130" t="s">
        <v>1271</v>
      </c>
      <c r="AZ130" s="1" t="s">
        <v>159</v>
      </c>
      <c r="BA130">
        <v>1</v>
      </c>
      <c r="BB130" t="s">
        <v>191</v>
      </c>
      <c r="BC130">
        <v>2016</v>
      </c>
      <c r="BD130" t="s">
        <v>126</v>
      </c>
      <c r="BE130" t="s">
        <v>2019</v>
      </c>
      <c r="BF130" t="s">
        <v>150</v>
      </c>
      <c r="BG130" t="s">
        <v>150</v>
      </c>
      <c r="BH130" t="s">
        <v>151</v>
      </c>
      <c r="BI130" t="s">
        <v>128</v>
      </c>
      <c r="BJ130" t="s">
        <v>162</v>
      </c>
      <c r="BK130" t="s">
        <v>2020</v>
      </c>
      <c r="BL130" t="s">
        <v>2021</v>
      </c>
      <c r="BM130" t="s">
        <v>157</v>
      </c>
      <c r="BP130" t="s">
        <v>173</v>
      </c>
      <c r="CT130" s="1" t="s">
        <v>123</v>
      </c>
      <c r="DD130" s="1" t="s">
        <v>123</v>
      </c>
      <c r="DN130" s="1" t="s">
        <v>123</v>
      </c>
      <c r="EQ130" s="1" t="s">
        <v>123</v>
      </c>
      <c r="FQ130" s="1" t="s">
        <v>2022</v>
      </c>
      <c r="FR130" t="s">
        <v>2023</v>
      </c>
      <c r="FS130" t="s">
        <v>2024</v>
      </c>
      <c r="FT130">
        <v>1</v>
      </c>
      <c r="FU130" t="s">
        <v>191</v>
      </c>
      <c r="FV130" t="s">
        <v>150</v>
      </c>
      <c r="FW130" t="s">
        <v>150</v>
      </c>
      <c r="FX130" t="s">
        <v>150</v>
      </c>
      <c r="FY130" t="s">
        <v>150</v>
      </c>
      <c r="FZ130" t="s">
        <v>150</v>
      </c>
      <c r="GA130" t="s">
        <v>150</v>
      </c>
      <c r="GB130" t="s">
        <v>150</v>
      </c>
      <c r="GD130" t="s">
        <v>2025</v>
      </c>
      <c r="GE130" t="s">
        <v>173</v>
      </c>
      <c r="GY130" t="s">
        <v>1229</v>
      </c>
      <c r="GZ130" t="s">
        <v>1229</v>
      </c>
      <c r="HA130" t="s">
        <v>1229</v>
      </c>
      <c r="HB130" t="s">
        <v>186</v>
      </c>
      <c r="HC130">
        <v>1965</v>
      </c>
      <c r="HD130" t="str">
        <f>VLOOKUP(AnalizaCzyste[[#This Row],[Rok urodzenia]],KategorieWiekowe[],2,1)</f>
        <v>46-55 lat</v>
      </c>
      <c r="HE130" t="s">
        <v>220</v>
      </c>
      <c r="HG130" t="s">
        <v>2026</v>
      </c>
      <c r="HI130" t="s">
        <v>2027</v>
      </c>
    </row>
    <row r="131" spans="1:217" hidden="1" x14ac:dyDescent="0.45">
      <c r="A131">
        <v>258</v>
      </c>
      <c r="B131">
        <f>_xlfn.IFNA(VLOOKUP(AnalizaCzyste[[#This Row],[Zakończono wypełnianie]],Zakończone[],2,0),"BRAK")</f>
        <v>135</v>
      </c>
      <c r="C131">
        <f t="shared" si="3"/>
        <v>57</v>
      </c>
      <c r="D131" t="s">
        <v>2014</v>
      </c>
      <c r="E131" t="s">
        <v>118</v>
      </c>
      <c r="J131" t="s">
        <v>119</v>
      </c>
      <c r="K131" t="s">
        <v>2028</v>
      </c>
      <c r="L131" t="s">
        <v>2029</v>
      </c>
      <c r="M131">
        <v>721</v>
      </c>
      <c r="O131">
        <v>0</v>
      </c>
      <c r="P131" t="s">
        <v>122</v>
      </c>
      <c r="Q131" s="1" t="s">
        <v>123</v>
      </c>
      <c r="AG131" s="1" t="s">
        <v>124</v>
      </c>
      <c r="AH131" t="s">
        <v>234</v>
      </c>
      <c r="AI131" t="str">
        <f>VLOOKUP(AnalizaCzyste[[#This Row],[Jak się nazywa uczelnia którą ukończyłeś? (proszę o wybranie jednej uczelni podlegającej ocenie)]],KategorieUczelni[],2,0)</f>
        <v>Publiczna</v>
      </c>
      <c r="AJ131">
        <v>1985</v>
      </c>
      <c r="AK131" t="s">
        <v>148</v>
      </c>
      <c r="AL131" t="s">
        <v>2030</v>
      </c>
      <c r="AM131" t="s">
        <v>169</v>
      </c>
      <c r="AN131" t="s">
        <v>169</v>
      </c>
      <c r="AO131" t="s">
        <v>150</v>
      </c>
      <c r="AP131" t="s">
        <v>128</v>
      </c>
      <c r="AQ131" t="s">
        <v>128</v>
      </c>
      <c r="AR131">
        <v>4</v>
      </c>
      <c r="AS131" t="s">
        <v>131</v>
      </c>
      <c r="AT131" t="s">
        <v>131</v>
      </c>
      <c r="AU131" t="s">
        <v>2031</v>
      </c>
      <c r="AV131" t="s">
        <v>1229</v>
      </c>
      <c r="AW131" t="s">
        <v>1229</v>
      </c>
      <c r="AX131" t="s">
        <v>157</v>
      </c>
      <c r="AY131" t="s">
        <v>2032</v>
      </c>
      <c r="AZ131" s="1" t="s">
        <v>123</v>
      </c>
      <c r="CT131" s="1" t="s">
        <v>123</v>
      </c>
      <c r="DD131" s="1" t="s">
        <v>123</v>
      </c>
      <c r="DN131" s="1" t="s">
        <v>174</v>
      </c>
      <c r="DO131" t="s">
        <v>394</v>
      </c>
      <c r="DS131" t="s">
        <v>234</v>
      </c>
      <c r="DT131" t="s">
        <v>162</v>
      </c>
      <c r="DU131" t="s">
        <v>162</v>
      </c>
      <c r="DV131" t="s">
        <v>162</v>
      </c>
      <c r="DW131" t="s">
        <v>132</v>
      </c>
      <c r="DX131" t="s">
        <v>132</v>
      </c>
      <c r="DY131" t="s">
        <v>132</v>
      </c>
      <c r="DZ131" t="s">
        <v>162</v>
      </c>
      <c r="EA131">
        <v>20</v>
      </c>
      <c r="EB131">
        <v>60</v>
      </c>
      <c r="EC131">
        <v>0</v>
      </c>
      <c r="ED131">
        <v>0</v>
      </c>
      <c r="EE131">
        <v>0</v>
      </c>
      <c r="EF131">
        <v>20</v>
      </c>
      <c r="EG131">
        <v>0</v>
      </c>
      <c r="EI131">
        <v>20</v>
      </c>
      <c r="EJ131">
        <v>60</v>
      </c>
      <c r="EK131">
        <v>0</v>
      </c>
      <c r="EL131">
        <v>0</v>
      </c>
      <c r="EM131">
        <v>0</v>
      </c>
      <c r="EN131">
        <v>20</v>
      </c>
      <c r="EO131">
        <v>0</v>
      </c>
      <c r="EQ131" s="1" t="s">
        <v>123</v>
      </c>
      <c r="FQ131" s="1" t="s">
        <v>123</v>
      </c>
      <c r="GY131" t="s">
        <v>2033</v>
      </c>
      <c r="GZ131" t="s">
        <v>1229</v>
      </c>
      <c r="HA131" t="s">
        <v>1229</v>
      </c>
      <c r="HB131" t="s">
        <v>186</v>
      </c>
      <c r="HC131">
        <v>1961</v>
      </c>
      <c r="HD131" t="str">
        <f>VLOOKUP(AnalizaCzyste[[#This Row],[Rok urodzenia]],KategorieWiekowe[],2,1)</f>
        <v>56-65 lat</v>
      </c>
      <c r="HE131" t="s">
        <v>141</v>
      </c>
    </row>
    <row r="132" spans="1:217" hidden="1" x14ac:dyDescent="0.45">
      <c r="A132">
        <v>259</v>
      </c>
      <c r="B132">
        <f>_xlfn.IFNA(VLOOKUP(AnalizaCzyste[[#This Row],[Zakończono wypełnianie]],Zakończone[],2,0),"BRAK")</f>
        <v>136</v>
      </c>
      <c r="C132">
        <f t="shared" si="3"/>
        <v>74</v>
      </c>
      <c r="D132" t="s">
        <v>2014</v>
      </c>
      <c r="E132" t="s">
        <v>118</v>
      </c>
      <c r="J132" t="s">
        <v>119</v>
      </c>
      <c r="K132" t="s">
        <v>2034</v>
      </c>
      <c r="L132" t="s">
        <v>2035</v>
      </c>
      <c r="M132">
        <v>1151</v>
      </c>
      <c r="O132">
        <v>0</v>
      </c>
      <c r="P132" t="s">
        <v>122</v>
      </c>
      <c r="Q132" s="1" t="s">
        <v>123</v>
      </c>
      <c r="AG132" s="1" t="s">
        <v>124</v>
      </c>
      <c r="AH132" t="s">
        <v>223</v>
      </c>
      <c r="AI132" t="str">
        <f>VLOOKUP(AnalizaCzyste[[#This Row],[Jak się nazywa uczelnia którą ukończyłeś? (proszę o wybranie jednej uczelni podlegającej ocenie)]],KategorieUczelni[],2,0)</f>
        <v>Publiczna</v>
      </c>
      <c r="AJ132">
        <v>1987</v>
      </c>
      <c r="AK132" t="s">
        <v>148</v>
      </c>
      <c r="AL132" t="s">
        <v>554</v>
      </c>
      <c r="AM132" t="s">
        <v>132</v>
      </c>
      <c r="AN132" t="s">
        <v>132</v>
      </c>
      <c r="AO132" t="s">
        <v>132</v>
      </c>
      <c r="AP132" t="s">
        <v>132</v>
      </c>
      <c r="AQ132" t="s">
        <v>132</v>
      </c>
      <c r="AR132" t="s">
        <v>2036</v>
      </c>
      <c r="AS132" t="s">
        <v>132</v>
      </c>
      <c r="AT132" t="s">
        <v>132</v>
      </c>
      <c r="AV132" t="s">
        <v>1229</v>
      </c>
      <c r="AW132" t="s">
        <v>1229</v>
      </c>
      <c r="AX132" t="s">
        <v>157</v>
      </c>
      <c r="AY132" t="s">
        <v>2037</v>
      </c>
      <c r="AZ132" s="1" t="s">
        <v>159</v>
      </c>
      <c r="BA132">
        <v>3</v>
      </c>
      <c r="BB132" t="s">
        <v>191</v>
      </c>
      <c r="BC132">
        <v>2020</v>
      </c>
      <c r="BD132" t="s">
        <v>126</v>
      </c>
      <c r="BE132" t="s">
        <v>2038</v>
      </c>
      <c r="BF132" t="s">
        <v>150</v>
      </c>
      <c r="BG132" t="s">
        <v>162</v>
      </c>
      <c r="BH132" t="s">
        <v>169</v>
      </c>
      <c r="BI132" t="s">
        <v>150</v>
      </c>
      <c r="BJ132" t="s">
        <v>132</v>
      </c>
      <c r="BK132" t="s">
        <v>2039</v>
      </c>
      <c r="BL132" t="s">
        <v>2040</v>
      </c>
      <c r="BM132" t="s">
        <v>157</v>
      </c>
      <c r="BP132" t="s">
        <v>166</v>
      </c>
      <c r="BQ132" t="s">
        <v>191</v>
      </c>
      <c r="BR132">
        <v>2013</v>
      </c>
      <c r="BS132" t="s">
        <v>126</v>
      </c>
      <c r="BT132" t="s">
        <v>1867</v>
      </c>
      <c r="BU132" t="s">
        <v>162</v>
      </c>
      <c r="BV132" t="s">
        <v>150</v>
      </c>
      <c r="BW132" t="s">
        <v>162</v>
      </c>
      <c r="BX132" t="s">
        <v>162</v>
      </c>
      <c r="BY132" t="s">
        <v>162</v>
      </c>
      <c r="BZ132" t="s">
        <v>237</v>
      </c>
      <c r="CB132" t="s">
        <v>157</v>
      </c>
      <c r="CD132" t="s">
        <v>2041</v>
      </c>
      <c r="CE132" t="s">
        <v>238</v>
      </c>
      <c r="CF132" t="s">
        <v>191</v>
      </c>
      <c r="CG132">
        <v>2016</v>
      </c>
      <c r="CH132" t="s">
        <v>126</v>
      </c>
      <c r="CI132" t="s">
        <v>2042</v>
      </c>
      <c r="CJ132" t="s">
        <v>151</v>
      </c>
      <c r="CK132" t="s">
        <v>162</v>
      </c>
      <c r="CL132" t="s">
        <v>150</v>
      </c>
      <c r="CM132" t="s">
        <v>169</v>
      </c>
      <c r="CN132" t="s">
        <v>150</v>
      </c>
      <c r="CO132" t="s">
        <v>237</v>
      </c>
      <c r="CP132" t="s">
        <v>2043</v>
      </c>
      <c r="CQ132" t="s">
        <v>157</v>
      </c>
      <c r="CT132" s="1" t="s">
        <v>123</v>
      </c>
      <c r="DD132" s="1" t="s">
        <v>123</v>
      </c>
      <c r="DN132" s="1" t="s">
        <v>123</v>
      </c>
      <c r="EQ132" s="1" t="s">
        <v>123</v>
      </c>
      <c r="FQ132" s="1" t="s">
        <v>123</v>
      </c>
      <c r="GY132" t="s">
        <v>1229</v>
      </c>
      <c r="GZ132" t="s">
        <v>1229</v>
      </c>
      <c r="HA132" t="s">
        <v>1229</v>
      </c>
      <c r="HB132" t="s">
        <v>186</v>
      </c>
      <c r="HC132">
        <v>1962</v>
      </c>
      <c r="HD132" t="str">
        <f>VLOOKUP(AnalizaCzyste[[#This Row],[Rok urodzenia]],KategorieWiekowe[],2,1)</f>
        <v>56-65 lat</v>
      </c>
      <c r="HE132" t="s">
        <v>141</v>
      </c>
      <c r="HH132" t="s">
        <v>2044</v>
      </c>
      <c r="HI132" t="s">
        <v>2045</v>
      </c>
    </row>
    <row r="133" spans="1:217" hidden="1" x14ac:dyDescent="0.45">
      <c r="A133">
        <v>260</v>
      </c>
      <c r="B133">
        <f>_xlfn.IFNA(VLOOKUP(AnalizaCzyste[[#This Row],[Zakończono wypełnianie]],Zakończone[],2,0),"BRAK")</f>
        <v>137</v>
      </c>
      <c r="C133">
        <f t="shared" si="3"/>
        <v>68</v>
      </c>
      <c r="D133" t="s">
        <v>2014</v>
      </c>
      <c r="E133" t="s">
        <v>118</v>
      </c>
      <c r="J133" t="s">
        <v>119</v>
      </c>
      <c r="K133" t="s">
        <v>2046</v>
      </c>
      <c r="L133" t="s">
        <v>2047</v>
      </c>
      <c r="M133">
        <v>707</v>
      </c>
      <c r="O133">
        <v>0</v>
      </c>
      <c r="P133" t="s">
        <v>122</v>
      </c>
      <c r="Q133" s="1" t="s">
        <v>123</v>
      </c>
      <c r="AG133" s="1" t="s">
        <v>124</v>
      </c>
      <c r="AH133" t="s">
        <v>191</v>
      </c>
      <c r="AI133" t="str">
        <f>VLOOKUP(AnalizaCzyste[[#This Row],[Jak się nazywa uczelnia którą ukończyłeś? (proszę o wybranie jednej uczelni podlegającej ocenie)]],KategorieUczelni[],2,0)</f>
        <v>Publiczna</v>
      </c>
      <c r="AJ133">
        <v>1985</v>
      </c>
      <c r="AK133" t="s">
        <v>126</v>
      </c>
      <c r="AL133" t="s">
        <v>2017</v>
      </c>
      <c r="AM133" t="s">
        <v>150</v>
      </c>
      <c r="AN133" t="s">
        <v>150</v>
      </c>
      <c r="AO133" t="s">
        <v>151</v>
      </c>
      <c r="AP133" t="s">
        <v>236</v>
      </c>
      <c r="AQ133" t="s">
        <v>150</v>
      </c>
      <c r="AR133" t="s">
        <v>237</v>
      </c>
      <c r="AS133" t="s">
        <v>152</v>
      </c>
      <c r="AT133" t="s">
        <v>759</v>
      </c>
      <c r="AU133" t="s">
        <v>2048</v>
      </c>
      <c r="AV133" t="s">
        <v>1229</v>
      </c>
      <c r="AW133" t="s">
        <v>1229</v>
      </c>
      <c r="AX133" t="s">
        <v>157</v>
      </c>
      <c r="AY133" t="s">
        <v>2032</v>
      </c>
      <c r="AZ133" s="1" t="s">
        <v>159</v>
      </c>
      <c r="BA133">
        <v>1</v>
      </c>
      <c r="BB133" t="s">
        <v>191</v>
      </c>
      <c r="BC133">
        <v>2018</v>
      </c>
      <c r="BD133" t="s">
        <v>126</v>
      </c>
      <c r="BE133" t="s">
        <v>2049</v>
      </c>
      <c r="BF133" t="s">
        <v>151</v>
      </c>
      <c r="BG133" t="s">
        <v>151</v>
      </c>
      <c r="BH133" t="s">
        <v>128</v>
      </c>
      <c r="BI133" t="s">
        <v>162</v>
      </c>
      <c r="BJ133" t="s">
        <v>132</v>
      </c>
      <c r="BK133">
        <v>12</v>
      </c>
      <c r="BL133" t="s">
        <v>2050</v>
      </c>
      <c r="BM133" t="s">
        <v>157</v>
      </c>
      <c r="BP133" t="s">
        <v>173</v>
      </c>
      <c r="CT133" s="1" t="s">
        <v>123</v>
      </c>
      <c r="DD133" s="1" t="s">
        <v>123</v>
      </c>
      <c r="DN133" s="1" t="s">
        <v>123</v>
      </c>
      <c r="EQ133" s="1" t="s">
        <v>177</v>
      </c>
      <c r="ER133" t="s">
        <v>178</v>
      </c>
      <c r="ES133">
        <v>2</v>
      </c>
      <c r="ET133" t="s">
        <v>191</v>
      </c>
      <c r="EU133" t="s">
        <v>151</v>
      </c>
      <c r="EV133" t="s">
        <v>162</v>
      </c>
      <c r="EW133" t="s">
        <v>151</v>
      </c>
      <c r="EX133" t="s">
        <v>178</v>
      </c>
      <c r="EY133" t="s">
        <v>2051</v>
      </c>
      <c r="EZ133" t="s">
        <v>2052</v>
      </c>
      <c r="FA133" t="s">
        <v>1206</v>
      </c>
      <c r="FB133" t="s">
        <v>223</v>
      </c>
      <c r="FC133" t="s">
        <v>162</v>
      </c>
      <c r="FD133" t="s">
        <v>162</v>
      </c>
      <c r="FE133" t="s">
        <v>151</v>
      </c>
      <c r="FF133" t="s">
        <v>178</v>
      </c>
      <c r="FG133" t="s">
        <v>2053</v>
      </c>
      <c r="FH133" t="s">
        <v>2054</v>
      </c>
      <c r="FI133" t="s">
        <v>173</v>
      </c>
      <c r="FQ133" s="1" t="s">
        <v>123</v>
      </c>
      <c r="GY133" t="s">
        <v>1229</v>
      </c>
      <c r="GZ133" t="s">
        <v>1229</v>
      </c>
      <c r="HA133" t="s">
        <v>1229</v>
      </c>
      <c r="HB133" t="s">
        <v>186</v>
      </c>
      <c r="HC133">
        <v>1959</v>
      </c>
      <c r="HD133" t="str">
        <f>VLOOKUP(AnalizaCzyste[[#This Row],[Rok urodzenia]],KategorieWiekowe[],2,1)</f>
        <v>56-65 lat</v>
      </c>
      <c r="HE133" t="s">
        <v>141</v>
      </c>
      <c r="HG133" t="s">
        <v>2055</v>
      </c>
      <c r="HI133" t="s">
        <v>2056</v>
      </c>
    </row>
    <row r="134" spans="1:217" hidden="1" x14ac:dyDescent="0.45">
      <c r="A134">
        <v>261</v>
      </c>
      <c r="B134">
        <f>_xlfn.IFNA(VLOOKUP(AnalizaCzyste[[#This Row],[Zakończono wypełnianie]],Zakończone[],2,0),"BRAK")</f>
        <v>138</v>
      </c>
      <c r="C134">
        <f t="shared" si="3"/>
        <v>63</v>
      </c>
      <c r="D134" t="s">
        <v>2014</v>
      </c>
      <c r="E134" t="s">
        <v>118</v>
      </c>
      <c r="J134" t="s">
        <v>119</v>
      </c>
      <c r="K134" t="s">
        <v>2057</v>
      </c>
      <c r="L134" t="s">
        <v>2058</v>
      </c>
      <c r="M134">
        <v>616</v>
      </c>
      <c r="O134">
        <v>0</v>
      </c>
      <c r="P134" t="s">
        <v>122</v>
      </c>
      <c r="Q134" s="1" t="s">
        <v>123</v>
      </c>
      <c r="AG134" s="1" t="s">
        <v>124</v>
      </c>
      <c r="AH134" t="s">
        <v>223</v>
      </c>
      <c r="AI134" t="str">
        <f>VLOOKUP(AnalizaCzyste[[#This Row],[Jak się nazywa uczelnia którą ukończyłeś? (proszę o wybranie jednej uczelni podlegającej ocenie)]],KategorieUczelni[],2,0)</f>
        <v>Publiczna</v>
      </c>
      <c r="AJ134">
        <v>1992</v>
      </c>
      <c r="AK134" t="s">
        <v>148</v>
      </c>
      <c r="AL134" t="s">
        <v>2059</v>
      </c>
      <c r="AM134" t="s">
        <v>150</v>
      </c>
      <c r="AN134" t="s">
        <v>169</v>
      </c>
      <c r="AO134" t="s">
        <v>150</v>
      </c>
      <c r="AP134" t="s">
        <v>151</v>
      </c>
      <c r="AQ134" t="s">
        <v>162</v>
      </c>
      <c r="AR134">
        <v>0</v>
      </c>
      <c r="AS134" t="s">
        <v>131</v>
      </c>
      <c r="AT134" t="s">
        <v>302</v>
      </c>
      <c r="AU134" t="s">
        <v>2060</v>
      </c>
      <c r="AV134" t="s">
        <v>1229</v>
      </c>
      <c r="AW134" t="s">
        <v>1229</v>
      </c>
      <c r="AX134" t="s">
        <v>157</v>
      </c>
      <c r="AY134" t="s">
        <v>2032</v>
      </c>
      <c r="AZ134" s="1" t="s">
        <v>159</v>
      </c>
      <c r="BA134">
        <v>1</v>
      </c>
      <c r="BB134" t="s">
        <v>445</v>
      </c>
      <c r="BC134">
        <v>2019</v>
      </c>
      <c r="BD134" t="s">
        <v>148</v>
      </c>
      <c r="BE134" t="s">
        <v>461</v>
      </c>
      <c r="BF134" t="s">
        <v>169</v>
      </c>
      <c r="BG134" t="s">
        <v>169</v>
      </c>
      <c r="BH134" t="s">
        <v>169</v>
      </c>
      <c r="BI134" t="s">
        <v>169</v>
      </c>
      <c r="BJ134" t="s">
        <v>132</v>
      </c>
      <c r="BK134" t="s">
        <v>2020</v>
      </c>
      <c r="BL134" t="s">
        <v>2061</v>
      </c>
      <c r="BM134" t="s">
        <v>157</v>
      </c>
      <c r="BO134" t="s">
        <v>2062</v>
      </c>
      <c r="BP134" t="s">
        <v>173</v>
      </c>
      <c r="CT134" s="1" t="s">
        <v>123</v>
      </c>
      <c r="DD134" s="1" t="s">
        <v>123</v>
      </c>
      <c r="DN134" s="1" t="s">
        <v>123</v>
      </c>
      <c r="EQ134" s="1" t="s">
        <v>123</v>
      </c>
      <c r="FQ134" s="1" t="s">
        <v>2022</v>
      </c>
      <c r="FR134" t="s">
        <v>2023</v>
      </c>
      <c r="FS134" t="s">
        <v>2063</v>
      </c>
      <c r="FT134">
        <v>1</v>
      </c>
      <c r="FU134" t="s">
        <v>191</v>
      </c>
      <c r="FV134" t="s">
        <v>150</v>
      </c>
      <c r="FW134" t="s">
        <v>150</v>
      </c>
      <c r="FX134" t="s">
        <v>169</v>
      </c>
      <c r="FY134" t="s">
        <v>169</v>
      </c>
      <c r="FZ134" t="s">
        <v>132</v>
      </c>
      <c r="GA134" t="s">
        <v>132</v>
      </c>
      <c r="GB134" t="s">
        <v>169</v>
      </c>
      <c r="GE134" t="s">
        <v>173</v>
      </c>
      <c r="GY134" t="s">
        <v>1229</v>
      </c>
      <c r="GZ134" t="s">
        <v>1229</v>
      </c>
      <c r="HA134" t="s">
        <v>1229</v>
      </c>
      <c r="HB134" t="s">
        <v>186</v>
      </c>
      <c r="HC134">
        <v>1968</v>
      </c>
      <c r="HD134" t="str">
        <f>VLOOKUP(AnalizaCzyste[[#This Row],[Rok urodzenia]],KategorieWiekowe[],2,1)</f>
        <v>46-55 lat</v>
      </c>
      <c r="HE134" t="s">
        <v>220</v>
      </c>
      <c r="HG134" t="s">
        <v>2055</v>
      </c>
      <c r="HI134" t="s">
        <v>2064</v>
      </c>
    </row>
    <row r="135" spans="1:217" hidden="1" x14ac:dyDescent="0.45">
      <c r="A135">
        <v>206</v>
      </c>
      <c r="B135" t="str">
        <f>_xlfn.IFNA(VLOOKUP(AnalizaCzyste[[#This Row],[Zakończono wypełnianie]],Zakończone[],2,0),"BRAK")</f>
        <v>BRAK</v>
      </c>
      <c r="C135">
        <f t="shared" si="3"/>
        <v>32</v>
      </c>
      <c r="D135" t="s">
        <v>1722</v>
      </c>
      <c r="E135" t="s">
        <v>118</v>
      </c>
      <c r="F135" t="s">
        <v>1647</v>
      </c>
      <c r="J135" t="s">
        <v>286</v>
      </c>
      <c r="K135" t="s">
        <v>1723</v>
      </c>
      <c r="L135" t="s">
        <v>1723</v>
      </c>
      <c r="M135">
        <v>0</v>
      </c>
      <c r="O135">
        <v>0</v>
      </c>
      <c r="P135" t="s">
        <v>122</v>
      </c>
      <c r="Q135" s="1" t="s">
        <v>123</v>
      </c>
      <c r="AG135" s="1" t="s">
        <v>124</v>
      </c>
      <c r="AH135" s="20" t="s">
        <v>223</v>
      </c>
      <c r="AI135" s="20" t="str">
        <f>VLOOKUP(AnalizaCzyste[[#This Row],[Jak się nazywa uczelnia którą ukończyłeś? (proszę o wybranie jednej uczelni podlegającej ocenie)]],KategorieUczelni[],2,0)</f>
        <v>Publiczna</v>
      </c>
      <c r="AJ135">
        <v>2005</v>
      </c>
      <c r="AK135" t="s">
        <v>148</v>
      </c>
      <c r="AL135" t="s">
        <v>1725</v>
      </c>
      <c r="AM135" t="s">
        <v>150</v>
      </c>
      <c r="AN135" t="s">
        <v>162</v>
      </c>
      <c r="AO135" t="s">
        <v>162</v>
      </c>
      <c r="AP135" t="s">
        <v>162</v>
      </c>
      <c r="AQ135" t="s">
        <v>162</v>
      </c>
      <c r="AR135">
        <v>2</v>
      </c>
      <c r="AS135" t="s">
        <v>131</v>
      </c>
      <c r="AT135" t="s">
        <v>302</v>
      </c>
      <c r="AU135" t="s">
        <v>1726</v>
      </c>
      <c r="AV135" t="s">
        <v>1727</v>
      </c>
      <c r="AW135" t="s">
        <v>1728</v>
      </c>
      <c r="AX135" t="s">
        <v>157</v>
      </c>
      <c r="AZ135" s="1" t="s">
        <v>123</v>
      </c>
      <c r="CT135" s="1" t="s">
        <v>123</v>
      </c>
      <c r="DD135" s="1" t="s">
        <v>123</v>
      </c>
      <c r="DN135" s="1" t="s">
        <v>123</v>
      </c>
      <c r="EQ135" s="1" t="s">
        <v>123</v>
      </c>
      <c r="FQ135" s="1" t="s">
        <v>123</v>
      </c>
      <c r="HB135" t="s">
        <v>140</v>
      </c>
      <c r="HC135">
        <v>1981</v>
      </c>
      <c r="HD135" t="str">
        <f>VLOOKUP(AnalizaCzyste[[#This Row],[Rok urodzenia]],KategorieWiekowe[],2,1)</f>
        <v>36-45 lat</v>
      </c>
      <c r="HE135" t="s">
        <v>483</v>
      </c>
      <c r="HG135" t="s">
        <v>142</v>
      </c>
      <c r="HH135" t="s">
        <v>180</v>
      </c>
    </row>
    <row r="136" spans="1:217" ht="14.65" thickBot="1" x14ac:dyDescent="0.5">
      <c r="P136" s="6">
        <f t="shared" ref="P136:AV136" si="4">COUNTA((P3:P135))</f>
        <v>133</v>
      </c>
      <c r="Q136" s="6">
        <f t="shared" si="4"/>
        <v>133</v>
      </c>
      <c r="R136" s="1">
        <f t="shared" si="4"/>
        <v>14</v>
      </c>
      <c r="S136" s="1">
        <f t="shared" si="4"/>
        <v>14</v>
      </c>
      <c r="T136" s="1">
        <f t="shared" si="4"/>
        <v>14</v>
      </c>
      <c r="U136" s="1">
        <f t="shared" si="4"/>
        <v>14</v>
      </c>
      <c r="V136" s="1">
        <f t="shared" si="4"/>
        <v>14</v>
      </c>
      <c r="W136" s="1">
        <f t="shared" si="4"/>
        <v>14</v>
      </c>
      <c r="X136" s="1">
        <f t="shared" si="4"/>
        <v>14</v>
      </c>
      <c r="Y136" s="1">
        <f t="shared" si="4"/>
        <v>14</v>
      </c>
      <c r="Z136" s="1">
        <f t="shared" si="4"/>
        <v>14</v>
      </c>
      <c r="AA136" s="1">
        <f t="shared" si="4"/>
        <v>9</v>
      </c>
      <c r="AB136" s="1">
        <f t="shared" si="4"/>
        <v>14</v>
      </c>
      <c r="AC136" s="1">
        <f t="shared" si="4"/>
        <v>14</v>
      </c>
      <c r="AD136" s="1">
        <f t="shared" si="4"/>
        <v>13</v>
      </c>
      <c r="AE136" s="1">
        <f t="shared" si="4"/>
        <v>2</v>
      </c>
      <c r="AF136" s="1">
        <f t="shared" si="4"/>
        <v>14</v>
      </c>
      <c r="AG136" s="6">
        <f t="shared" si="4"/>
        <v>133</v>
      </c>
      <c r="AH136" s="1">
        <f t="shared" si="4"/>
        <v>120</v>
      </c>
      <c r="AI136" s="1"/>
      <c r="AJ136" s="1">
        <f t="shared" si="4"/>
        <v>119</v>
      </c>
      <c r="AK136" s="1">
        <f t="shared" si="4"/>
        <v>120</v>
      </c>
      <c r="AL136" s="1">
        <f t="shared" si="4"/>
        <v>120</v>
      </c>
      <c r="AM136" s="1">
        <f t="shared" si="4"/>
        <v>120</v>
      </c>
      <c r="AN136" s="1">
        <f t="shared" si="4"/>
        <v>120</v>
      </c>
      <c r="AO136" s="1">
        <f t="shared" si="4"/>
        <v>120</v>
      </c>
      <c r="AP136" s="1">
        <f t="shared" si="4"/>
        <v>120</v>
      </c>
      <c r="AQ136" s="1">
        <f t="shared" si="4"/>
        <v>120</v>
      </c>
      <c r="AR136" s="1">
        <f t="shared" si="4"/>
        <v>120</v>
      </c>
      <c r="AS136" s="1">
        <f t="shared" si="4"/>
        <v>120</v>
      </c>
      <c r="AT136" s="1">
        <f t="shared" si="4"/>
        <v>120</v>
      </c>
      <c r="AU136" s="1">
        <f t="shared" si="4"/>
        <v>98</v>
      </c>
      <c r="AV136" s="1">
        <f t="shared" si="4"/>
        <v>120</v>
      </c>
      <c r="AW136" s="1">
        <f t="shared" ref="AW136:CB136" si="5">COUNTA((AW3:AW135))</f>
        <v>120</v>
      </c>
      <c r="AX136" s="1">
        <f t="shared" si="5"/>
        <v>108</v>
      </c>
      <c r="AY136" s="1">
        <f t="shared" si="5"/>
        <v>38</v>
      </c>
      <c r="AZ136" s="6">
        <f t="shared" si="5"/>
        <v>133</v>
      </c>
      <c r="BA136" s="1">
        <f t="shared" si="5"/>
        <v>17</v>
      </c>
      <c r="BB136" s="1">
        <f t="shared" si="5"/>
        <v>17</v>
      </c>
      <c r="BC136" s="1">
        <f t="shared" si="5"/>
        <v>17</v>
      </c>
      <c r="BD136" s="1">
        <f t="shared" si="5"/>
        <v>17</v>
      </c>
      <c r="BE136" s="1">
        <f t="shared" si="5"/>
        <v>17</v>
      </c>
      <c r="BF136" s="1">
        <f t="shared" si="5"/>
        <v>17</v>
      </c>
      <c r="BG136" s="1">
        <f t="shared" si="5"/>
        <v>17</v>
      </c>
      <c r="BH136" s="1">
        <f t="shared" si="5"/>
        <v>17</v>
      </c>
      <c r="BI136" s="1">
        <f t="shared" si="5"/>
        <v>17</v>
      </c>
      <c r="BJ136" s="1">
        <f t="shared" si="5"/>
        <v>17</v>
      </c>
      <c r="BK136" s="1">
        <f t="shared" si="5"/>
        <v>17</v>
      </c>
      <c r="BL136" s="1">
        <f t="shared" si="5"/>
        <v>15</v>
      </c>
      <c r="BM136" s="1">
        <f t="shared" si="5"/>
        <v>17</v>
      </c>
      <c r="BN136" s="1">
        <f t="shared" si="5"/>
        <v>1</v>
      </c>
      <c r="BO136" s="1">
        <f t="shared" si="5"/>
        <v>8</v>
      </c>
      <c r="BP136" s="1">
        <f t="shared" si="5"/>
        <v>17</v>
      </c>
      <c r="BQ136" s="1">
        <f t="shared" si="5"/>
        <v>5</v>
      </c>
      <c r="BR136" s="1">
        <f t="shared" si="5"/>
        <v>5</v>
      </c>
      <c r="BS136" s="1">
        <f t="shared" si="5"/>
        <v>5</v>
      </c>
      <c r="BT136" s="1">
        <f t="shared" si="5"/>
        <v>5</v>
      </c>
      <c r="BU136" s="1">
        <f t="shared" si="5"/>
        <v>5</v>
      </c>
      <c r="BV136" s="1">
        <f t="shared" si="5"/>
        <v>5</v>
      </c>
      <c r="BW136" s="1">
        <f t="shared" si="5"/>
        <v>5</v>
      </c>
      <c r="BX136" s="1">
        <f t="shared" si="5"/>
        <v>5</v>
      </c>
      <c r="BY136" s="1">
        <f t="shared" si="5"/>
        <v>5</v>
      </c>
      <c r="BZ136" s="1">
        <f t="shared" si="5"/>
        <v>5</v>
      </c>
      <c r="CA136" s="1">
        <f t="shared" si="5"/>
        <v>3</v>
      </c>
      <c r="CB136" s="1">
        <f t="shared" si="5"/>
        <v>5</v>
      </c>
      <c r="CC136" s="1">
        <f t="shared" ref="CC136:CT136" si="6">COUNTA((CC3:CC135))</f>
        <v>0</v>
      </c>
      <c r="CD136" s="1">
        <f t="shared" si="6"/>
        <v>3</v>
      </c>
      <c r="CE136" s="1">
        <f t="shared" si="6"/>
        <v>5</v>
      </c>
      <c r="CF136" s="1">
        <f t="shared" si="6"/>
        <v>2</v>
      </c>
      <c r="CG136" s="1">
        <f t="shared" si="6"/>
        <v>2</v>
      </c>
      <c r="CH136" s="1">
        <f t="shared" si="6"/>
        <v>2</v>
      </c>
      <c r="CI136" s="1">
        <f t="shared" si="6"/>
        <v>2</v>
      </c>
      <c r="CJ136" s="1">
        <f t="shared" si="6"/>
        <v>2</v>
      </c>
      <c r="CK136" s="1">
        <f t="shared" si="6"/>
        <v>2</v>
      </c>
      <c r="CL136" s="1">
        <f t="shared" si="6"/>
        <v>2</v>
      </c>
      <c r="CM136" s="1">
        <f t="shared" si="6"/>
        <v>2</v>
      </c>
      <c r="CN136" s="1">
        <f t="shared" si="6"/>
        <v>2</v>
      </c>
      <c r="CO136" s="1">
        <f t="shared" si="6"/>
        <v>2</v>
      </c>
      <c r="CP136" s="1">
        <f t="shared" si="6"/>
        <v>2</v>
      </c>
      <c r="CQ136" s="1">
        <f t="shared" si="6"/>
        <v>2</v>
      </c>
      <c r="CR136" s="1">
        <f t="shared" si="6"/>
        <v>0</v>
      </c>
      <c r="CS136" s="1">
        <f t="shared" si="6"/>
        <v>1</v>
      </c>
      <c r="CT136" s="6">
        <f t="shared" si="6"/>
        <v>133</v>
      </c>
      <c r="DD136" s="6">
        <f>COUNTA((DD3:DD135))</f>
        <v>133</v>
      </c>
      <c r="DN136" s="6">
        <f>COUNTA((DN3:DN135))</f>
        <v>133</v>
      </c>
      <c r="EQ136" s="6">
        <f>COUNTA((EQ3:EQ135))</f>
        <v>133</v>
      </c>
      <c r="FQ136" s="6">
        <f>COUNTA((FQ3:FQ135))</f>
        <v>133</v>
      </c>
      <c r="HB136" s="6">
        <f>COUNTA((HB3:HB135))</f>
        <v>133</v>
      </c>
      <c r="HC136" s="6">
        <f>COUNTA((HC3:HC135))</f>
        <v>133</v>
      </c>
      <c r="HD136" s="6"/>
      <c r="HE136" s="6">
        <f>COUNTA((HE3:HE135))</f>
        <v>133</v>
      </c>
      <c r="HF136" s="6">
        <f>COUNTA((HF3:HF135))</f>
        <v>7</v>
      </c>
      <c r="HG136" s="6">
        <f>COUNTA((HG3:HG135))</f>
        <v>84</v>
      </c>
      <c r="HH136" s="6">
        <f>COUNTA((HH3:HH135))</f>
        <v>52</v>
      </c>
      <c r="HI136" s="6">
        <f>COUNTA((HI3:HI135))</f>
        <v>12</v>
      </c>
    </row>
    <row r="137" spans="1:217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7">
        <f>COUNTIF(AnalizaCzyste[Czy jesteś absolwentem uczelni wyższej?],"*"&amp;"Tak"&amp;"*")</f>
        <v>120</v>
      </c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7">
        <f>COUNTIF(AnalizaCzyste[Czy jesteś rodzicem / opiekunem absolwenta uczelni wyższej?],"*"&amp;"Tak"&amp;"*")</f>
        <v>17</v>
      </c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7">
        <f>COUNTIF(AnalizaCzyste[Czy jesteś aktualnie pracownikiem administracyjnym uczelni wyższej?],"*"&amp;"Tak"&amp;"*")</f>
        <v>4</v>
      </c>
      <c r="CU137" s="8"/>
      <c r="CV137" s="8"/>
      <c r="CW137" s="8"/>
      <c r="CX137" s="8"/>
      <c r="CY137" s="8"/>
      <c r="CZ137" s="8"/>
      <c r="DA137" s="8"/>
      <c r="DB137" s="8"/>
      <c r="DC137" s="8"/>
      <c r="DD137" s="7">
        <f>COUNTIF(AnalizaCzyste[Czy jesteś aktualnie pracownikiem naukowym lub dydaktycznym uczelni wyższej?],"*"&amp;"Tak"&amp;"*")</f>
        <v>16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7">
        <f>COUNTIF(AnalizaCzyste[Czy jesteś przedstawicielem władz uczelni z grupy rektorów, prorektorów, dziekanów, prodziekanów, członków senatu lub członków rady uczelni?],"*"&amp;"Tak"&amp;"*")</f>
        <v>5</v>
      </c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7">
        <f>COUNTIF(AnalizaCzyste[Czy jesteś przedstawicielem firmy, w której są zatrudniani absolwenci uczelni wyższych (tytuł licencjata, magistra lub wyższy)?],"*"&amp;"Tak"&amp;"*")</f>
        <v>18</v>
      </c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7">
        <f>COUNTIF(AnalizaCzyste[Czy jesteś przedstawicielem władz samorządowych lub centralnych Rzeczypospolitej Polskiej?],"*"&amp;"Tak"&amp;"*")</f>
        <v>2</v>
      </c>
      <c r="FR137" s="7">
        <f>COUNTIF(AnalizaCzyste[Proszę wskaż jaki poziom władzy samorządowej lub centralnej reprezentujesz.],"*"&amp;"Tak"&amp;"*")</f>
        <v>0</v>
      </c>
      <c r="FS137" s="7">
        <f>COUNTIF(AnalizaCzyste[Proszę o podanie nazwy organu władzy jaki reprezentujesz.],"*"&amp;"Tak"&amp;"*")</f>
        <v>0</v>
      </c>
      <c r="FT137" s="7">
        <f>COUNTIF(AnalizaCzyste[Ile uczelni będziesz oceniać?26],"*"&amp;"Tak"&amp;"*")</f>
        <v>0</v>
      </c>
      <c r="FU137" s="7">
        <f>COUNTIF(AnalizaCzyste[Jak się nazywa uczelnia, którą ocenisz?],"*"&amp;"Tak"&amp;"*")</f>
        <v>0</v>
      </c>
      <c r="FV137" s="7">
        <f>COUNTIF(AnalizaCzyste[Efekty działań ocenianej uczelni na rzesz jakości edukacji są zgodne ze strategią rozwoju w regionie.],"*"&amp;"Tak"&amp;"*")</f>
        <v>0</v>
      </c>
      <c r="FW137" s="7">
        <f>COUNTIF(AnalizaCzyste[Wartość wykształcenia zdobywanego przez studentów na ocenianej uczelni jest wysoka.27],"*"&amp;"Tak"&amp;"*")</f>
        <v>0</v>
      </c>
      <c r="FX137" s="7">
        <f>COUNTIF(AnalizaCzyste[Zdobyte przez studentów ocenianej uczelni wykształcenie miało/ma pozytywny wpływ na ich zarobki.28],"*"&amp;"Tak"&amp;"*")</f>
        <v>0</v>
      </c>
      <c r="FY137" s="7">
        <f>COUNTIF(AnalizaCzyste[Efekty działań ocenianej uczelni na rzecz jakości edukacji mają dobry wpływ na rozwój regionu.29],"*"&amp;"Tak"&amp;"*")</f>
        <v>0</v>
      </c>
      <c r="FZ137" s="7">
        <f>COUNTIF(AnalizaCzyste[Efekty działań ocenianej uczelni na rzecz jakości edukacji mają dobry wpływ na rozwój Polski.30],"*"&amp;"Tak"&amp;"*")</f>
        <v>0</v>
      </c>
      <c r="GA137" s="7">
        <f>COUNTIF(AnalizaCzyste[Współpraca ocenianej uczelni z biznesem ma pozytywne efekty dla rozwoju regionu / kraju.31],"*"&amp;"Tak"&amp;"*")</f>
        <v>0</v>
      </c>
      <c r="GB137" s="7">
        <f>COUNTIF(AnalizaCzyste[Ogólny poziom mojej satysfakcji z jakości usług edukacyjnych ocenianej uczelni jest wysoki.32],"*"&amp;"Tak"&amp;"*")</f>
        <v>0</v>
      </c>
      <c r="GC137" s="7">
        <f>COUNTIF(AnalizaCzyste[Pole dodatkowe33],"*"&amp;"Tak"&amp;"*")</f>
        <v>0</v>
      </c>
      <c r="GD137" s="7">
        <f>COUNTIF(AnalizaCzyste[Jakie inne efekty pracy ocenianej uczelni technicznej dostrzegasz obecnie?],"*"&amp;"Tak"&amp;"*")</f>
        <v>0</v>
      </c>
      <c r="GE137" s="7">
        <f>COUNTIF(AnalizaCzyste[Czy będziesz oceniać drugą uczelnię?],"*"&amp;"Tak"&amp;"*")</f>
        <v>0</v>
      </c>
      <c r="GF137" s="7">
        <f>COUNTIF(AnalizaCzyste[Jak się nazywa uczelnia, którą ocenisz?34],"*"&amp;"Tak"&amp;"*")</f>
        <v>0</v>
      </c>
      <c r="GG137" s="7">
        <f>COUNTIF(AnalizaCzyste[Efekty działań ocenianej uczelni na rzesz jakości edukacji są zgodne ze strategią rozwoju w regionie.35],"*"&amp;"Tak"&amp;"*")</f>
        <v>0</v>
      </c>
      <c r="GH137" s="7">
        <f>COUNTIF(AnalizaCzyste[Wartość wykształcenia zdobywanego przez studentów na ocenianej uczelni jest wysoka.36],"*"&amp;"Tak"&amp;"*")</f>
        <v>0</v>
      </c>
      <c r="GI137" s="7">
        <f>COUNTIF(AnalizaCzyste[Zdobyte przez studentów ocenianej uczelni wykształcenie miało/ma pozytywny wpływ na ich zarobki.37],"*"&amp;"Tak"&amp;"*")</f>
        <v>0</v>
      </c>
      <c r="GJ137" s="7">
        <f>COUNTIF(AnalizaCzyste[Efekty działań ocenianej uczelni na rzecz jakości edukacji mają dobry wpływ na rozwój regionu.38],"*"&amp;"Tak"&amp;"*")</f>
        <v>0</v>
      </c>
      <c r="GK137" s="7">
        <f>COUNTIF(AnalizaCzyste[Efekty działań ocenianej uczelni na rzecz jakości edukacji mają dobry wpływ na rozwój Polski.39],"*"&amp;"Tak"&amp;"*")</f>
        <v>0</v>
      </c>
      <c r="GL137" s="7">
        <f>COUNTIF(AnalizaCzyste[Współpraca ocenianej uczelni z biznesem ma pozytywne efekty dla rozwoju regionu / kraju.40],"*"&amp;"Tak"&amp;"*")</f>
        <v>0</v>
      </c>
      <c r="GM137" s="7">
        <f>COUNTIF(AnalizaCzyste[Ogólny poziom mojej satysfakcji z jakości usług edukacyjnych ocenianej uczelni jest wysoki.41],"*"&amp;"Tak"&amp;"*")</f>
        <v>0</v>
      </c>
      <c r="GN137" s="7">
        <f>COUNTIF(AnalizaCzyste[Jakie inne efekty pracy ocenianej uczelni dostrzegasz obecnie?],"*"&amp;"Tak"&amp;"*")</f>
        <v>0</v>
      </c>
      <c r="GO137" s="7">
        <f>COUNTIF(AnalizaCzyste[Czy będziesz oceniać trzecią uczelnię?],"*"&amp;"Tak"&amp;"*")</f>
        <v>0</v>
      </c>
      <c r="GP137" s="7">
        <f>COUNTIF(AnalizaCzyste[Jak się nazywa uczelnia, którą ocenisz?42],"*"&amp;"Tak"&amp;"*")</f>
        <v>0</v>
      </c>
      <c r="GQ137" s="7">
        <f>COUNTIF(AnalizaCzyste[Efekty działań ocenianej uczelni na rzesz jakości edukacji są zgodne ze strategią rozwoju w regionie.43],"*"&amp;"Tak"&amp;"*")</f>
        <v>0</v>
      </c>
      <c r="GR137" s="7">
        <f>COUNTIF(AnalizaCzyste[Wartość wykształcenia zdobywanego przez studentów na ocenianej uczelni jest wysoka.44],"*"&amp;"Tak"&amp;"*")</f>
        <v>0</v>
      </c>
      <c r="GS137" s="7">
        <f>COUNTIF(AnalizaCzyste[Zdobyte przez studentów ocenianej uczelni wykształcenie miało/ma pozytywny wpływ na ich zarobki.45],"*"&amp;"Tak"&amp;"*")</f>
        <v>0</v>
      </c>
      <c r="GT137" s="7">
        <f>COUNTIF(AnalizaCzyste[Efekty działań ocenianej uczelni na rzecz jakości edukacji mają dobry wpływ na rozwój regionu.46],"*"&amp;"Tak"&amp;"*")</f>
        <v>0</v>
      </c>
      <c r="GU137" s="7">
        <f>COUNTIF(AnalizaCzyste[Efekty działań ocenianej uczelni na rzecz jakości edukacji mają dobry wpływ na rozwój Polski.47],"*"&amp;"Tak"&amp;"*")</f>
        <v>0</v>
      </c>
      <c r="GV137" s="7">
        <f>COUNTIF(AnalizaCzyste[Współpraca ocenianej uczelni z biznesem ma pozytywne efekty dla rozwoju regionu / kraju.48],"*"&amp;"Tak"&amp;"*")</f>
        <v>0</v>
      </c>
      <c r="GW137" s="7">
        <f>COUNTIF(AnalizaCzyste[Ogólny poziom mojej satysfakcji z jakości usług edukacyjnych ocenianej uczelni jest wysoki.49],"*"&amp;"Tak"&amp;"*")</f>
        <v>0</v>
      </c>
      <c r="GX137" s="7">
        <f>COUNTIF(AnalizaCzyste[Jakie inne efekty pracy ocenianej uczelni dostrzegasz obecnie?50],"*"&amp;"Tak"&amp;"*")</f>
        <v>0</v>
      </c>
      <c r="GY137" s="7">
        <f>COUNTIF(AnalizaCzyste[Jakie, Twoim zdaniem, elementy decydują o tym, że uczelnie są lepsze lub gorsze.],"*"&amp;"Tak"&amp;"*")</f>
        <v>5</v>
      </c>
      <c r="GZ137" s="7">
        <f>COUNTIF(AnalizaCzyste[Kolumna51],"*"&amp;"Tak"&amp;"*")</f>
        <v>10</v>
      </c>
      <c r="HA137" s="7">
        <f>COUNTIF(AnalizaCzyste[Kolumna52],"*"&amp;"Tak"&amp;"*")</f>
        <v>3</v>
      </c>
      <c r="HB137" s="7">
        <f>COUNTIF(AnalizaCzyste[Płeć],"*"&amp;"Mężczyzna"&amp;"*")</f>
        <v>66</v>
      </c>
      <c r="HC137" s="7">
        <f>COUNTIF(AnalizaCzyste[Rok urodzenia],"*"&amp;"Tak"&amp;"*")</f>
        <v>0</v>
      </c>
      <c r="HD137" s="7"/>
      <c r="HE137" s="7">
        <f>COUNTIF(AnalizaCzyste[Z jakiej wielkości miejscowości pochodzisz? (dotyczy miejscowości, w której się wychowałaś/eś],"*"&amp;"Tak"&amp;"*")</f>
        <v>0</v>
      </c>
    </row>
    <row r="138" spans="1:217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7">
        <f>COUNTIF(AnalizaCzyste[Czy jesteś absolwentem uczelni wyższej?],"*"&amp;"Nie (przejście"&amp;"*")</f>
        <v>13</v>
      </c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7">
        <f>COUNTIF(AnalizaCzyste[Czy jesteś rodzicem / opiekunem absolwenta uczelni wyższej?],"*"&amp;"Nie (przejście"&amp;"*")</f>
        <v>116</v>
      </c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7">
        <f>COUNTIF(AnalizaCzyste[Czy jesteś aktualnie pracownikiem administracyjnym uczelni wyższej?],"*"&amp;"Nie (przejście"&amp;"*")</f>
        <v>129</v>
      </c>
      <c r="CU138" s="8"/>
      <c r="CV138" s="8"/>
      <c r="CW138" s="8"/>
      <c r="CX138" s="8"/>
      <c r="CY138" s="8"/>
      <c r="CZ138" s="8"/>
      <c r="DA138" s="8"/>
      <c r="DB138" s="8"/>
      <c r="DC138" s="8"/>
      <c r="DD138" s="7">
        <f>COUNTIF(AnalizaCzyste[Czy jesteś aktualnie pracownikiem naukowym lub dydaktycznym uczelni wyższej?],"*"&amp;"Nie (przejście"&amp;"*")</f>
        <v>117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7">
        <f>COUNTIF(AnalizaCzyste[Czy jesteś przedstawicielem władz uczelni z grupy rektorów, prorektorów, dziekanów, prodziekanów, członków senatu lub członków rady uczelni?],"*"&amp;"Nie (przejście"&amp;"*")</f>
        <v>128</v>
      </c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7">
        <f>COUNTIF(AnalizaCzyste[Czy jesteś przedstawicielem firmy, w której są zatrudniani absolwenci uczelni wyższych (tytuł licencjata, magistra lub wyższy)?],"*"&amp;"Nie (przejście"&amp;"*")</f>
        <v>115</v>
      </c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7">
        <f>COUNTIF(AnalizaCzyste[Czy jesteś przedstawicielem władz samorządowych lub centralnych Rzeczypospolitej Polskiej?],"*"&amp;"Nie (przejście"&amp;"*")</f>
        <v>131</v>
      </c>
      <c r="FR138" s="7">
        <f>COUNTIF(AnalizaCzyste[Proszę wskaż jaki poziom władzy samorządowej lub centralnej reprezentujesz.],"*"&amp;"Nie (przejście"&amp;"*")</f>
        <v>0</v>
      </c>
      <c r="FS138" s="7">
        <f>COUNTIF(AnalizaCzyste[Proszę o podanie nazwy organu władzy jaki reprezentujesz.],"*"&amp;"Nie (przejście"&amp;"*")</f>
        <v>0</v>
      </c>
      <c r="FT138" s="7">
        <f>COUNTIF(AnalizaCzyste[Ile uczelni będziesz oceniać?26],"*"&amp;"Nie (przejście"&amp;"*")</f>
        <v>0</v>
      </c>
      <c r="FU138" s="7">
        <f>COUNTIF(AnalizaCzyste[Jak się nazywa uczelnia, którą ocenisz?],"*"&amp;"Nie (przejście"&amp;"*")</f>
        <v>0</v>
      </c>
      <c r="FV138" s="7">
        <f>COUNTIF(AnalizaCzyste[Efekty działań ocenianej uczelni na rzesz jakości edukacji są zgodne ze strategią rozwoju w regionie.],"*"&amp;"Nie (przejście"&amp;"*")</f>
        <v>0</v>
      </c>
      <c r="FW138" s="7">
        <f>COUNTIF(AnalizaCzyste[Wartość wykształcenia zdobywanego przez studentów na ocenianej uczelni jest wysoka.27],"*"&amp;"Nie (przejście"&amp;"*")</f>
        <v>0</v>
      </c>
      <c r="FX138" s="7">
        <f>COUNTIF(AnalizaCzyste[Zdobyte przez studentów ocenianej uczelni wykształcenie miało/ma pozytywny wpływ na ich zarobki.28],"*"&amp;"Nie (przejście"&amp;"*")</f>
        <v>0</v>
      </c>
      <c r="FY138" s="7">
        <f>COUNTIF(AnalizaCzyste[Efekty działań ocenianej uczelni na rzecz jakości edukacji mają dobry wpływ na rozwój regionu.29],"*"&amp;"Nie (przejście"&amp;"*")</f>
        <v>0</v>
      </c>
      <c r="FZ138" s="7">
        <f>COUNTIF(AnalizaCzyste[Efekty działań ocenianej uczelni na rzecz jakości edukacji mają dobry wpływ na rozwój Polski.30],"*"&amp;"Nie (przejście"&amp;"*")</f>
        <v>0</v>
      </c>
      <c r="GA138" s="7">
        <f>COUNTIF(AnalizaCzyste[Współpraca ocenianej uczelni z biznesem ma pozytywne efekty dla rozwoju regionu / kraju.31],"*"&amp;"Nie (przejście"&amp;"*")</f>
        <v>0</v>
      </c>
      <c r="GB138" s="7">
        <f>COUNTIF(AnalizaCzyste[Ogólny poziom mojej satysfakcji z jakości usług edukacyjnych ocenianej uczelni jest wysoki.32],"*"&amp;"Nie (przejście"&amp;"*")</f>
        <v>0</v>
      </c>
      <c r="GC138" s="7">
        <f>COUNTIF(AnalizaCzyste[Pole dodatkowe33],"*"&amp;"Nie (przejście"&amp;"*")</f>
        <v>0</v>
      </c>
      <c r="GD138" s="7">
        <f>COUNTIF(AnalizaCzyste[Jakie inne efekty pracy ocenianej uczelni technicznej dostrzegasz obecnie?],"*"&amp;"Nie (przejście"&amp;"*")</f>
        <v>0</v>
      </c>
      <c r="GE138" s="7">
        <f>COUNTIF(AnalizaCzyste[Czy będziesz oceniać drugą uczelnię?],"*"&amp;"Nie (przejście"&amp;"*")</f>
        <v>2</v>
      </c>
      <c r="GF138" s="7">
        <f>COUNTIF(AnalizaCzyste[Jak się nazywa uczelnia, którą ocenisz?34],"*"&amp;"Nie (przejście"&amp;"*")</f>
        <v>0</v>
      </c>
      <c r="GG138" s="7">
        <f>COUNTIF(AnalizaCzyste[Efekty działań ocenianej uczelni na rzesz jakości edukacji są zgodne ze strategią rozwoju w regionie.35],"*"&amp;"Nie (przejście"&amp;"*")</f>
        <v>0</v>
      </c>
      <c r="GH138" s="7">
        <f>COUNTIF(AnalizaCzyste[Wartość wykształcenia zdobywanego przez studentów na ocenianej uczelni jest wysoka.36],"*"&amp;"Nie (przejście"&amp;"*")</f>
        <v>0</v>
      </c>
      <c r="GI138" s="7">
        <f>COUNTIF(AnalizaCzyste[Zdobyte przez studentów ocenianej uczelni wykształcenie miało/ma pozytywny wpływ na ich zarobki.37],"*"&amp;"Nie (przejście"&amp;"*")</f>
        <v>0</v>
      </c>
      <c r="GJ138" s="7">
        <f>COUNTIF(AnalizaCzyste[Efekty działań ocenianej uczelni na rzecz jakości edukacji mają dobry wpływ na rozwój regionu.38],"*"&amp;"Nie (przejście"&amp;"*")</f>
        <v>0</v>
      </c>
      <c r="GK138" s="7">
        <f>COUNTIF(AnalizaCzyste[Efekty działań ocenianej uczelni na rzecz jakości edukacji mają dobry wpływ na rozwój Polski.39],"*"&amp;"Nie (przejście"&amp;"*")</f>
        <v>0</v>
      </c>
      <c r="GL138" s="7">
        <f>COUNTIF(AnalizaCzyste[Współpraca ocenianej uczelni z biznesem ma pozytywne efekty dla rozwoju regionu / kraju.40],"*"&amp;"Nie (przejście"&amp;"*")</f>
        <v>0</v>
      </c>
      <c r="GM138" s="7">
        <f>COUNTIF(AnalizaCzyste[Ogólny poziom mojej satysfakcji z jakości usług edukacyjnych ocenianej uczelni jest wysoki.41],"*"&amp;"Nie (przejście"&amp;"*")</f>
        <v>0</v>
      </c>
      <c r="GN138" s="7">
        <f>COUNTIF(AnalizaCzyste[Jakie inne efekty pracy ocenianej uczelni dostrzegasz obecnie?],"*"&amp;"Nie (przejście"&amp;"*")</f>
        <v>0</v>
      </c>
      <c r="GO138" s="7">
        <f>COUNTIF(AnalizaCzyste[Czy będziesz oceniać trzecią uczelnię?],"*"&amp;"Nie (przejście"&amp;"*")</f>
        <v>0</v>
      </c>
      <c r="GP138" s="7">
        <f>COUNTIF(AnalizaCzyste[Jak się nazywa uczelnia, którą ocenisz?42],"*"&amp;"Nie (przejście"&amp;"*")</f>
        <v>0</v>
      </c>
      <c r="GQ138" s="7">
        <f>COUNTIF(AnalizaCzyste[Efekty działań ocenianej uczelni na rzesz jakości edukacji są zgodne ze strategią rozwoju w regionie.43],"*"&amp;"Nie (przejście"&amp;"*")</f>
        <v>0</v>
      </c>
      <c r="GR138" s="7">
        <f>COUNTIF(AnalizaCzyste[Wartość wykształcenia zdobywanego przez studentów na ocenianej uczelni jest wysoka.44],"*"&amp;"Nie (przejście"&amp;"*")</f>
        <v>0</v>
      </c>
      <c r="GS138" s="7">
        <f>COUNTIF(AnalizaCzyste[Zdobyte przez studentów ocenianej uczelni wykształcenie miało/ma pozytywny wpływ na ich zarobki.45],"*"&amp;"Nie (przejście"&amp;"*")</f>
        <v>0</v>
      </c>
      <c r="GT138" s="7">
        <f>COUNTIF(AnalizaCzyste[Efekty działań ocenianej uczelni na rzecz jakości edukacji mają dobry wpływ na rozwój regionu.46],"*"&amp;"Nie (przejście"&amp;"*")</f>
        <v>0</v>
      </c>
      <c r="GU138" s="7">
        <f>COUNTIF(AnalizaCzyste[Efekty działań ocenianej uczelni na rzecz jakości edukacji mają dobry wpływ na rozwój Polski.47],"*"&amp;"Nie (przejście"&amp;"*")</f>
        <v>0</v>
      </c>
      <c r="GV138" s="7">
        <f>COUNTIF(AnalizaCzyste[Współpraca ocenianej uczelni z biznesem ma pozytywne efekty dla rozwoju regionu / kraju.48],"*"&amp;"Nie (przejście"&amp;"*")</f>
        <v>0</v>
      </c>
      <c r="GW138" s="7">
        <f>COUNTIF(AnalizaCzyste[Ogólny poziom mojej satysfakcji z jakości usług edukacyjnych ocenianej uczelni jest wysoki.49],"*"&amp;"Nie (przejście"&amp;"*")</f>
        <v>0</v>
      </c>
      <c r="GX138" s="7">
        <f>COUNTIF(AnalizaCzyste[Jakie inne efekty pracy ocenianej uczelni dostrzegasz obecnie?50],"*"&amp;"Nie (przejście"&amp;"*")</f>
        <v>0</v>
      </c>
      <c r="GY138" s="7">
        <f>COUNTIF(AnalizaCzyste[Jakie, Twoim zdaniem, elementy decydują o tym, że uczelnie są lepsze lub gorsze.],"*"&amp;"Nie (przejście"&amp;"*")</f>
        <v>0</v>
      </c>
      <c r="GZ138" s="7">
        <f>COUNTIF(AnalizaCzyste[Kolumna51],"*"&amp;"Nie (przejście"&amp;"*")</f>
        <v>0</v>
      </c>
      <c r="HA138" s="7">
        <f>COUNTIF(AnalizaCzyste[Kolumna52],"*"&amp;"Nie (przejście"&amp;"*")</f>
        <v>0</v>
      </c>
      <c r="HB138" s="7">
        <f>COUNTIF(AnalizaCzyste[Płeć],"*"&amp;"Kobieta"&amp;"*")</f>
        <v>67</v>
      </c>
      <c r="HC138" s="7">
        <f>COUNTIF(AnalizaCzyste[Rok urodzenia],"*"&amp;"Nie (przejście"&amp;"*")</f>
        <v>0</v>
      </c>
      <c r="HD138" s="7"/>
      <c r="HE138" s="7">
        <f>COUNTIF(AnalizaCzyste[Z jakiej wielkości miejscowości pochodzisz? (dotyczy miejscowości, w której się wychowałaś/eś],"*"&amp;"Nie (przejście"&amp;"*")</f>
        <v>0</v>
      </c>
    </row>
    <row r="139" spans="1:217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7">
        <f>COUNTBLANK(AnalizaCzyste[Czy jesteś absolwentem uczelni wyższej?])</f>
        <v>0</v>
      </c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7">
        <f>COUNTBLANK(AnalizaCzyste[Czy jesteś rodzicem / opiekunem absolwenta uczelni wyższej?])</f>
        <v>0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7">
        <f>COUNTBLANK(AnalizaCzyste[Czy jesteś aktualnie pracownikiem administracyjnym uczelni wyższej?])</f>
        <v>0</v>
      </c>
      <c r="CU139" s="8"/>
      <c r="CV139" s="8"/>
      <c r="CW139" s="8"/>
      <c r="CX139" s="8"/>
      <c r="CY139" s="8"/>
      <c r="CZ139" s="8"/>
      <c r="DA139" s="8"/>
      <c r="DB139" s="8"/>
      <c r="DC139" s="8"/>
      <c r="DD139" s="7">
        <f>COUNTBLANK(AnalizaCzyste[Czy jesteś aktualnie pracownikiem naukowym lub dydaktycznym uczelni wyższej?])</f>
        <v>0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7">
        <f>COUNTBLANK(AnalizaCzyste[Czy jesteś przedstawicielem władz uczelni z grupy rektorów, prorektorów, dziekanów, prodziekanów, członków senatu lub członków rady uczelni?])</f>
        <v>0</v>
      </c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7">
        <f>COUNTBLANK(AnalizaCzyste[Czy jesteś przedstawicielem firmy, w której są zatrudniani absolwenci uczelni wyższych (tytuł licencjata, magistra lub wyższy)?])</f>
        <v>0</v>
      </c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7">
        <f>COUNTBLANK(AnalizaCzyste[Czy jesteś przedstawicielem władz samorządowych lub centralnych Rzeczypospolitej Polskiej?])</f>
        <v>0</v>
      </c>
      <c r="FR139" s="7">
        <f>COUNTBLANK(AnalizaCzyste[Proszę wskaż jaki poziom władzy samorządowej lub centralnej reprezentujesz.])</f>
        <v>66</v>
      </c>
      <c r="FS139" s="7">
        <f>COUNTBLANK(AnalizaCzyste[Proszę o podanie nazwy organu władzy jaki reprezentujesz.])</f>
        <v>131</v>
      </c>
      <c r="FT139" s="7">
        <f>COUNTBLANK(AnalizaCzyste[Ile uczelni będziesz oceniać?26])</f>
        <v>96</v>
      </c>
      <c r="FU139" s="7">
        <f>COUNTBLANK(AnalizaCzyste[Jak się nazywa uczelnia, którą ocenisz?])</f>
        <v>131</v>
      </c>
      <c r="FV139" s="7">
        <f>COUNTBLANK(AnalizaCzyste[Efekty działań ocenianej uczelni na rzesz jakości edukacji są zgodne ze strategią rozwoju w regionie.])</f>
        <v>131</v>
      </c>
      <c r="FW139" s="7">
        <f>COUNTBLANK(AnalizaCzyste[Wartość wykształcenia zdobywanego przez studentów na ocenianej uczelni jest wysoka.27])</f>
        <v>131</v>
      </c>
      <c r="FX139" s="7">
        <f>COUNTBLANK(AnalizaCzyste[Zdobyte przez studentów ocenianej uczelni wykształcenie miało/ma pozytywny wpływ na ich zarobki.28])</f>
        <v>131</v>
      </c>
      <c r="FY139" s="7">
        <f>COUNTBLANK(AnalizaCzyste[Efekty działań ocenianej uczelni na rzecz jakości edukacji mają dobry wpływ na rozwój regionu.29])</f>
        <v>131</v>
      </c>
      <c r="FZ139" s="7">
        <f>COUNTBLANK(AnalizaCzyste[Efekty działań ocenianej uczelni na rzecz jakości edukacji mają dobry wpływ na rozwój Polski.30])</f>
        <v>131</v>
      </c>
      <c r="GA139" s="7">
        <f>COUNTBLANK(AnalizaCzyste[Współpraca ocenianej uczelni z biznesem ma pozytywne efekty dla rozwoju regionu / kraju.31])</f>
        <v>131</v>
      </c>
      <c r="GB139" s="7">
        <f>COUNTBLANK(AnalizaCzyste[Ogólny poziom mojej satysfakcji z jakości usług edukacyjnych ocenianej uczelni jest wysoki.32])</f>
        <v>131</v>
      </c>
      <c r="GC139" s="7">
        <f>COUNTBLANK(AnalizaCzyste[Pole dodatkowe33])</f>
        <v>133</v>
      </c>
      <c r="GD139" s="7">
        <f>COUNTBLANK(AnalizaCzyste[Jakie inne efekty pracy ocenianej uczelni technicznej dostrzegasz obecnie?])</f>
        <v>132</v>
      </c>
      <c r="GE139" s="7">
        <f>COUNTBLANK(AnalizaCzyste[Czy będziesz oceniać drugą uczelnię?])</f>
        <v>131</v>
      </c>
      <c r="GF139" s="7">
        <f>COUNTBLANK(AnalizaCzyste[Jak się nazywa uczelnia, którą ocenisz?34])</f>
        <v>133</v>
      </c>
      <c r="GG139" s="7">
        <f>COUNTBLANK(AnalizaCzyste[Efekty działań ocenianej uczelni na rzesz jakości edukacji są zgodne ze strategią rozwoju w regionie.35])</f>
        <v>133</v>
      </c>
      <c r="GH139" s="7">
        <f>COUNTBLANK(AnalizaCzyste[Wartość wykształcenia zdobywanego przez studentów na ocenianej uczelni jest wysoka.36])</f>
        <v>133</v>
      </c>
      <c r="GI139" s="7">
        <f>COUNTBLANK(AnalizaCzyste[Zdobyte przez studentów ocenianej uczelni wykształcenie miało/ma pozytywny wpływ na ich zarobki.37])</f>
        <v>133</v>
      </c>
      <c r="GJ139" s="7">
        <f>COUNTBLANK(AnalizaCzyste[Efekty działań ocenianej uczelni na rzecz jakości edukacji mają dobry wpływ na rozwój regionu.38])</f>
        <v>133</v>
      </c>
      <c r="GK139" s="7">
        <f>COUNTBLANK(AnalizaCzyste[Efekty działań ocenianej uczelni na rzecz jakości edukacji mają dobry wpływ na rozwój Polski.39])</f>
        <v>133</v>
      </c>
      <c r="GL139" s="7">
        <f>COUNTBLANK(AnalizaCzyste[Współpraca ocenianej uczelni z biznesem ma pozytywne efekty dla rozwoju regionu / kraju.40])</f>
        <v>133</v>
      </c>
      <c r="GM139" s="7">
        <f>COUNTBLANK(AnalizaCzyste[Ogólny poziom mojej satysfakcji z jakości usług edukacyjnych ocenianej uczelni jest wysoki.41])</f>
        <v>133</v>
      </c>
      <c r="GN139" s="7">
        <f>COUNTBLANK(AnalizaCzyste[Jakie inne efekty pracy ocenianej uczelni dostrzegasz obecnie?])</f>
        <v>133</v>
      </c>
      <c r="GO139" s="7">
        <f>COUNTBLANK(AnalizaCzyste[Czy będziesz oceniać trzecią uczelnię?])</f>
        <v>133</v>
      </c>
      <c r="GP139" s="7">
        <f>COUNTBLANK(AnalizaCzyste[Jak się nazywa uczelnia, którą ocenisz?42])</f>
        <v>133</v>
      </c>
      <c r="GQ139" s="7">
        <f>COUNTBLANK(AnalizaCzyste[Efekty działań ocenianej uczelni na rzesz jakości edukacji są zgodne ze strategią rozwoju w regionie.43])</f>
        <v>133</v>
      </c>
      <c r="GR139" s="7">
        <f>COUNTBLANK(AnalizaCzyste[Wartość wykształcenia zdobywanego przez studentów na ocenianej uczelni jest wysoka.44])</f>
        <v>133</v>
      </c>
      <c r="GS139" s="7">
        <f>COUNTBLANK(AnalizaCzyste[Zdobyte przez studentów ocenianej uczelni wykształcenie miało/ma pozytywny wpływ na ich zarobki.45])</f>
        <v>133</v>
      </c>
      <c r="GT139" s="7">
        <f>COUNTBLANK(AnalizaCzyste[Efekty działań ocenianej uczelni na rzecz jakości edukacji mają dobry wpływ na rozwój regionu.46])</f>
        <v>133</v>
      </c>
      <c r="GU139" s="7">
        <f>COUNTBLANK(AnalizaCzyste[Efekty działań ocenianej uczelni na rzecz jakości edukacji mają dobry wpływ na rozwój Polski.47])</f>
        <v>133</v>
      </c>
      <c r="GV139" s="7">
        <f>COUNTBLANK(AnalizaCzyste[Współpraca ocenianej uczelni z biznesem ma pozytywne efekty dla rozwoju regionu / kraju.48])</f>
        <v>133</v>
      </c>
      <c r="GW139" s="7">
        <f>COUNTBLANK(AnalizaCzyste[Ogólny poziom mojej satysfakcji z jakości usług edukacyjnych ocenianej uczelni jest wysoki.49])</f>
        <v>133</v>
      </c>
      <c r="GX139" s="7">
        <f>COUNTBLANK(AnalizaCzyste[Jakie inne efekty pracy ocenianej uczelni dostrzegasz obecnie?50])</f>
        <v>133</v>
      </c>
      <c r="GY139" s="7">
        <f>COUNTBLANK(AnalizaCzyste[Jakie, Twoim zdaniem, elementy decydują o tym, że uczelnie są lepsze lub gorsze.])</f>
        <v>1</v>
      </c>
      <c r="GZ139" s="7">
        <f>COUNTBLANK(AnalizaCzyste[Kolumna51])</f>
        <v>1</v>
      </c>
      <c r="HA139" s="7">
        <f>COUNTBLANK(AnalizaCzyste[Kolumna52])</f>
        <v>1</v>
      </c>
      <c r="HB139" s="7">
        <f>COUNTBLANK(AnalizaCzyste[Płeć])</f>
        <v>0</v>
      </c>
      <c r="HC139" s="7">
        <f>COUNTBLANK(AnalizaCzyste[Rok urodzenia])</f>
        <v>0</v>
      </c>
      <c r="HD139" s="7"/>
      <c r="HE139" s="7">
        <f>COUNTBLANK(AnalizaCzyste[Z jakiej wielkości miejscowości pochodzisz? (dotyczy miejscowości, w której się wychowałaś/eś])</f>
        <v>0</v>
      </c>
    </row>
    <row r="140" spans="1:217" ht="14.65" thickBot="1" x14ac:dyDescent="0.5">
      <c r="P140">
        <f>SUM(P137:P139)</f>
        <v>133</v>
      </c>
      <c r="Q140">
        <f t="shared" ref="Q140:CC140" si="7">SUM(Q137:Q139)</f>
        <v>133</v>
      </c>
      <c r="R140">
        <f t="shared" si="7"/>
        <v>0</v>
      </c>
      <c r="S140">
        <f t="shared" si="7"/>
        <v>0</v>
      </c>
      <c r="T140">
        <f t="shared" si="7"/>
        <v>0</v>
      </c>
      <c r="U140">
        <f t="shared" si="7"/>
        <v>0</v>
      </c>
      <c r="V140">
        <f t="shared" si="7"/>
        <v>0</v>
      </c>
      <c r="W140">
        <f t="shared" si="7"/>
        <v>0</v>
      </c>
      <c r="X140">
        <f t="shared" si="7"/>
        <v>0</v>
      </c>
      <c r="Y140">
        <f t="shared" si="7"/>
        <v>0</v>
      </c>
      <c r="Z140">
        <f t="shared" si="7"/>
        <v>0</v>
      </c>
      <c r="AA140">
        <f t="shared" si="7"/>
        <v>0</v>
      </c>
      <c r="AB140">
        <f t="shared" si="7"/>
        <v>0</v>
      </c>
      <c r="AC140">
        <f t="shared" si="7"/>
        <v>0</v>
      </c>
      <c r="AD140">
        <f t="shared" si="7"/>
        <v>0</v>
      </c>
      <c r="AE140">
        <f t="shared" si="7"/>
        <v>0</v>
      </c>
      <c r="AF140">
        <f t="shared" si="7"/>
        <v>0</v>
      </c>
      <c r="AG140">
        <f t="shared" si="7"/>
        <v>133</v>
      </c>
      <c r="AH140">
        <f t="shared" si="7"/>
        <v>0</v>
      </c>
      <c r="AJ140">
        <f t="shared" si="7"/>
        <v>0</v>
      </c>
      <c r="AK140">
        <f t="shared" si="7"/>
        <v>0</v>
      </c>
      <c r="AL140">
        <f t="shared" si="7"/>
        <v>0</v>
      </c>
      <c r="AM140">
        <f t="shared" si="7"/>
        <v>0</v>
      </c>
      <c r="AN140">
        <f t="shared" si="7"/>
        <v>0</v>
      </c>
      <c r="AO140">
        <f t="shared" si="7"/>
        <v>0</v>
      </c>
      <c r="AP140">
        <f t="shared" si="7"/>
        <v>0</v>
      </c>
      <c r="AQ140">
        <f t="shared" si="7"/>
        <v>0</v>
      </c>
      <c r="AR140">
        <f t="shared" si="7"/>
        <v>0</v>
      </c>
      <c r="AS140">
        <f t="shared" si="7"/>
        <v>0</v>
      </c>
      <c r="AT140">
        <f t="shared" si="7"/>
        <v>0</v>
      </c>
      <c r="AU140">
        <f t="shared" si="7"/>
        <v>0</v>
      </c>
      <c r="AV140">
        <f t="shared" si="7"/>
        <v>0</v>
      </c>
      <c r="AW140">
        <f t="shared" si="7"/>
        <v>0</v>
      </c>
      <c r="AX140">
        <f t="shared" si="7"/>
        <v>0</v>
      </c>
      <c r="AY140">
        <f t="shared" si="7"/>
        <v>0</v>
      </c>
      <c r="AZ140">
        <f t="shared" si="7"/>
        <v>133</v>
      </c>
      <c r="BA140">
        <f t="shared" si="7"/>
        <v>0</v>
      </c>
      <c r="BB140">
        <f t="shared" si="7"/>
        <v>0</v>
      </c>
      <c r="BC140">
        <f t="shared" si="7"/>
        <v>0</v>
      </c>
      <c r="BD140">
        <f t="shared" si="7"/>
        <v>0</v>
      </c>
      <c r="BE140">
        <f t="shared" si="7"/>
        <v>0</v>
      </c>
      <c r="BF140">
        <f t="shared" si="7"/>
        <v>0</v>
      </c>
      <c r="BG140">
        <f t="shared" si="7"/>
        <v>0</v>
      </c>
      <c r="BH140">
        <f t="shared" si="7"/>
        <v>0</v>
      </c>
      <c r="BI140">
        <f t="shared" si="7"/>
        <v>0</v>
      </c>
      <c r="BJ140">
        <f t="shared" si="7"/>
        <v>0</v>
      </c>
      <c r="BK140">
        <f t="shared" si="7"/>
        <v>0</v>
      </c>
      <c r="BL140">
        <f t="shared" si="7"/>
        <v>0</v>
      </c>
      <c r="BM140">
        <f t="shared" si="7"/>
        <v>0</v>
      </c>
      <c r="BN140">
        <f t="shared" si="7"/>
        <v>0</v>
      </c>
      <c r="BO140">
        <f t="shared" si="7"/>
        <v>0</v>
      </c>
      <c r="BP140">
        <f t="shared" si="7"/>
        <v>0</v>
      </c>
      <c r="BQ140">
        <f t="shared" si="7"/>
        <v>0</v>
      </c>
      <c r="BR140">
        <f t="shared" si="7"/>
        <v>0</v>
      </c>
      <c r="BS140">
        <f t="shared" si="7"/>
        <v>0</v>
      </c>
      <c r="BT140">
        <f t="shared" si="7"/>
        <v>0</v>
      </c>
      <c r="BU140">
        <f t="shared" si="7"/>
        <v>0</v>
      </c>
      <c r="BV140">
        <f t="shared" si="7"/>
        <v>0</v>
      </c>
      <c r="BW140">
        <f t="shared" si="7"/>
        <v>0</v>
      </c>
      <c r="BX140">
        <f t="shared" si="7"/>
        <v>0</v>
      </c>
      <c r="BY140">
        <f t="shared" si="7"/>
        <v>0</v>
      </c>
      <c r="BZ140">
        <f t="shared" si="7"/>
        <v>0</v>
      </c>
      <c r="CA140">
        <f t="shared" si="7"/>
        <v>0</v>
      </c>
      <c r="CB140">
        <f t="shared" si="7"/>
        <v>0</v>
      </c>
      <c r="CC140">
        <f t="shared" si="7"/>
        <v>0</v>
      </c>
      <c r="CD140">
        <f t="shared" ref="CD140:DN140" si="8">SUM(CD137:CD139)</f>
        <v>0</v>
      </c>
      <c r="CE140">
        <f t="shared" si="8"/>
        <v>0</v>
      </c>
      <c r="CF140">
        <f t="shared" si="8"/>
        <v>0</v>
      </c>
      <c r="CG140">
        <f t="shared" si="8"/>
        <v>0</v>
      </c>
      <c r="CH140">
        <f t="shared" si="8"/>
        <v>0</v>
      </c>
      <c r="CI140">
        <f t="shared" si="8"/>
        <v>0</v>
      </c>
      <c r="CJ140">
        <f t="shared" si="8"/>
        <v>0</v>
      </c>
      <c r="CK140">
        <f t="shared" si="8"/>
        <v>0</v>
      </c>
      <c r="CL140">
        <f t="shared" si="8"/>
        <v>0</v>
      </c>
      <c r="CM140">
        <f t="shared" si="8"/>
        <v>0</v>
      </c>
      <c r="CN140">
        <f t="shared" si="8"/>
        <v>0</v>
      </c>
      <c r="CO140">
        <f t="shared" si="8"/>
        <v>0</v>
      </c>
      <c r="CP140">
        <f t="shared" si="8"/>
        <v>0</v>
      </c>
      <c r="CQ140">
        <f t="shared" si="8"/>
        <v>0</v>
      </c>
      <c r="CR140">
        <f t="shared" si="8"/>
        <v>0</v>
      </c>
      <c r="CS140">
        <f t="shared" si="8"/>
        <v>0</v>
      </c>
      <c r="CT140">
        <f t="shared" si="8"/>
        <v>133</v>
      </c>
      <c r="CU140">
        <f t="shared" si="8"/>
        <v>0</v>
      </c>
      <c r="CV140">
        <f t="shared" si="8"/>
        <v>0</v>
      </c>
      <c r="CW140">
        <f t="shared" si="8"/>
        <v>0</v>
      </c>
      <c r="CX140">
        <f t="shared" si="8"/>
        <v>0</v>
      </c>
      <c r="CY140">
        <f t="shared" si="8"/>
        <v>0</v>
      </c>
      <c r="CZ140">
        <f t="shared" si="8"/>
        <v>0</v>
      </c>
      <c r="DA140">
        <f t="shared" si="8"/>
        <v>0</v>
      </c>
      <c r="DB140">
        <f t="shared" si="8"/>
        <v>0</v>
      </c>
      <c r="DC140">
        <f t="shared" si="8"/>
        <v>0</v>
      </c>
      <c r="DD140">
        <f t="shared" si="8"/>
        <v>133</v>
      </c>
      <c r="DE140">
        <f t="shared" si="8"/>
        <v>0</v>
      </c>
      <c r="DF140">
        <f t="shared" si="8"/>
        <v>0</v>
      </c>
      <c r="DG140">
        <f t="shared" si="8"/>
        <v>0</v>
      </c>
      <c r="DH140">
        <f t="shared" si="8"/>
        <v>0</v>
      </c>
      <c r="DI140">
        <f t="shared" si="8"/>
        <v>0</v>
      </c>
      <c r="DJ140">
        <f t="shared" si="8"/>
        <v>0</v>
      </c>
      <c r="DK140">
        <f t="shared" si="8"/>
        <v>0</v>
      </c>
      <c r="DL140">
        <f t="shared" si="8"/>
        <v>0</v>
      </c>
      <c r="DM140">
        <f t="shared" si="8"/>
        <v>0</v>
      </c>
      <c r="DN140">
        <f t="shared" si="8"/>
        <v>133</v>
      </c>
      <c r="DO140">
        <f>SUM(DO137:DO139)</f>
        <v>0</v>
      </c>
      <c r="DP140">
        <f t="shared" ref="DP140:GA140" si="9">SUM(DP137:DP139)</f>
        <v>0</v>
      </c>
      <c r="DQ140">
        <f t="shared" si="9"/>
        <v>0</v>
      </c>
      <c r="DR140">
        <f t="shared" si="9"/>
        <v>0</v>
      </c>
      <c r="DS140">
        <f t="shared" si="9"/>
        <v>0</v>
      </c>
      <c r="DT140">
        <f t="shared" si="9"/>
        <v>0</v>
      </c>
      <c r="DU140">
        <f t="shared" si="9"/>
        <v>0</v>
      </c>
      <c r="DV140">
        <f t="shared" si="9"/>
        <v>0</v>
      </c>
      <c r="DW140">
        <f t="shared" si="9"/>
        <v>0</v>
      </c>
      <c r="DX140">
        <f t="shared" si="9"/>
        <v>0</v>
      </c>
      <c r="DY140">
        <f t="shared" si="9"/>
        <v>0</v>
      </c>
      <c r="DZ140">
        <f t="shared" si="9"/>
        <v>0</v>
      </c>
      <c r="EA140">
        <f t="shared" si="9"/>
        <v>0</v>
      </c>
      <c r="EB140">
        <f t="shared" si="9"/>
        <v>0</v>
      </c>
      <c r="EC140">
        <f t="shared" si="9"/>
        <v>0</v>
      </c>
      <c r="ED140">
        <f t="shared" si="9"/>
        <v>0</v>
      </c>
      <c r="EE140">
        <f t="shared" si="9"/>
        <v>0</v>
      </c>
      <c r="EF140">
        <f t="shared" si="9"/>
        <v>0</v>
      </c>
      <c r="EG140">
        <f t="shared" si="9"/>
        <v>0</v>
      </c>
      <c r="EH140">
        <f t="shared" si="9"/>
        <v>0</v>
      </c>
      <c r="EI140">
        <f t="shared" si="9"/>
        <v>0</v>
      </c>
      <c r="EJ140">
        <f t="shared" si="9"/>
        <v>0</v>
      </c>
      <c r="EK140">
        <f t="shared" si="9"/>
        <v>0</v>
      </c>
      <c r="EL140">
        <f t="shared" si="9"/>
        <v>0</v>
      </c>
      <c r="EM140">
        <f t="shared" si="9"/>
        <v>0</v>
      </c>
      <c r="EN140">
        <f t="shared" si="9"/>
        <v>0</v>
      </c>
      <c r="EO140">
        <f t="shared" si="9"/>
        <v>0</v>
      </c>
      <c r="EP140">
        <f t="shared" si="9"/>
        <v>0</v>
      </c>
      <c r="EQ140">
        <f t="shared" si="9"/>
        <v>133</v>
      </c>
      <c r="ER140">
        <f t="shared" si="9"/>
        <v>0</v>
      </c>
      <c r="ES140">
        <f t="shared" si="9"/>
        <v>0</v>
      </c>
      <c r="ET140">
        <f t="shared" si="9"/>
        <v>0</v>
      </c>
      <c r="EU140">
        <f t="shared" si="9"/>
        <v>0</v>
      </c>
      <c r="EV140">
        <f t="shared" si="9"/>
        <v>0</v>
      </c>
      <c r="EW140">
        <f t="shared" si="9"/>
        <v>0</v>
      </c>
      <c r="EX140">
        <f t="shared" si="9"/>
        <v>0</v>
      </c>
      <c r="EY140">
        <f t="shared" si="9"/>
        <v>0</v>
      </c>
      <c r="EZ140">
        <f t="shared" si="9"/>
        <v>0</v>
      </c>
      <c r="FA140">
        <f t="shared" si="9"/>
        <v>0</v>
      </c>
      <c r="FB140">
        <f t="shared" si="9"/>
        <v>0</v>
      </c>
      <c r="FC140">
        <f t="shared" si="9"/>
        <v>0</v>
      </c>
      <c r="FD140">
        <f t="shared" si="9"/>
        <v>0</v>
      </c>
      <c r="FE140">
        <f t="shared" si="9"/>
        <v>0</v>
      </c>
      <c r="FF140">
        <f t="shared" si="9"/>
        <v>0</v>
      </c>
      <c r="FG140">
        <f t="shared" si="9"/>
        <v>0</v>
      </c>
      <c r="FH140">
        <f t="shared" si="9"/>
        <v>0</v>
      </c>
      <c r="FI140">
        <f t="shared" si="9"/>
        <v>0</v>
      </c>
      <c r="FJ140">
        <f t="shared" si="9"/>
        <v>0</v>
      </c>
      <c r="FK140">
        <f t="shared" si="9"/>
        <v>0</v>
      </c>
      <c r="FL140">
        <f t="shared" si="9"/>
        <v>0</v>
      </c>
      <c r="FM140">
        <f t="shared" si="9"/>
        <v>0</v>
      </c>
      <c r="FN140">
        <f t="shared" si="9"/>
        <v>0</v>
      </c>
      <c r="FO140">
        <f t="shared" si="9"/>
        <v>0</v>
      </c>
      <c r="FP140">
        <f t="shared" si="9"/>
        <v>0</v>
      </c>
      <c r="FQ140">
        <f t="shared" si="9"/>
        <v>133</v>
      </c>
      <c r="FR140">
        <f t="shared" si="9"/>
        <v>66</v>
      </c>
      <c r="FS140">
        <f t="shared" si="9"/>
        <v>131</v>
      </c>
      <c r="FT140">
        <f t="shared" si="9"/>
        <v>96</v>
      </c>
      <c r="FU140">
        <f t="shared" si="9"/>
        <v>131</v>
      </c>
      <c r="FV140">
        <f t="shared" si="9"/>
        <v>131</v>
      </c>
      <c r="FW140">
        <f t="shared" si="9"/>
        <v>131</v>
      </c>
      <c r="FX140">
        <f t="shared" si="9"/>
        <v>131</v>
      </c>
      <c r="FY140">
        <f t="shared" si="9"/>
        <v>131</v>
      </c>
      <c r="FZ140">
        <f t="shared" si="9"/>
        <v>131</v>
      </c>
      <c r="GA140">
        <f t="shared" si="9"/>
        <v>131</v>
      </c>
      <c r="GB140">
        <f t="shared" ref="GB140:HB140" si="10">SUM(GB137:GB139)</f>
        <v>131</v>
      </c>
      <c r="GC140">
        <f t="shared" si="10"/>
        <v>133</v>
      </c>
      <c r="GD140">
        <f t="shared" si="10"/>
        <v>132</v>
      </c>
      <c r="GE140">
        <f t="shared" si="10"/>
        <v>133</v>
      </c>
      <c r="GF140">
        <f t="shared" si="10"/>
        <v>133</v>
      </c>
      <c r="GG140">
        <f t="shared" si="10"/>
        <v>133</v>
      </c>
      <c r="GH140">
        <f t="shared" si="10"/>
        <v>133</v>
      </c>
      <c r="GI140">
        <f t="shared" si="10"/>
        <v>133</v>
      </c>
      <c r="GJ140">
        <f t="shared" si="10"/>
        <v>133</v>
      </c>
      <c r="GK140">
        <f t="shared" si="10"/>
        <v>133</v>
      </c>
      <c r="GL140">
        <f t="shared" si="10"/>
        <v>133</v>
      </c>
      <c r="GM140">
        <f t="shared" si="10"/>
        <v>133</v>
      </c>
      <c r="GN140">
        <f t="shared" si="10"/>
        <v>133</v>
      </c>
      <c r="GO140">
        <f t="shared" si="10"/>
        <v>133</v>
      </c>
      <c r="GP140">
        <f t="shared" si="10"/>
        <v>133</v>
      </c>
      <c r="GQ140">
        <f t="shared" si="10"/>
        <v>133</v>
      </c>
      <c r="GR140">
        <f t="shared" si="10"/>
        <v>133</v>
      </c>
      <c r="GS140">
        <f t="shared" si="10"/>
        <v>133</v>
      </c>
      <c r="GT140">
        <f t="shared" si="10"/>
        <v>133</v>
      </c>
      <c r="GU140">
        <f t="shared" si="10"/>
        <v>133</v>
      </c>
      <c r="GV140">
        <f t="shared" si="10"/>
        <v>133</v>
      </c>
      <c r="GW140">
        <f t="shared" si="10"/>
        <v>133</v>
      </c>
      <c r="GX140">
        <f t="shared" si="10"/>
        <v>133</v>
      </c>
      <c r="GY140">
        <f t="shared" si="10"/>
        <v>6</v>
      </c>
      <c r="GZ140">
        <f t="shared" si="10"/>
        <v>11</v>
      </c>
      <c r="HA140">
        <f t="shared" si="10"/>
        <v>4</v>
      </c>
      <c r="HB140">
        <f t="shared" si="10"/>
        <v>133</v>
      </c>
      <c r="HC140">
        <f>SUM(HC136,HC139)</f>
        <v>133</v>
      </c>
      <c r="HE140">
        <f>SUM(HE136,HE139)</f>
        <v>133</v>
      </c>
    </row>
    <row r="141" spans="1:217" ht="14.65" thickTop="1" x14ac:dyDescent="0.45">
      <c r="Q141" s="7"/>
      <c r="EA141">
        <f t="shared" ref="EA141:EG141" si="11">SUM(EA66,EA67,EA74,EA84,EA87)</f>
        <v>0</v>
      </c>
      <c r="EB141">
        <f t="shared" si="11"/>
        <v>0</v>
      </c>
      <c r="EC141">
        <f t="shared" si="11"/>
        <v>0</v>
      </c>
      <c r="ED141">
        <f t="shared" si="11"/>
        <v>0</v>
      </c>
      <c r="EE141">
        <f t="shared" si="11"/>
        <v>0</v>
      </c>
      <c r="EF141">
        <f t="shared" si="11"/>
        <v>0</v>
      </c>
      <c r="EG141">
        <f t="shared" si="11"/>
        <v>0</v>
      </c>
      <c r="EH141">
        <f>SUM(EA141:EG141)</f>
        <v>0</v>
      </c>
      <c r="EI141">
        <f t="shared" ref="EI141:EO141" si="12">SUM(EI66,EI67,EI74,EI84,EI87)</f>
        <v>0</v>
      </c>
      <c r="EJ141">
        <f t="shared" si="12"/>
        <v>0</v>
      </c>
      <c r="EK141">
        <f t="shared" si="12"/>
        <v>0</v>
      </c>
      <c r="EL141">
        <f t="shared" si="12"/>
        <v>0</v>
      </c>
      <c r="EM141">
        <f t="shared" si="12"/>
        <v>0</v>
      </c>
      <c r="EN141">
        <f t="shared" si="12"/>
        <v>0</v>
      </c>
      <c r="EO141">
        <f t="shared" si="12"/>
        <v>0</v>
      </c>
      <c r="EP141">
        <f>SUM(EI141:EO141)</f>
        <v>0</v>
      </c>
    </row>
    <row r="142" spans="1:217" x14ac:dyDescent="0.45">
      <c r="EA142" s="33" t="e">
        <f t="shared" ref="EA142:EG142" si="13">EA141/$EH$141</f>
        <v>#DIV/0!</v>
      </c>
      <c r="EB142" s="33" t="e">
        <f t="shared" si="13"/>
        <v>#DIV/0!</v>
      </c>
      <c r="EC142" s="33" t="e">
        <f t="shared" si="13"/>
        <v>#DIV/0!</v>
      </c>
      <c r="ED142" s="33" t="e">
        <f t="shared" si="13"/>
        <v>#DIV/0!</v>
      </c>
      <c r="EE142" s="33" t="e">
        <f t="shared" si="13"/>
        <v>#DIV/0!</v>
      </c>
      <c r="EF142" s="33" t="e">
        <f t="shared" si="13"/>
        <v>#DIV/0!</v>
      </c>
      <c r="EG142" s="33" t="e">
        <f t="shared" si="13"/>
        <v>#DIV/0!</v>
      </c>
      <c r="EH142" s="33" t="e">
        <f>SUM(EA142:EG142)</f>
        <v>#DIV/0!</v>
      </c>
      <c r="EI142" s="33" t="e">
        <f t="shared" ref="EI142:EO142" si="14">EI141/$EH$141</f>
        <v>#DIV/0!</v>
      </c>
      <c r="EJ142" s="33" t="e">
        <f t="shared" si="14"/>
        <v>#DIV/0!</v>
      </c>
      <c r="EK142" s="33" t="e">
        <f t="shared" si="14"/>
        <v>#DIV/0!</v>
      </c>
      <c r="EL142" s="33" t="e">
        <f t="shared" si="14"/>
        <v>#DIV/0!</v>
      </c>
      <c r="EM142" s="33" t="e">
        <f t="shared" si="14"/>
        <v>#DIV/0!</v>
      </c>
      <c r="EN142" s="33" t="e">
        <f t="shared" si="14"/>
        <v>#DIV/0!</v>
      </c>
      <c r="EO142" s="33" t="e">
        <f t="shared" si="14"/>
        <v>#DIV/0!</v>
      </c>
      <c r="EP142" s="33" t="e">
        <f>SUM(EI142:EO142)</f>
        <v>#DIV/0!</v>
      </c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7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workbookViewId="0">
      <selection activeCell="G56" sqref="G56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4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6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2023-05-12T18:42:43Z</dcterms:modified>
  <cp:category>wyniki indywidualne</cp:category>
</cp:coreProperties>
</file>