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7A106CCD-E334-4E7A-ADDE-E8CC2554E681}" xr6:coauthVersionLast="47" xr6:coauthVersionMax="47" xr10:uidLastSave="{00000000-0000-0000-0000-000000000000}"/>
  <bookViews>
    <workbookView xWindow="-2140" yWindow="-21710" windowWidth="37690" windowHeight="21820" activeTab="1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G649" i="7" l="1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O141" i="5"/>
  <c r="EN141" i="5"/>
  <c r="EM141" i="5"/>
  <c r="EL141" i="5"/>
  <c r="EK141" i="5"/>
  <c r="EJ141" i="5"/>
  <c r="EI141" i="5"/>
  <c r="EG141" i="5"/>
  <c r="EF141" i="5"/>
  <c r="EE141" i="5"/>
  <c r="ED141" i="5"/>
  <c r="EC141" i="5"/>
  <c r="EB141" i="5"/>
  <c r="EA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B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D44" i="5"/>
  <c r="HD45" i="5"/>
  <c r="HD106" i="5"/>
  <c r="HD10" i="5"/>
  <c r="HD52" i="5"/>
  <c r="HD51" i="5"/>
  <c r="HD47" i="5"/>
  <c r="HD80" i="5"/>
  <c r="HD54" i="5"/>
  <c r="HD77" i="5"/>
  <c r="HD104" i="5"/>
  <c r="HD133" i="5"/>
  <c r="HD17" i="5"/>
  <c r="HD4" i="5"/>
  <c r="HD7" i="5"/>
  <c r="HD131" i="5"/>
  <c r="HD6" i="5"/>
  <c r="HD132" i="5"/>
  <c r="HD58" i="5"/>
  <c r="HD12" i="5"/>
  <c r="HD130" i="5"/>
  <c r="HD109" i="5"/>
  <c r="HD61" i="5"/>
  <c r="HD134" i="5"/>
  <c r="HD57" i="5"/>
  <c r="HD102" i="5"/>
  <c r="HD76" i="5"/>
  <c r="HD74" i="5"/>
  <c r="HD98" i="5"/>
  <c r="HD78" i="5"/>
  <c r="HD112" i="5"/>
  <c r="HD67" i="5"/>
  <c r="HD75" i="5"/>
  <c r="HD107" i="5"/>
  <c r="HD114" i="5"/>
  <c r="HD64" i="5"/>
  <c r="HD43" i="5"/>
  <c r="HD128" i="5"/>
  <c r="HD62" i="5"/>
  <c r="HD50" i="5"/>
  <c r="HD119" i="5"/>
  <c r="HD96" i="5"/>
  <c r="HD135" i="5"/>
  <c r="HD84" i="5"/>
  <c r="HD66" i="5"/>
  <c r="HD79" i="5"/>
  <c r="HD63" i="5"/>
  <c r="HD86" i="5"/>
  <c r="HD21" i="5"/>
  <c r="HD93" i="5"/>
  <c r="HD90" i="5"/>
  <c r="HD38" i="5"/>
  <c r="HD39" i="5"/>
  <c r="HD53" i="5"/>
  <c r="HD105" i="5"/>
  <c r="HD89" i="5"/>
  <c r="HD55" i="5"/>
  <c r="HD92" i="5"/>
  <c r="HD88" i="5"/>
  <c r="HD110" i="5"/>
  <c r="HD113" i="5"/>
  <c r="HD18" i="5"/>
  <c r="HD13" i="5"/>
  <c r="HD103" i="5"/>
  <c r="HD111" i="5"/>
  <c r="HD124" i="5"/>
  <c r="HD87" i="5"/>
  <c r="HD60" i="5"/>
  <c r="HD15" i="5"/>
  <c r="HD118" i="5"/>
  <c r="HD127" i="5"/>
  <c r="HD70" i="5"/>
  <c r="HD85" i="5"/>
  <c r="HD116" i="5"/>
  <c r="HD122" i="5"/>
  <c r="HD81" i="5"/>
  <c r="HD14" i="5"/>
  <c r="HD19" i="5"/>
  <c r="HD3" i="5"/>
  <c r="HD125" i="5"/>
  <c r="HD16" i="5"/>
  <c r="HD42" i="5"/>
  <c r="HD99" i="5"/>
  <c r="HD41" i="5"/>
  <c r="HD9" i="5"/>
  <c r="HD49" i="5"/>
  <c r="HD11" i="5"/>
  <c r="C11" i="5" s="1"/>
  <c r="HD8" i="5"/>
  <c r="C8" i="5" s="1"/>
  <c r="HD34" i="5"/>
  <c r="HD100" i="5"/>
  <c r="HD40" i="5"/>
  <c r="HD91" i="5"/>
  <c r="HD115" i="5"/>
  <c r="HD28" i="5"/>
  <c r="HD56" i="5"/>
  <c r="HD48" i="5"/>
  <c r="HD71" i="5"/>
  <c r="HD83" i="5"/>
  <c r="HD5" i="5"/>
  <c r="HD65" i="5"/>
  <c r="HD69" i="5"/>
  <c r="HD59" i="5"/>
  <c r="HD73" i="5"/>
  <c r="HD97" i="5"/>
  <c r="HD121" i="5"/>
  <c r="C121" i="5" s="1"/>
  <c r="HD68" i="5"/>
  <c r="HD95" i="5"/>
  <c r="HD123" i="5"/>
  <c r="HD82" i="5"/>
  <c r="HD108" i="5"/>
  <c r="HD26" i="5"/>
  <c r="HD31" i="5"/>
  <c r="HD32" i="5"/>
  <c r="HD20" i="5"/>
  <c r="HD25" i="5"/>
  <c r="HD24" i="5"/>
  <c r="HD36" i="5"/>
  <c r="HD23" i="5"/>
  <c r="HD30" i="5"/>
  <c r="HD35" i="5"/>
  <c r="HD37" i="5"/>
  <c r="HD27" i="5"/>
  <c r="HD120" i="5"/>
  <c r="HD29" i="5"/>
  <c r="HD101" i="5"/>
  <c r="HD117" i="5"/>
  <c r="HD126" i="5"/>
  <c r="HD72" i="5"/>
  <c r="HD129" i="5"/>
  <c r="HD94" i="5"/>
  <c r="HD22" i="5"/>
  <c r="HD33" i="5"/>
  <c r="HD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M140" i="5"/>
  <c r="DL140" i="5"/>
  <c r="DK140" i="5"/>
  <c r="DJ140" i="5"/>
  <c r="DI140" i="5"/>
  <c r="DH140" i="5"/>
  <c r="DG140" i="5"/>
  <c r="DF140" i="5"/>
  <c r="DE140" i="5"/>
  <c r="DC140" i="5"/>
  <c r="DB140" i="5"/>
  <c r="DA140" i="5"/>
  <c r="CZ140" i="5"/>
  <c r="CY140" i="5"/>
  <c r="CX140" i="5"/>
  <c r="CW140" i="5"/>
  <c r="CV140" i="5"/>
  <c r="CU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A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E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EQ139" i="5"/>
  <c r="DN139" i="5"/>
  <c r="DD139" i="5"/>
  <c r="CT139" i="5"/>
  <c r="AZ139" i="5"/>
  <c r="AG139" i="5"/>
  <c r="Q139" i="5"/>
  <c r="P139" i="5"/>
  <c r="HE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EQ138" i="5"/>
  <c r="DN138" i="5"/>
  <c r="DD138" i="5"/>
  <c r="CT138" i="5"/>
  <c r="AZ138" i="5"/>
  <c r="AG138" i="5"/>
  <c r="Q138" i="5"/>
  <c r="P138" i="5"/>
  <c r="HE137" i="5"/>
  <c r="HC137" i="5"/>
  <c r="HB137" i="5"/>
  <c r="HA137" i="5"/>
  <c r="GZ137" i="5"/>
  <c r="GY137" i="5"/>
  <c r="GX137" i="5"/>
  <c r="GX140" i="5" s="1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P137" i="5"/>
  <c r="GP140" i="5" s="1"/>
  <c r="GO137" i="5"/>
  <c r="GO140" i="5" s="1"/>
  <c r="GN137" i="5"/>
  <c r="GN140" i="5" s="1"/>
  <c r="GM137" i="5"/>
  <c r="GM140" i="5" s="1"/>
  <c r="GL137" i="5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A137" i="5"/>
  <c r="GA140" i="5" s="1"/>
  <c r="FZ137" i="5"/>
  <c r="FZ140" i="5" s="1"/>
  <c r="FY137" i="5"/>
  <c r="FY140" i="5" s="1"/>
  <c r="FX137" i="5"/>
  <c r="FX140" i="5" s="1"/>
  <c r="FW137" i="5"/>
  <c r="FV137" i="5"/>
  <c r="FV140" i="5" s="1"/>
  <c r="FU137" i="5"/>
  <c r="FU140" i="5" s="1"/>
  <c r="FT137" i="5"/>
  <c r="FT140" i="5" s="1"/>
  <c r="FS137" i="5"/>
  <c r="FS140" i="5" s="1"/>
  <c r="FR137" i="5"/>
  <c r="FR140" i="5" s="1"/>
  <c r="FQ137" i="5"/>
  <c r="FQ140" i="5" s="1"/>
  <c r="EQ137" i="5"/>
  <c r="EQ140" i="5" s="1"/>
  <c r="DN137" i="5"/>
  <c r="DD137" i="5"/>
  <c r="DD140" i="5" s="1"/>
  <c r="CT137" i="5"/>
  <c r="AZ137" i="5"/>
  <c r="AZ140" i="5" s="1"/>
  <c r="AG137" i="5"/>
  <c r="Q137" i="5"/>
  <c r="P137" i="5"/>
  <c r="HI136" i="5"/>
  <c r="HH136" i="5"/>
  <c r="HG136" i="5"/>
  <c r="HF136" i="5"/>
  <c r="HE136" i="5"/>
  <c r="HC136" i="5"/>
  <c r="HB136" i="5"/>
  <c r="FQ136" i="5"/>
  <c r="EQ136" i="5"/>
  <c r="DN136" i="5"/>
  <c r="DD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132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T140" i="5" l="1"/>
  <c r="GL140" i="5"/>
  <c r="DN140" i="5"/>
  <c r="EH141" i="5"/>
  <c r="EA142" i="5" s="1"/>
  <c r="EP141" i="5"/>
  <c r="C95" i="5"/>
  <c r="C44" i="5"/>
  <c r="D49" i="8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B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Q140" i="5"/>
  <c r="C69" i="5"/>
  <c r="C113" i="5"/>
  <c r="C60" i="5"/>
  <c r="C68" i="5"/>
  <c r="C96" i="5"/>
  <c r="A35" i="7"/>
  <c r="A120" i="7"/>
  <c r="C64" i="5"/>
  <c r="A40" i="7"/>
  <c r="FW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1" i="7"/>
  <c r="A80" i="7"/>
  <c r="A79" i="7"/>
  <c r="A78" i="7"/>
  <c r="GZ140" i="5"/>
  <c r="HC140" i="5"/>
  <c r="HE140" i="5"/>
  <c r="GB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A140" i="5"/>
  <c r="P140" i="5"/>
  <c r="AG140" i="5"/>
  <c r="GY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O142" i="5" l="1"/>
  <c r="EF142" i="5"/>
  <c r="EG142" i="5"/>
  <c r="EN142" i="5"/>
  <c r="EE142" i="5"/>
  <c r="EM142" i="5"/>
  <c r="ED142" i="5"/>
  <c r="EL142" i="5"/>
  <c r="EB142" i="5"/>
  <c r="EH142" i="5" s="1"/>
  <c r="EI142" i="5"/>
  <c r="EK142" i="5"/>
  <c r="EC142" i="5"/>
  <c r="EJ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P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9" i="7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7" i="7" l="1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<sst xmlns="http://schemas.openxmlformats.org/spreadsheetml/2006/main" count="27218" uniqueCount="2453">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</sst>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51">
      <pivotArea type="all" dataOnly="0" outline="0" fieldPosition="0"/>
    </format>
    <format dxfId="450">
      <pivotArea outline="0" collapsedLevelsAreSubtotals="1" fieldPosition="0"/>
    </format>
    <format dxfId="449">
      <pivotArea field="95" type="button" dataOnly="0" labelOnly="1" outline="0" axis="axisRow" fieldPosition="0"/>
    </format>
    <format dxfId="448">
      <pivotArea dataOnly="0" labelOnly="1" fieldPosition="0">
        <references count="1">
          <reference field="95" count="0"/>
        </references>
      </pivotArea>
    </format>
    <format dxfId="447">
      <pivotArea dataOnly="0" labelOnly="1" grandRow="1" outline="0" fieldPosition="0"/>
    </format>
    <format dxfId="44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57">
      <pivotArea type="all" dataOnly="0" outline="0" fieldPosition="0"/>
    </format>
    <format dxfId="456">
      <pivotArea outline="0" collapsedLevelsAreSubtotals="1" fieldPosition="0"/>
    </format>
    <format dxfId="455">
      <pivotArea field="115" type="button" dataOnly="0" labelOnly="1" outline="0" axis="axisRow" fieldPosition="0"/>
    </format>
    <format dxfId="454">
      <pivotArea dataOnly="0" labelOnly="1" fieldPosition="0">
        <references count="1">
          <reference field="115" count="0"/>
        </references>
      </pivotArea>
    </format>
    <format dxfId="453">
      <pivotArea dataOnly="0" labelOnly="1" grandRow="1" outline="0" fieldPosition="0"/>
    </format>
    <format dxfId="45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62">
      <pivotArea type="all" dataOnly="0" outline="0" fieldPosition="0"/>
    </format>
    <format dxfId="461">
      <pivotArea outline="0" collapsedLevelsAreSubtotals="1" fieldPosition="0"/>
    </format>
    <format dxfId="460">
      <pivotArea field="49" type="button" dataOnly="0" labelOnly="1" outline="0" axis="axisRow" fieldPosition="0"/>
    </format>
    <format dxfId="459">
      <pivotArea dataOnly="0" labelOnly="1" grandRow="1" outline="0" fieldPosition="0"/>
    </format>
    <format dxfId="45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68">
      <pivotArea type="all" dataOnly="0" outline="0" fieldPosition="0"/>
    </format>
    <format dxfId="467">
      <pivotArea outline="0" collapsedLevelsAreSubtotals="1" fieldPosition="0"/>
    </format>
    <format dxfId="466">
      <pivotArea field="15" type="button" dataOnly="0" labelOnly="1" outline="0" axis="axisRow" fieldPosition="0"/>
    </format>
    <format dxfId="465">
      <pivotArea dataOnly="0" labelOnly="1" fieldPosition="0">
        <references count="1">
          <reference field="15" count="0"/>
        </references>
      </pivotArea>
    </format>
    <format dxfId="464">
      <pivotArea dataOnly="0" labelOnly="1" grandRow="1" outline="0" fieldPosition="0"/>
    </format>
    <format dxfId="4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74">
      <pivotArea type="all" dataOnly="0" outline="0" fieldPosition="0"/>
    </format>
    <format dxfId="473">
      <pivotArea outline="0" collapsedLevelsAreSubtotals="1" fieldPosition="0"/>
    </format>
    <format dxfId="472">
      <pivotArea field="170" type="button" dataOnly="0" labelOnly="1" outline="0" axis="axisRow" fieldPosition="0"/>
    </format>
    <format dxfId="471">
      <pivotArea dataOnly="0" labelOnly="1" fieldPosition="0">
        <references count="1">
          <reference field="170" count="0"/>
        </references>
      </pivotArea>
    </format>
    <format dxfId="470">
      <pivotArea dataOnly="0" labelOnly="1" grandRow="1" outline="0" fieldPosition="0"/>
    </format>
    <format dxfId="4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80">
      <pivotArea type="all" dataOnly="0" outline="0" fieldPosition="0"/>
    </format>
    <format dxfId="479">
      <pivotArea outline="0" collapsedLevelsAreSubtotals="1" fieldPosition="0"/>
    </format>
    <format dxfId="478">
      <pivotArea field="49" type="button" dataOnly="0" labelOnly="1" outline="0" axis="axisRow" fieldPosition="0"/>
    </format>
    <format dxfId="477">
      <pivotArea dataOnly="0" labelOnly="1" fieldPosition="0">
        <references count="1">
          <reference field="49" count="0"/>
        </references>
      </pivotArea>
    </format>
    <format dxfId="476">
      <pivotArea dataOnly="0" labelOnly="1" grandRow="1" outline="0" fieldPosition="0"/>
    </format>
    <format dxfId="4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6">
      <pivotArea type="all" dataOnly="0" outline="0" fieldPosition="0"/>
    </format>
    <format dxfId="485">
      <pivotArea outline="0" collapsedLevelsAreSubtotals="1" fieldPosition="0"/>
    </format>
    <format dxfId="484">
      <pivotArea field="105" type="button" dataOnly="0" labelOnly="1" outline="0" axis="axisRow" fieldPosition="0"/>
    </format>
    <format dxfId="483">
      <pivotArea dataOnly="0" labelOnly="1" fieldPosition="0">
        <references count="1">
          <reference field="105" count="0"/>
        </references>
      </pivotArea>
    </format>
    <format dxfId="482">
      <pivotArea dataOnly="0" labelOnly="1" grandRow="1" outline="0" fieldPosition="0"/>
    </format>
    <format dxfId="4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144" type="button" dataOnly="0" labelOnly="1" outline="0" axis="axisRow" fieldPosition="0"/>
    </format>
    <format dxfId="489">
      <pivotArea dataOnly="0" labelOnly="1" fieldPosition="0">
        <references count="1">
          <reference field="144" count="0"/>
        </references>
      </pivotArea>
    </format>
    <format dxfId="488">
      <pivotArea dataOnly="0" labelOnly="1" grandRow="1" outline="0" fieldPosition="0"/>
    </format>
    <format dxfId="4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98">
      <pivotArea type="all" dataOnly="0" outline="0" fieldPosition="0"/>
    </format>
    <format dxfId="497">
      <pivotArea outline="0" collapsedLevelsAreSubtotals="1" fieldPosition="0"/>
    </format>
    <format dxfId="496">
      <pivotArea field="31" type="button" dataOnly="0" labelOnly="1" outline="0" axis="axisRow" fieldPosition="0"/>
    </format>
    <format dxfId="495">
      <pivotArea dataOnly="0" labelOnly="1" fieldPosition="0">
        <references count="1">
          <reference field="31" count="0"/>
        </references>
      </pivotArea>
    </format>
    <format dxfId="494">
      <pivotArea dataOnly="0" labelOnly="1" grandRow="1" outline="0" fieldPosition="0"/>
    </format>
    <format dxfId="4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I136" totalsRowCount="1">
  <autoFilter ref="A2:HI135" xr:uid="{BC01C17C-E729-4430-9A94-BDF77386BAED}">
    <filterColumn colId="1">
      <filters>
        <filter val="78"/>
      </filters>
    </filterColumn>
  </autoFilter>
  <sortState xmlns:xlrd2="http://schemas.microsoft.com/office/spreadsheetml/2017/richdata2" ref="A3:HI135">
    <sortCondition ref="B2:B135"/>
  </sortState>
  <tableColumns count="217">
    <tableColumn id="1" xr3:uid="{37199E79-F22A-49C0-B1C3-8001D68B6905}" name="Lp."/>
    <tableColumn id="214" xr3:uid="{15F16F1A-B79B-4E98-AC9F-5DC850A3D9F6}" name="ID_zakończone" dataDxfId="522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21">
      <calculatedColumnFormula>COUNTA(P3:HI3)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94">
      <totalsRowFormula>COUNTA((P3:P135))</totalsRowFormula>
    </tableColumn>
    <tableColumn id="14" xr3:uid="{A75D7BB0-BDD4-4F9E-BFE1-A35FFDAA2A35}" name="Czy jesteś studentem uczelni wyższej?" totalsRowFunction="custom" dataDxfId="520" totalsRowDxfId="93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92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91">
      <totalsRowFormula>COUNTA((S3:S135))</totalsRowFormula>
    </tableColumn>
    <tableColumn id="17" xr3:uid="{C6F68B54-181D-4E6B-90DE-3758AC28643F}" name="Jak się nazywa kierunek, na którym studiujesz?" totalsRowFunction="custom" totalsRowDxfId="90">
      <totalsRowFormula>COUNTA((T3:T135))</totalsRowFormula>
    </tableColumn>
    <tableColumn id="18" xr3:uid="{4009F8D5-0845-4794-BD7B-DEDD90E1035F}" name="Moja satysfakcja z usług edukacyjnych ocenianej uczelni jest wysoka." totalsRowFunction="custom" totalsRowDxfId="89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88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87">
      <totalsRowFormula>COUNTA((W3:W135))</totalsRowFormula>
    </tableColumn>
    <tableColumn id="21" xr3:uid="{29A03634-DD01-47E7-9082-570B2CBA75AC}" name="Kolumna1" totalsRowFunction="custom" totalsRowDxfId="86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85">
      <totalsRowFormula>COUNTA((Y3:Y135))</totalsRowFormula>
    </tableColumn>
    <tableColumn id="23" xr3:uid="{62967F23-9856-4DFD-AADC-42AC36B2CDB1}" name="w 3 lata po ukończeniu studiów : wybierz wartość z listy rozwijanej" totalsRowFunction="custom" totalsRowDxfId="84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83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82">
      <totalsRowFormula>COUNTA((AB3:AB135))</totalsRowFormula>
    </tableColumn>
    <tableColumn id="26" xr3:uid="{86CB3A73-27F1-4FCF-B9E3-8D590DC2DB33}" name="Jakie elementy lub cechy sprawiały, że Tobie studiowało się źle?" totalsRowFunction="custom" totalsRowDxfId="81">
      <totalsRowFormula>COUNTA((AC3:AC135))</totalsRowFormula>
    </tableColumn>
    <tableColumn id="27" xr3:uid="{8DCB6BDF-C860-4D73-8953-D14EF0C8F0AA}" name="Jakiego rodzaju są Twoje studia?" totalsRowFunction="custom" totalsRowDxfId="80">
      <totalsRowFormula>COUNTA((AD3:AD135))</totalsRowFormula>
    </tableColumn>
    <tableColumn id="28" xr3:uid="{F292FE47-988D-4A95-932D-2E3B34B7BF0B}" name="Pole dodatkowe" totalsRowFunction="custom" totalsRowDxfId="79">
      <totalsRowFormula>COUNTA((AE3:AE135))</totalsRowFormula>
    </tableColumn>
    <tableColumn id="29" xr3:uid="{4225184D-873A-4CF3-B8D1-575C3D6A2435}" name="Na którym semestrze studiujesz obecnie?" totalsRowFunction="custom" totalsRowDxfId="78">
      <totalsRowFormula>COUNTA((AF3:AF135))</totalsRowFormula>
    </tableColumn>
    <tableColumn id="30" xr3:uid="{41979390-06F4-463C-ADB5-F98E8C311CBA}" name="Czy jesteś absolwentem uczelni wyższej?" totalsRowFunction="custom" dataDxfId="519" totalsRowDxfId="77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76">
      <totalsRowFormula>COUNTA((AH3:AH135))</totalsRowFormula>
    </tableColumn>
    <tableColumn id="216" xr3:uid="{72DEEBC7-088A-46A4-9999-AE96ED74030A}" name="KategoriaUczelni" dataDxfId="518" totalsRowDxfId="75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4">
      <totalsRowFormula>COUNTA((AJ3:AJ135))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3">
      <totalsRowFormula>COUNTA((AK3:AK135))</totalsRowFormula>
    </tableColumn>
    <tableColumn id="34" xr3:uid="{B85DD2EE-D5F2-46D3-9E33-DA992576E185}" name="Jak się nazywa kierunek, który ukończyłaś/eś?" totalsRowFunction="custom" totalsRowDxfId="72">
      <totalsRowFormula>COUNTA((AL3:AL135))</totalsRowFormula>
    </tableColumn>
    <tableColumn id="35" xr3:uid="{4CC44F8F-616F-4095-99F6-60AF14EEC568}" name="Moja satysfakcja z (efektów) usług edukacyjnych ocenianej uczelni jest wysoka." totalsRowFunction="custom" totalsRowDxfId="71">
      <totalsRowFormula>COUNTA((AM3:AM135))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0">
      <totalsRowFormula>COUNTA((AN3:AN135))</totalsRowFormula>
    </tableColumn>
    <tableColumn id="37" xr3:uid="{44EB38FB-B9C9-46B4-B0FB-9985D53C385D}" name="Kształcenie na ocenianej uczelni ma/miało pozytywny wpływ na zwiększenie moich zarobków." totalsRowFunction="custom" totalsRowDxfId="69">
      <totalsRowFormula>COUNTA((AO3:AO135))</totalsRowFormula>
    </tableColumn>
    <tableColumn id="38" xr3:uid="{34BE9A51-E55F-4AE8-87A0-FBEC63D51E8F}" name="Moje zarobki w pierwszym roku po ukończeniu studiów były satysfakcjonujące." totalsRowFunction="custom" totalsRowDxfId="68">
      <totalsRowFormula>COUNTA((AP3:AP135))</totalsRowFormula>
    </tableColumn>
    <tableColumn id="39" xr3:uid="{4033761C-CB95-4451-B0C4-2ABCB2769F7E}" name="Moje zarobki po 3. latach po ukończeniu studiów były satysfakcjonujące." totalsRowFunction="custom" totalsRowDxfId="67">
      <totalsRowFormula>COUNTA((AQ3:AQ135))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6">
      <totalsRowFormula>COUNTA((AR3:AR135))</totalsRowFormula>
    </tableColumn>
    <tableColumn id="41" xr3:uid="{25DB6FAA-8A3B-408B-9262-5EDE22E06BA2}" name="w pierwszym roku po ukończeniu studiów : wybierz wartość z listy rozwijanej4" totalsRowFunction="custom" totalsRowDxfId="65">
      <totalsRowFormula>COUNTA((AS3:AS135))</totalsRowFormula>
    </tableColumn>
    <tableColumn id="42" xr3:uid="{2B38DFDD-3D06-4B52-B1DB-7F8144FEDBDB}" name="w 3 lata po ukończeniu studiów : wybierz wartość z listy rozwijanej5" totalsRowFunction="custom" totalsRowDxfId="64">
      <totalsRowFormula>COUNTA((AT3:AT135))</totalsRowFormula>
    </tableColumn>
    <tableColumn id="43" xr3:uid="{FBBBF8D2-7A99-41FF-B15C-4A2191C9D8D9}" name="Jakie inne (poza zarobkami) efekty kształcenia na ocenianej uczelni dostrzegasz obecnie?" totalsRowFunction="custom" totalsRowDxfId="63">
      <totalsRowFormula>COUNTA((AU3:AU135))</totalsRowFormula>
    </tableColumn>
    <tableColumn id="44" xr3:uid="{6B48263B-8F26-4FBA-9F9A-424993C5E3ED}" name="Co wpływało na twoją satysfakcję ze studiowania?_x000a_" totalsRowFunction="custom" totalsRowDxfId="62">
      <totalsRowFormula>COUNTA((AV3:AV135))</totalsRowFormula>
    </tableColumn>
    <tableColumn id="45" xr3:uid="{52ED1FC9-CD2D-42A5-B204-567F0483F099}" name="Kolumna6" totalsRowFunction="custom" totalsRowDxfId="61">
      <totalsRowFormula>COUNTA((AW3:AW135))</totalsRowFormula>
    </tableColumn>
    <tableColumn id="46" xr3:uid="{3D74590B-7E93-443E-BE1C-FD99ECE16017}" name="Jakiego rodzaju były Twoje studia?" totalsRowFunction="custom" totalsRowDxfId="60">
      <totalsRowFormula>COUNTA((AX3:AX135))</totalsRowFormula>
    </tableColumn>
    <tableColumn id="47" xr3:uid="{E8CA34F5-D9E4-418D-8BF9-050444C4061E}" name="Pole dodatkowe7" totalsRowFunction="custom" totalsRowDxfId="59">
      <totalsRowFormula>COUNTA((AY3:AY135))</totalsRowFormula>
    </tableColumn>
    <tableColumn id="48" xr3:uid="{A48EA897-6002-486C-94A2-3071DE7EB5AD}" name="Czy jesteś rodzicem / opiekunem absolwenta uczelni wyższej?" totalsRowFunction="custom" dataDxfId="517" totalsRowDxfId="58">
      <totalsRowFormula>COUNTA((AZ3:AZ135))</totalsRowFormula>
    </tableColumn>
    <tableColumn id="49" xr3:uid="{FEE5A281-6D4B-4D31-93CD-509A968E7773}" name="Uczelnie ilu podopiecznych będziesz oceniać?" totalsRowFunction="custom" totalsRowDxfId="57">
      <totalsRowFormula>COUNTA((BA3:BA135))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6">
      <totalsRowFormula>COUNTA((BB3:BB135))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5">
      <totalsRowFormula>COUNTA((BC3:BC135))</totalsRowFormula>
    </tableColumn>
    <tableColumn id="52" xr3:uid="{2D5E47C8-051A-480B-B96D-83E7709F1700}" name="Czy ukończony kierunek był kierunkiem technicznym, tzn. takim, po którym uzyskano tytuł inżyniera?" totalsRowFunction="custom" totalsRowDxfId="54">
      <totalsRowFormula>COUNTA((BD3:BD135))</totalsRowFormula>
    </tableColumn>
    <tableColumn id="53" xr3:uid="{D51D9DD7-878A-415B-B2F8-02F53EBFA22A}" name="Jak się nazywa kierunek, który ukończył/a Twoja/Twój podopieczna/podopieczny?" totalsRowFunction="custom" totalsRowDxfId="53">
      <totalsRowFormula>COUNTA((BE3:BE135))</totalsRowFormula>
    </tableColumn>
    <tableColumn id="54" xr3:uid="{D3DB1C46-F931-4289-86D2-779EC4340002}" name="Moja satysfakcja z (efektów) usług edukacyjnych ocenianej uczelni jest wysoka.8" totalsRowFunction="custom" totalsRowDxfId="52">
      <totalsRowFormula>COUNTA((BF3:BF135))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1">
      <totalsRowFormula>COUNTA((BG3:BG135))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0">
      <totalsRowFormula>COUNTA((BH3:BH135))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9">
      <totalsRowFormula>COUNTA((BI3:BI135))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">
      <totalsRowFormula>COUNTA((BJ3:BJ135))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7">
      <totalsRowFormula>COUNTA((BK3:BK135))</totalsRowFormula>
    </tableColumn>
    <tableColumn id="60" xr3:uid="{847514F8-F661-4B2D-88BE-10ABFD806894}" name="Jakie inne (poza zarobkami) efekty kształcenia na ocenianej uczelni się dostrzegasz obecnie?" totalsRowFunction="custom" totalsRowDxfId="46">
      <totalsRowFormula>COUNTA((BL3:BL135))</totalsRowFormula>
    </tableColumn>
    <tableColumn id="61" xr3:uid="{8B4485AE-C106-41C7-89AC-D28DBDA4C166}" name="Jakiego rodzaju były studia, które ukończył/a Twoja/Twój podopieczna/podopieczny?" totalsRowFunction="custom" totalsRowDxfId="45">
      <totalsRowFormula>COUNTA((BM3:BM135))</totalsRowFormula>
    </tableColumn>
    <tableColumn id="62" xr3:uid="{F0DE0B1C-928B-4581-8D63-11188CD95233}" name="Pole dodatkowe10" totalsRowFunction="custom" totalsRowDxfId="44">
      <totalsRowFormula>COUNTA((BN3:BN135))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3">
      <totalsRowFormula>COUNTA((BO3:BO135))</totalsRowFormula>
    </tableColumn>
    <tableColumn id="64" xr3:uid="{08619068-F1EA-4298-AAE7-77A34A620074}" name="Czy będziesz oceniał uczelnię ukończoną przez drugiego podopiecznego?" totalsRowFunction="custom" totalsRowDxfId="42">
      <totalsRowFormula>COUNTA((BP3:BP135))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1">
      <totalsRowFormula>COUNTA((BQ3:BQ135))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0">
      <totalsRowFormula>COUNTA((BR3:BR135))</totalsRowFormula>
    </tableColumn>
    <tableColumn id="67" xr3:uid="{1C6ADC27-9F30-4227-81CE-3C15A0D6C10C}" name="Czy ukończony kierunek był kierunkiem technicznym, tzn. takim, po którym uzyskano tytuł inżyniera?13" totalsRowFunction="custom" totalsRowDxfId="39">
      <totalsRowFormula>COUNTA((BS3:BS135))</totalsRowFormula>
    </tableColumn>
    <tableColumn id="68" xr3:uid="{94C8B518-4547-40DD-AC32-B5C834F0511E}" name="Jak się nazywa kierunek, który ukończył/a Twoja/Twój podopieczna/podopieczny?14" totalsRowFunction="custom" totalsRowDxfId="38">
      <totalsRowFormula>COUNTA((BT3:BT135))</totalsRowFormula>
    </tableColumn>
    <tableColumn id="69" xr3:uid="{00BE12AC-CBE0-47D5-8BEF-A62C47DFED23}" name="Moja satysfakcja z (efektów) usług edukacyjnych ocenianej uczelni jest wysoka.15" totalsRowFunction="custom" totalsRowDxfId="37">
      <totalsRowFormula>COUNTA((BU3:BU135))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6">
      <totalsRowFormula>COUNTA((BV3:BV135))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5">
      <totalsRowFormula>COUNTA((BW3:BW135))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4">
      <totalsRowFormula>COUNTA((BX3:BX135))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3">
      <totalsRowFormula>COUNTA((BY3:BY135))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2">
      <totalsRowFormula>COUNTA((BZ3:BZ135))</totalsRowFormula>
    </tableColumn>
    <tableColumn id="75" xr3:uid="{54EF7743-0CB2-446D-9665-46C77C464F05}" name="Jakie inne (poza zarobkami) efekty kształcenia na ocenianej uczelni się dostrzegasz obecnie?21" totalsRowFunction="custom" totalsRowDxfId="31">
      <totalsRowFormula>COUNTA((CA3:CA135))</totalsRowFormula>
    </tableColumn>
    <tableColumn id="76" xr3:uid="{BE93B27C-1906-4695-BEC1-231FA6883C68}" name="Jakiego rodzaju były studia, które ukończył/a Twoja/Twój podopieczna/podopieczny?22" totalsRowFunction="custom" totalsRowDxfId="30">
      <totalsRowFormula>COUNTA((CB3:CB135))</totalsRowFormula>
    </tableColumn>
    <tableColumn id="77" xr3:uid="{C2670D09-B14E-48CE-8D3B-FD4F08474C2E}" name="Pole dodatkowe23" totalsRowFunction="custom" totalsRowDxfId="29">
      <totalsRowFormula>COUNTA((CC3:CC135))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8">
      <totalsRowFormula>COUNTA((CD3:CD135))</totalsRowFormula>
    </tableColumn>
    <tableColumn id="79" xr3:uid="{E97ECC9E-9FF4-4C29-9ADE-07B0EFB1798E}" name="Czy będziesz oceniał uczelnię ukończoną przez trzeciego podopiecznego?" totalsRowFunction="custom" totalsRowDxfId="27">
      <totalsRowFormula>COUNTA((CE3:CE135))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6">
      <totalsRowFormula>COUNTA((CF3:CF135))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5">
      <totalsRowFormula>COUNTA((CG3:CG135))</totalsRowFormula>
    </tableColumn>
    <tableColumn id="82" xr3:uid="{E402E02B-32F9-4918-AC52-1E2746EFF732}" name="Czy ukończony kierunek był kierunkiem technicznym, tzn. takim, po którym uzyskano tytuł inżyniera?27" totalsRowFunction="custom" totalsRowDxfId="24">
      <totalsRowFormula>COUNTA((CH3:CH135))</totalsRowFormula>
    </tableColumn>
    <tableColumn id="83" xr3:uid="{366FF8BB-67D0-4A1D-9E42-1C25C26E69CE}" name="Jak się nazywa kierunek, który ukończył/a Twoja/Twój podopieczna/podopieczny?28" totalsRowFunction="custom" totalsRowDxfId="23">
      <totalsRowFormula>COUNTA((CI3:CI135))</totalsRowFormula>
    </tableColumn>
    <tableColumn id="84" xr3:uid="{32321BD9-57CD-47D0-BD7D-B2AFCC1C3078}" name="Moja satysfakcja z (efektów) usług edukacyjnych ocenianej uczelni jest wysoka.29" totalsRowFunction="custom" totalsRowDxfId="22">
      <totalsRowFormula>COUNTA((CJ3:CJ135))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1">
      <totalsRowFormula>COUNTA((CK3:CK135))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0">
      <totalsRowFormula>COUNTA((CL3:CL135))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19">
      <totalsRowFormula>COUNTA((CM3:CM135))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8">
      <totalsRowFormula>COUNTA((CN3:CN135))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7">
      <totalsRowFormula>COUNTA((CO3:CO135))</totalsRowFormula>
    </tableColumn>
    <tableColumn id="90" xr3:uid="{5F53B8F1-FD09-4B74-AA23-7EDED9615A73}" name="Jakie inne (poza zarobkami) efekty kształcenia na ocenianej uczelni się dostrzegasz obecnie?35" totalsRowFunction="custom" totalsRowDxfId="16">
      <totalsRowFormula>COUNTA((CP3:CP135))</totalsRowFormula>
    </tableColumn>
    <tableColumn id="91" xr3:uid="{0049B607-BD4D-49EA-B5EE-E8E785ACDC34}" name="Jakiego rodzaju były studia, które ukończył/a Twoja/Twój podopieczna/podopieczny?36" totalsRowFunction="custom" totalsRowDxfId="15">
      <totalsRowFormula>COUNTA((CQ3:CQ135))</totalsRowFormula>
    </tableColumn>
    <tableColumn id="92" xr3:uid="{86B9680A-4D70-4DFA-8189-827F813E4B73}" name="Pole dodatkowe37" totalsRowFunction="custom" totalsRowDxfId="14">
      <totalsRowFormula>COUNTA((CR3:CR135))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3">
      <totalsRowFormula>COUNTA((CS3:CS135))</totalsRowFormula>
    </tableColumn>
    <tableColumn id="94" xr3:uid="{BA461F2C-93E1-4AB3-B06B-BCD05B9B9AA2}" name="Czy jesteś aktualnie pracownikiem administracyjnym uczelni wyższej?" totalsRowFunction="custom" dataDxfId="516" totalsRowDxfId="12">
      <totalsRowFormula>COUNTA((CT3:CT135))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515" totalsRowDxfId="11">
      <totalsRowFormula>COUNTA((DD3:DD135))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514" totalsRowDxfId="10">
      <totalsRowFormula>COUNTA((DN3:DN135))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513" totalsRowDxfId="9">
      <totalsRowFormula>COUNTA((EQ3:EQ135))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512" totalsRowDxfId="8">
      <totalsRowFormula>COUNTA((FQ3:FQ135))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7">
      <totalsRowFormula>COUNTA((HB3:HB135))</totalsRowFormula>
    </tableColumn>
    <tableColumn id="207" xr3:uid="{2B31368C-8BB4-45F5-A368-4A4E1AFFFE2E}" name="Rok urodzenia" totalsRowFunction="custom" totalsRowDxfId="6">
      <totalsRowFormula>COUNTA((HC3:HC135))</totalsRowFormula>
    </tableColumn>
    <tableColumn id="215" xr3:uid="{0DA27BC3-BCA7-4CF6-A54C-77E28EA17827}" name="GrupaWiekowa" dataDxfId="511" totalsRowDxfId="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COUNTA((HE3:HE135))</totalsRowFormula>
    </tableColumn>
    <tableColumn id="209" xr3:uid="{40C0F4A2-88CA-4804-AB61-0C883C5C9CF7}" name="Pole dodatkowe52" totalsRowFunction="custom" totalsRowDxfId="3">
      <totalsRowFormula>COUNTA((HF3:HF135))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COUNTA((HG3:HG135))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COUNTA((HH3:HH135))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COUNTA((HI3:HI135))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10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50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508">
  <autoFilter ref="B11:C41" xr:uid="{153EF96D-20D3-4BD5-AB25-706F6B338490}"/>
  <tableColumns count="2">
    <tableColumn id="1" xr3:uid="{F3934641-58AD-451D-A35B-5D57D7E0E414}" name="Nazwa uczelni" dataDxfId="507"/>
    <tableColumn id="2" xr3:uid="{011F8DAE-7C60-444B-B4A2-78D05A325532}" name="Kategoria uczelni" dataDxfId="50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505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504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503">
  <autoFilter ref="C56:J176" xr:uid="{5D26DE38-F7A2-4F97-87CE-56F2D813A5B5}"/>
  <tableColumns count="8">
    <tableColumn id="1" xr3:uid="{87EDC6F7-8950-491A-8CAF-CF6610BCA33B}" name="Poziom istotności / _x000a_stopnie swobody" dataDxfId="502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501">
  <autoFilter ref="F44:G51" xr:uid="{0B0D128A-46C3-497C-A070-B19EDC90314A}"/>
  <tableColumns count="2">
    <tableColumn id="1" xr3:uid="{85BFDFE9-FEF0-48BD-8D34-235474A93582}" name="Wartość graniczna" dataDxfId="500"/>
    <tableColumn id="2" xr3:uid="{1807328A-696A-4241-94CB-E1EC739F6F81}" name="Interpretacja średniej" dataDxfId="49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45" totalsRowDxfId="444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43" totalsRowDxfId="442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41">
      <totalsRowFormula>COUNTA((O3:O159))</totalsRowFormula>
    </tableColumn>
    <tableColumn id="14" xr3:uid="{0BD7A98F-1F10-4FB8-B054-37BDD3B56396}" name="Czy jesteś studentem uczelni wyższej?" totalsRowFunction="custom" dataDxfId="440" totalsRowDxfId="439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8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7">
      <totalsRowFormula>COUNTA((R3:R159))</totalsRowFormula>
    </tableColumn>
    <tableColumn id="17" xr3:uid="{24BCBB34-34C1-4984-962F-C53466F3EF8F}" name="Jak się nazywa kierunek, na którym studiujesz?" totalsRowFunction="custom" totalsRowDxfId="436">
      <totalsRowFormula>COUNTA((S3:S159))</totalsRowFormula>
    </tableColumn>
    <tableColumn id="18" xr3:uid="{9ADB9BCC-C1C9-4FDD-A2DF-FCC26DBEB749}" name="Moja satysfakcja z usług edukacyjnych ocenianej uczelni jest wysoka." totalsRowFunction="custom" totalsRowDxfId="435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34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33">
      <totalsRowFormula>COUNTA((V3:V159))</totalsRowFormula>
    </tableColumn>
    <tableColumn id="21" xr3:uid="{EAC188BA-5A2E-4D44-97B7-481328766AE0}" name="Kolumna1" totalsRowFunction="custom" totalsRowDxfId="432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31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30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29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8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7">
      <totalsRowFormula>COUNTA((AB3:AB159))</totalsRowFormula>
    </tableColumn>
    <tableColumn id="27" xr3:uid="{D0177BE1-4E02-4595-8669-95C494930B5B}" name="Jakiego rodzaju są Twoje studia?" totalsRowFunction="custom" totalsRowDxfId="426">
      <totalsRowFormula>COUNTA((AC3:AC159))</totalsRowFormula>
    </tableColumn>
    <tableColumn id="28" xr3:uid="{3597DDE1-E56A-406C-8EDD-22E18D515174}" name="Pole dodatkowe" totalsRowFunction="custom" totalsRowDxfId="425">
      <totalsRowFormula>COUNTA((AD3:AD159))</totalsRowFormula>
    </tableColumn>
    <tableColumn id="29" xr3:uid="{66ED4699-908F-4DD2-BD11-F0A6AA4499D4}" name="Na którym semestrze studiujesz obecnie?" totalsRowFunction="custom" totalsRowDxfId="424">
      <totalsRowFormula>COUNTA((AE3:AE159))</totalsRowFormula>
    </tableColumn>
    <tableColumn id="30" xr3:uid="{665AE932-5635-468D-B539-28624FF56492}" name="Czy jesteś absolwentem uczelni wyższej?" totalsRowFunction="custom" dataDxfId="423" totalsRowDxfId="422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21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20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19">
      <totalsRowFormula>COUNTA((AI3:AI159))</totalsRowFormula>
    </tableColumn>
    <tableColumn id="34" xr3:uid="{ADAE23AC-8F73-4453-AC5D-FE2116FA8AF9}" name="Jak się nazywa kierunek, który ukończyłaś/eś?" totalsRowFunction="custom" totalsRowDxfId="418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7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16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15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14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13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12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11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10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09">
      <totalsRowFormula>COUNTA((AS3:AS159))</totalsRowFormula>
    </tableColumn>
    <tableColumn id="44" xr3:uid="{C9AA4BEA-8991-4F56-A7E1-DA0762C2B486}" name="Co wpływało na twoją satysfakcję ze studiowania?_x000a_" totalsRowFunction="custom" totalsRowDxfId="408">
      <totalsRowFormula>COUNTA((AT3:AT159))</totalsRowFormula>
    </tableColumn>
    <tableColumn id="45" xr3:uid="{00A5350A-103D-4E86-99F7-01E1F081E96E}" name="Kolumna6" totalsRowFunction="custom" totalsRowDxfId="407">
      <totalsRowFormula>COUNTA((AU3:AU159))</totalsRowFormula>
    </tableColumn>
    <tableColumn id="46" xr3:uid="{AB30AA0A-ADAF-4A76-852B-9C6171DBA36D}" name="Jakiego rodzaju były Twoje studia?" totalsRowFunction="custom" totalsRowDxfId="406">
      <totalsRowFormula>COUNTA((AV3:AV159))</totalsRowFormula>
    </tableColumn>
    <tableColumn id="47" xr3:uid="{156EF4B8-4A3F-4406-9CDE-324D32F939BA}" name="Pole dodatkowe7" totalsRowFunction="custom" totalsRowDxfId="405">
      <totalsRowFormula>COUNTA((AW3:AW159))</totalsRowFormula>
    </tableColumn>
    <tableColumn id="48" xr3:uid="{085D3107-411D-41F8-A270-88DCB1EAF46B}" name="Czy jesteś rodzicem / opiekunem absolwenta uczelni wyższej?" totalsRowFunction="custom" dataDxfId="404" totalsRowDxfId="403">
      <totalsRowFormula>COUNTA((AX3:AX159))</totalsRowFormula>
    </tableColumn>
    <tableColumn id="49" xr3:uid="{373F08C1-1889-416C-AADD-9D721E98EE00}" name="Uczelnie ilu podopiecznych będziesz oceniać?" totalsRowFunction="custom" totalsRowDxfId="402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01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00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99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8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7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96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95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94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93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92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91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90">
      <totalsRowFormula>COUNTA((BK3:BK159))</totalsRowFormula>
    </tableColumn>
    <tableColumn id="62" xr3:uid="{D7A10314-D8C8-4D47-9939-D597680A8D89}" name="Pole dodatkowe10" totalsRowFunction="custom" totalsRowDxfId="389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8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7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86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85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84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83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82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81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80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79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8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7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76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75">
      <totalsRowFormula>COUNTA((BZ3:BZ159))</totalsRowFormula>
    </tableColumn>
    <tableColumn id="77" xr3:uid="{6FCF6001-0320-49B2-98E4-DBE8BE04E809}" name="Pole dodatkowe23" totalsRowFunction="custom" totalsRowDxfId="374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73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72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71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70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69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8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7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66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65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64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63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62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61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60">
      <totalsRowFormula>COUNTA((CO3:CO159))</totalsRowFormula>
    </tableColumn>
    <tableColumn id="92" xr3:uid="{D87D6F17-9A18-4BD2-82A2-E153AE86B37C}" name="Pole dodatkowe37" totalsRowFunction="custom" totalsRowDxfId="359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8">
      <totalsRowFormula>COUNTA((CQ3:CQ159))</totalsRowFormula>
    </tableColumn>
    <tableColumn id="94" xr3:uid="{E7DDA408-1945-4BDE-9B5A-12AAC3E05194}" name="Czy jesteś aktualnie pracownikiem administracyjnym uczelni wyższej?" totalsRowFunction="custom" dataDxfId="357" totalsRowDxfId="356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55"/>
    <tableColumn id="96" xr3:uid="{F959B9F3-C53C-4C63-A092-AF4A70D45B06}" name="Na jakim wydziale pracujesz?" totalsRowDxfId="354"/>
    <tableColumn id="97" xr3:uid="{19273B31-1872-4994-B739-304F1E7FBD34}" name="Moja satysfakcja z pracy na ocenianej uczelni jest wysoka." totalsRowDxfId="353"/>
    <tableColumn id="98" xr3:uid="{EE7C1371-E788-4978-B01E-B5870F3E97D1}" name="Atmosfera w zespole współpracowników jest dobra." totalsRowDxfId="352"/>
    <tableColumn id="99" xr3:uid="{04B25BDB-5FFA-42B5-AEBA-FC863BEDBC77}" name="Moje zarobki są satysfakcjonujące." totalsRowDxfId="351"/>
    <tableColumn id="100" xr3:uid="{DAD2DC5B-8DF9-49D3-A852-672969268131}" name="Praca na ocenianej uczelni daje mi duże szanse rozwoju." totalsRowDxfId="350"/>
    <tableColumn id="101" xr3:uid="{27C35901-3DF8-4B77-BEB2-58D43C8B6871}" name="Wartość wykształcenia zdobywanego przez studentów ocenianej uczelni jest wysoka." totalsRowDxfId="349"/>
    <tableColumn id="102" xr3:uid="{4669105C-8E5E-4FD6-97C5-3F5E1BE9CAE4}" name="Zdobyte na ocenianej uczelni wykształcenie ma pozytywny wpływ na zwiększenie zarobków absolwentów." totalsRowDxfId="348"/>
    <tableColumn id="103" xr3:uid="{C2B9909A-91DF-4FB2-B673-AACC920851EA}" name="Jakie inne (poza zarobkami) efekty kształcenia na ocenianej uczelni się dostrzegasz obecnie?39" totalsRowDxfId="347"/>
    <tableColumn id="104" xr3:uid="{1F0E0013-CC4E-4656-BDA5-9028148E569A}" name="Czy jesteś aktualnie pracownikiem naukowym lub dydaktycznym uczelni wyższej?" totalsRowFunction="custom" dataDxfId="346" totalsRowDxfId="345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44"/>
    <tableColumn id="106" xr3:uid="{FAD00E10-66DF-401D-8721-330410755C4C}" name="Na jakim wydziale pracujesz?41" totalsRowDxfId="343"/>
    <tableColumn id="107" xr3:uid="{3ED79AD9-3A2A-4796-A7F7-27B53055A7C5}" name="Moja satysfakcja z pracy na ocenianej uczelni jest wysoka.42" totalsRowDxfId="342"/>
    <tableColumn id="108" xr3:uid="{88F3FD29-277A-4D3B-9F35-812F832A00F4}" name="Atmosfera w zespole współpracowników jest dobra.43" totalsRowDxfId="341"/>
    <tableColumn id="109" xr3:uid="{DC511D2A-6FF2-4B52-B52A-324E6688C5E0}" name="Moje zarobki są satysfakcjonujące.44" totalsRowDxfId="340"/>
    <tableColumn id="110" xr3:uid="{3C031862-BB50-46FB-A01C-928A7B955B19}" name="Praca na ocenianej uczelni daje mi duże szanse rozwoju.45" totalsRowDxfId="339"/>
    <tableColumn id="111" xr3:uid="{26178753-38CF-4749-A317-A1E5F425DF12}" name="Wartość wykształcenia zdobywanego przez studentów ocenianej uczelni jest wysoka.46" totalsRowDxfId="338"/>
    <tableColumn id="112" xr3:uid="{889B113B-59F9-4196-9536-C41274799622}" name="Zdobyte na ocenianej uczelni wykształcenie ma pozytywny wpływ na zwiększenie zarobków absolwentów.47" totalsRowDxfId="337"/>
    <tableColumn id="113" xr3:uid="{018446A9-87AE-432A-96CE-C29A37692C27}" name="Jakie inne (poza zarobkami) efekty kształcenia na ocenianej uczelni dostrzegasz obecnie?48" totalsRowDxfId="336"/>
    <tableColumn id="114" xr3:uid="{D11A2879-2C85-42C1-9C08-4BA4A9592DB0}" name="Czy jesteś przedstawicielem władz uczelni z grupy rektorów, prorektorów, dziekanów, prodziekanów, członków senatu lub członków rady uczelni?" totalsRowFunction="custom" dataDxfId="335" totalsRowDxfId="334">
      <totalsRowFormula>COUNTA((DL3:DL159))</totalsRowFormula>
    </tableColumn>
    <tableColumn id="115" xr3:uid="{758B3CD0-0C56-4596-8D61-D90700A05DA1}" name="Proszę podać pełnioną funkcję" totalsRowDxfId="333"/>
    <tableColumn id="116" xr3:uid="{E904AED4-A38D-42EF-9D38-709BB163A619}" name="Kolumna3" totalsRowDxfId="332"/>
    <tableColumn id="117" xr3:uid="{AF0D4680-ECCA-4738-825E-AB146FC0FF8F}" name="Kolumna4" totalsRowDxfId="331"/>
    <tableColumn id="118" xr3:uid="{65A15536-DE99-4D16-A20B-206F127C5BFB}" name="Kolumna5" totalsRowDxfId="330"/>
    <tableColumn id="119" xr3:uid="{E05782FB-7FE9-42ED-94C4-B7F653167A0F}" name="Jak się nazywa uczelnia którą będziesz oceniać (jako przedstawiciel jej władz)?" totalsRowDxfId="329"/>
    <tableColumn id="120" xr3:uid="{1B7FA187-1663-4FBF-A3C5-EA8D6A053A25}" name="Efekty działań ocenianej uczelni na rzesz jakości edukacji są dobre" totalsRowDxfId="328"/>
    <tableColumn id="121" xr3:uid="{8A6C2138-0511-4784-9BCB-D7F056FD5756}" name="Wartość wykształcenia zdobywanego przez studentów na ocenianej uczelni jest wysoka." totalsRowDxfId="327"/>
    <tableColumn id="122" xr3:uid="{33664698-CEF8-4115-B63B-828882A6D501}" name="Zdobyte przez studentów ocenianej uczelni wykształcenie miało/ma pozytywny wpływ na ich zarobki." totalsRowDxfId="326"/>
    <tableColumn id="123" xr3:uid="{6548C317-5775-47D8-8BB5-03CE96ABFB2C}" name="Efekty działań ocenianej uczelni na rzecz jakości edukacji mają dobry wpływ na rozwój regionu." totalsRowDxfId="325"/>
    <tableColumn id="124" xr3:uid="{04271A5C-5560-4CF8-90D9-89BA9B015FBC}" name="Efekty działań ocenianej uczelni na rzecz jakości edukacji mają dobry wpływ na rozwój Polski." totalsRowDxfId="324"/>
    <tableColumn id="125" xr3:uid="{123DE0DC-02B2-4F9B-BEEB-704DB06821EE}" name="Współpraca ocenianej uczelni z biznesem ma pozytywne efekty dla rozwoju regionu / kraju." totalsRowDxfId="323"/>
    <tableColumn id="126" xr3:uid="{A0DF07F0-161A-4193-A1E6-2065A1C8B63E}" name="Ogólny poziom mojej satysfakcji z jakości usług edukacyjnych ocenianej uczelni jest wysoki." totalsRowDxfId="322"/>
    <tableColumn id="127" xr3:uid="{78D52D23-A055-4089-AEA3-0D0030CEAC4A}" name="Studenci : wybierz wartość z listy rozwijanej" totalsRowDxfId="321"/>
    <tableColumn id="128" xr3:uid="{3C88D815-7B36-4940-B457-1D4916A18A9A}" name="Absolwenci : wybierz wartość z listy rozwijanej" totalsRowDxfId="320"/>
    <tableColumn id="129" xr3:uid="{B7AADA93-8D0B-47F3-BCD2-912D3D3EFF96}" name="Rodzice absolwentów : wybierz wartość z listy rozwijanej" totalsRowDxfId="319"/>
    <tableColumn id="130" xr3:uid="{2419B54D-E941-464A-ABB8-3A728F2F5596}" name="Pracownicy administracyjni : wybierz wartość z listy rozwijanej" totalsRowDxfId="318"/>
    <tableColumn id="131" xr3:uid="{BAB27B7B-2698-4085-8E82-FA14AF164B29}" name="Pracownicy naukowi i dydaktyczni : wybierz wartość z listy rozwijanej" totalsRowDxfId="317"/>
    <tableColumn id="132" xr3:uid="{6A6F970F-B3EB-4E50-9DE6-C8C4C7CAA18A}" name="Pracodawcy : wybierz wartość z listy rozwijanej" totalsRowDxfId="316"/>
    <tableColumn id="133" xr3:uid="{09A6A719-E450-4AC4-8182-90B1F383E84C}" name="Władze samorządowe i centralne : wybierz wartość z listy rozwijanej" totalsRowDxfId="315"/>
    <tableColumn id="134" xr3:uid="{2E207BF2-E2F1-4F2B-9DAE-D3B78D867559}" name="Pole dodatkowe4" totalsRowDxfId="314"/>
    <tableColumn id="135" xr3:uid="{EEB77D73-5571-4E17-8266-02BB1710B8F0}" name="Studenci : wybierz wartość z listy rozwijanej5" totalsRowDxfId="313"/>
    <tableColumn id="136" xr3:uid="{81EA592A-292B-42BA-AA88-85A430ABBA5B}" name="Absolwenci : wybierz wartość z listy rozwijanej6" totalsRowDxfId="312"/>
    <tableColumn id="137" xr3:uid="{AC693E91-1370-42E2-8C6B-A2DEAEDAD6D8}" name="Rodzice absolwentów : wybierz wartość z listy rozwijanej7" totalsRowDxfId="311"/>
    <tableColumn id="138" xr3:uid="{C972A3A6-50AF-4CF0-9221-51F3F1B825B5}" name="Pracownicy administracyjni : wybierz wartość z listy rozwijanej8" totalsRowDxfId="310"/>
    <tableColumn id="139" xr3:uid="{8A17F47D-C5DA-4436-9144-E5A1DC2CE401}" name="Pracownicy naukowi i dydaktyczni : wybierz wartość z listy rozwijanej9" totalsRowDxfId="309"/>
    <tableColumn id="140" xr3:uid="{9C9F0784-2723-4BBD-AE36-08FD5221319D}" name="Pracodawcy : wybierz wartość z listy rozwijanej10" totalsRowDxfId="308"/>
    <tableColumn id="141" xr3:uid="{AAE33EE1-D3BE-432C-9A2D-5D55BE9F26EC}" name="Władze samorządowe i centralne : wybierz wartość z listy rozwijanej11" totalsRowDxfId="307"/>
    <tableColumn id="142" xr3:uid="{C7BCF657-B75F-43D7-A19C-E0A38F71C79A}" name="Pole dodatkowe12" totalsRowDxfId="306"/>
    <tableColumn id="143" xr3:uid="{027BA0BD-D7CE-4B61-BD34-CD9336762A59}" name="Czy jesteś przedstawicielem firmy, w której są zatrudniani absolwenci uczelni wyższych (tytuł licencjata, magistra lub wyższy)?" totalsRowFunction="custom" dataDxfId="305" totalsRowDxfId="304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03"/>
    <tableColumn id="145" xr3:uid="{A9C11981-CE44-482B-9485-624EB4CFA91B}" name="Ile uczelni będziesz oceniać?" totalsRowDxfId="302"/>
    <tableColumn id="146" xr3:uid="{822F037D-C81E-4AA1-A477-75B7599C4C4E}" name="Jak się nazywa uczelnia, którą ocenisz? " totalsRowDxfId="301"/>
    <tableColumn id="147" xr3:uid="{B879E027-4001-4F17-98A9-1FF6DD06C0F9}" name="Moja satysfakcja z (efektów) usług edukacyjnych na ocenianej uczelni jest wysoka." totalsRowDxfId="300"/>
    <tableColumn id="148" xr3:uid="{887E2640-884A-454A-B596-856E217BE2DD}" name="Kompetencje absolwentów ocenianej uczelni są wysokie." totalsRowDxfId="299"/>
    <tableColumn id="149" xr3:uid="{478F5E65-AE32-4F52-99FA-3830D9323C3C}" name="Zarobki absolwentów ocenianej uczelni zatrudnionych w mojej firmie są wyższe od zarobków absolwentów innych polskich uczelni." totalsRowDxfId="298"/>
    <tableColumn id="150" xr3:uid="{E5D4AD52-FA66-4019-983E-25DC2AF5A5A8}" name="Czy w Twojej firmie są zatrudniani absolwenci uczelni w pierwszym roku po ukończeniu studiów (do 12 miesięcy od uzyskania dyplomu)?" totalsRowDxfId="297"/>
    <tableColumn id="151" xr3:uid="{FDC480C9-E39B-4D41-9995-A191329D3555}" name="Jakie kompetencje absolwentów ocenianej uczelni są w Twojej firmie najwyżej wyceniane?" totalsRowDxfId="296"/>
    <tableColumn id="152" xr3:uid="{558E6650-0292-450C-9D81-46BC7B7FA1C9}" name="Jakiego rodzaju prace wykonują absolwenci ocenianej uczelni w Twojej firmie?" totalsRowDxfId="295"/>
    <tableColumn id="153" xr3:uid="{9E8CE1F9-05B3-4737-AC9A-FAE812FD292C}" name="Czy będziesz oceniał drugą uczelnię?" totalsRowDxfId="294"/>
    <tableColumn id="154" xr3:uid="{CEB66B10-0E60-4952-A1B0-1E5C8784E791}" name="Jak się nazywa uczelnia, którą ocenisz? 13" totalsRowDxfId="293"/>
    <tableColumn id="155" xr3:uid="{2864E703-440A-477E-8352-68DEA39F85CD}" name="Moja satysfakcja z (efektów) usług edukacyjnych na ocenianej uczelni jest wysoka.14" totalsRowDxfId="292"/>
    <tableColumn id="156" xr3:uid="{B38513D8-CC85-41E0-85A1-82AC6807323C}" name="Kompetencje absolwentów ocenianej uczelni są wysokie.15" totalsRowDxfId="291"/>
    <tableColumn id="157" xr3:uid="{204ADF47-FBCC-47A6-95D9-5D3E03854768}" name="Zarobki absolwentów ocenianej uczelni zatrudnionych w mojej firmie są wyższe od zarobków absolwentów innych polskich uczelni.16" totalsRowDxfId="290"/>
    <tableColumn id="158" xr3:uid="{7E6A13F3-C53A-4FC9-B3AE-9EA25D9CBCE6}" name="Czy w Twojej firmie są zatrudniani absolwenci uczelni w pierwszym roku po ukończeniu studiów (do 12 miesięcy od uzyskania dyplomu)?17" totalsRowDxfId="289"/>
    <tableColumn id="159" xr3:uid="{83E7A1CC-295A-477E-8CD0-1E43143ACFF6}" name="Jakie kompetencje absolwentów ocenianej uczelni są w Twojej firmie najwyżej wyceniane?18" totalsRowDxfId="288"/>
    <tableColumn id="160" xr3:uid="{C3F49389-F342-4110-8A16-536B6EC87EC2}" name="Jakiego rodzaju prace wykonują absolwenci ocenianej uczelni w Twojej firmie?19" totalsRowDxfId="287"/>
    <tableColumn id="161" xr3:uid="{2BBFB49D-5EDF-4AC5-9179-70BCC6FA0B96}" name="Czy będziesz oceniał trzecią uczelnię techniczną?" totalsRowDxfId="286"/>
    <tableColumn id="162" xr3:uid="{829F7D1E-D133-43C4-A756-6D0B7542D44F}" name="Jak się nazywa uczelnia, którą ocenisz? 20" totalsRowDxfId="285"/>
    <tableColumn id="163" xr3:uid="{8758E395-9800-4CA8-BF43-3BFBF9507549}" name="Moja satysfakcja z (efektów) usług edukacyjnych na ocenianej uczelni jest wysoka.21" totalsRowDxfId="284"/>
    <tableColumn id="164" xr3:uid="{14ABF48C-A9EC-4153-B011-421959501B3A}" name="Kompetencje absolwentów ocenianej uczelni są wysokie.22" totalsRowDxfId="283"/>
    <tableColumn id="165" xr3:uid="{E8A014C5-F146-4C5D-B50B-6E968A7F8B46}" name="Zarobki absolwentów ocenianej uczelni zatrudnionych w mojej firmie są wyższe od zarobków absolwentów innych polskich uczelni.23" totalsRowDxfId="282"/>
    <tableColumn id="166" xr3:uid="{1FF6D355-AF16-4EB9-8805-4741E5F2867E}" name="Czy w Twojej firmie są zatrudniani absolwenci uczelni w pierwszym roku po ukończeniu studiów (do 12 miesięcy od uzyskania dyplomu)?24" totalsRowDxfId="281"/>
    <tableColumn id="167" xr3:uid="{71809E9D-42EC-47FD-9E58-0596DB8FD07D}" name="Jakie kompetencje absolwentów ocenianej uczelni są w Twojej firmie najwyżej wyceniane?25" totalsRowDxfId="280"/>
    <tableColumn id="168" xr3:uid="{6CA2A8B4-3095-459E-BDF0-43522EA7E403}" name="Jakiego rodzaju prace wykonują absolwenci ocenianej uczelni są w Twojej firmie?" totalsRowDxfId="279"/>
    <tableColumn id="169" xr3:uid="{6AEC3D33-E058-4E5E-AEC6-C091FCB970C9}" name="Czy jesteś przedstawicielem władz samorządowych lub centralnych Rzeczypospolitej Polskiej?" totalsRowFunction="custom" dataDxfId="278" totalsRowDxfId="277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76">
      <totalsRowFormula>COUNTA((GZ3:GZ159))</totalsRowFormula>
    </tableColumn>
    <tableColumn id="207" xr3:uid="{17374C0D-5C50-4F2D-9998-48F1A5105C49}" name="Rok urodzenia" totalsRowFunction="custom" totalsRowDxfId="275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74">
      <totalsRowFormula>COUNTA((HB3:HB159))</totalsRowFormula>
    </tableColumn>
    <tableColumn id="209" xr3:uid="{12CD2E72-E534-4809-A75E-AF29F5F5F088}" name="Pole dodatkowe52" totalsRowFunction="custom" totalsRowDxfId="273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72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71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70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69" totalsRowDxfId="268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7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66" totalsRowDxfId="265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64"/>
    <tableColumn id="16" xr3:uid="{AA3DBEFA-9D73-475E-A9A5-2D42522C9072}" name="Czy studiujesz na kierunku technicznym, tzn. takim, po którym uzyskasz tytuł inżyniera?" totalsRowDxfId="263"/>
    <tableColumn id="17" xr3:uid="{8AAAEBAF-D354-47D3-8A57-BF9F06131A1E}" name="Jak się nazywa kierunek, na którym studiujesz?" totalsRowDxfId="262"/>
    <tableColumn id="18" xr3:uid="{CD9C7D41-ABD7-4C41-89ED-89A659BAC655}" name="Moja satysfakcja z usług edukacyjnych ocenianej uczelni jest wysoka." totalsRowDxfId="261"/>
    <tableColumn id="19" xr3:uid="{31FED63E-2530-44F3-A0E2-6B96989E02A8}" name="Usługi edukacyjne ocenianej uczelni mają wysoką wartość (okazja / szansa rozwoju własnego lub kariery)." totalsRowDxfId="260"/>
    <tableColumn id="20" xr3:uid="{378DDC9B-58A3-4DE4-A300-A19FD721A037}" name="Kształcenie na ocenianej uczelni ma/będzie miało pozytywny wpływ na zwiększenie moich zarobków." totalsRowDxfId="259"/>
    <tableColumn id="21" xr3:uid="{C6A24480-7451-49D9-8645-BC69D7F99331}" name="Kolumna1" totalsRowDxfId="258"/>
    <tableColumn id="22" xr3:uid="{D80E567D-CCDD-4B11-B18B-072D893C7687}" name="w pierwszym roku po ukończeniu studiów : wybierz wartość z listy rozwijanej" totalsRowDxfId="257"/>
    <tableColumn id="23" xr3:uid="{CF51D676-6C20-46B0-A565-D78CD8D4C947}" name="w 3 lata po ukończeniu studiów : wybierz wartość z listy rozwijanej" totalsRowDxfId="256"/>
    <tableColumn id="24" xr3:uid="{0F1B2099-4D7F-463D-AC59-617503BC5E14}" name="Jakich innych (poza zarobkami) efektów kształcenia na ocenianej uczelni się spodziewasz?" totalsRowDxfId="255"/>
    <tableColumn id="25" xr3:uid="{35D57207-52B7-455E-A9ED-A6AD95338EC7}" name="Co wpływa na Twoją satysfakcję ze studiowania?" totalsRowDxfId="254"/>
    <tableColumn id="26" xr3:uid="{CAD83457-32FA-404F-A708-C1B3C759AC6E}" name="Kolumna2" totalsRowDxfId="253"/>
    <tableColumn id="27" xr3:uid="{ADC35906-6D65-48D1-81AC-C4B4957B05D5}" name="Jakiego rodzaju są Twoje studia?" totalsRowDxfId="252"/>
    <tableColumn id="28" xr3:uid="{E068B642-DF74-4CAA-A88E-B517DC5FC386}" name="Pole dodatkowe" totalsRowDxfId="251"/>
    <tableColumn id="29" xr3:uid="{38F90488-07A7-4B7C-882D-784B03584081}" name="Na którym semestrze studiujesz obecnie?" totalsRowDxfId="250"/>
    <tableColumn id="30" xr3:uid="{5A578F2D-0AA4-4797-8F97-B23C8F9552C7}" name="Czy jesteś absolwentem uczelni wyższej?" totalsRowFunction="custom" dataDxfId="249" totalsRowDxfId="248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7"/>
    <tableColumn id="32" xr3:uid="{E591DDF7-3A8B-45B3-9972-7C4BB854C0A9}" name="W którym roku ukończyłaś/eś studia (rok w którym uzyskano dyplom ukończenia studiów drugiego stopnia, albo pierwszego stopnia, jeśli nie uzyskano dyplomu 2. stopnia)?" totalsRowDxfId="246"/>
    <tableColumn id="33" xr3:uid="{B826B930-988D-4AF8-9D52-5EF6AF6A7F20}" name="Czy ukończony kierunek był kierunkiem technicznym, tzn. takim, po którym uzyskałaś/eś tytuł inżyniera?" totalsRowDxfId="245"/>
    <tableColumn id="34" xr3:uid="{0507FF43-58D2-4683-81A2-9CE2C2FA5844}" name="Jak się nazywa kierunek, który ukończyłaś/eś?" totalsRowDxfId="244"/>
    <tableColumn id="35" xr3:uid="{AC65CB7E-A5EF-4C79-B96D-EA85400721B9}" name="Moja satysfakcja z (efektów) usług edukacyjnych ocenianej uczelni jest wysoka." totalsRowDxfId="243"/>
    <tableColumn id="36" xr3:uid="{36BB94DA-A6A2-46AA-A0C4-3AAE4ADCC084}" name="Usługi edukacyjne ocenianej uczelni mają wysoką wartość (okazja / szansa rozwoju własnego lub kariery).3" totalsRowDxfId="242"/>
    <tableColumn id="37" xr3:uid="{46DF242C-10FA-47FE-BC6B-045B295812CA}" name="Kształcenie na ocenianej uczelni ma/miało pozytywny wpływ na zwiększenie moich zarobków." totalsRowDxfId="241"/>
    <tableColumn id="38" xr3:uid="{22DB960F-1A91-4EB9-90EA-0C8BB104EBCF}" name="Moje zarobki w pierwszym roku po ukończeniu studiów były satysfakcjonujące." totalsRowDxfId="240"/>
    <tableColumn id="39" xr3:uid="{1AC1C2EA-FD9C-42F6-8732-E88F90068CC4}" name="Moje zarobki po 3. latach po ukończeniu studiów były satysfakcjonujące." totalsRowDxfId="239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8"/>
    <tableColumn id="41" xr3:uid="{53D325CD-E5E6-4C9E-81B0-775315EF4E8E}" name="w pierwszym roku po ukończeniu studiów : wybierz wartość z listy rozwijanej4" totalsRowDxfId="237"/>
    <tableColumn id="42" xr3:uid="{A6B799C8-D5F2-4C68-B71E-F83C3A6075B7}" name="w 3 lata po ukończeniu studiów : wybierz wartość z listy rozwijanej5" totalsRowDxfId="236"/>
    <tableColumn id="43" xr3:uid="{BC589F24-9BD1-4C2F-9397-D51311E5EC39}" name="Jakie inne (poza zarobkami) efekty kształcenia na ocenianej uczelni dostrzegasz obecnie?" totalsRowDxfId="235"/>
    <tableColumn id="44" xr3:uid="{A11C2A67-EC51-4621-92CF-198235F6DDC5}" name="Co wpływało na twoją satysfakcję ze studiowania?_x000a_" totalsRowDxfId="234"/>
    <tableColumn id="45" xr3:uid="{D388932F-1A0A-4689-AB91-4A4F282D3CA9}" name="Kolumna6" totalsRowDxfId="233"/>
    <tableColumn id="46" xr3:uid="{F488CAF2-B800-439E-8332-DDBED1146AB6}" name="Jakiego rodzaju były Twoje studia?" totalsRowDxfId="232"/>
    <tableColumn id="47" xr3:uid="{00FDD7E1-EBD3-4653-98C4-D74FA980AF99}" name="Pole dodatkowe7" totalsRowDxfId="231"/>
    <tableColumn id="48" xr3:uid="{E33AE7B1-7892-48E4-9DBC-AE5EF9034B4E}" name="Czy jesteś rodzicem / opiekunem absolwenta uczelni wyższej?" totalsRowFunction="custom" dataDxfId="230" totalsRowDxfId="229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8"/>
    <tableColumn id="50" xr3:uid="{6BB0F22F-B640-446D-B936-91DFADFA81F1}" name="Jak się nazywa uczelnia, którą ukończył/a Twoja/Twój podopieczna/podopieczny? (proszę o wybranie jednej uczelni podlegającej ocenie)" totalsRowDxfId="227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26"/>
    <tableColumn id="52" xr3:uid="{26244E73-3F31-4ED7-99CC-718C75773980}" name="Czy ukończony kierunek był kierunkiem technicznym, tzn. takim, po którym uzyskano tytuł inżyniera?" totalsRowDxfId="225"/>
    <tableColumn id="53" xr3:uid="{F00033CF-BE1C-4649-B99E-A3FC496AF05C}" name="Jak się nazywa kierunek, który ukończył/a Twoja/Twój podopieczna/podopieczny?" totalsRowDxfId="224"/>
    <tableColumn id="54" xr3:uid="{8AE8E0B0-E59A-4253-8E89-6503DDEE44E9}" name="Moja satysfakcja z (efektów) usług edukacyjnych ocenianej uczelni jest wysoka.8" totalsRowDxfId="223"/>
    <tableColumn id="55" xr3:uid="{D72C8628-4CEE-4A6D-BD58-0114E59C605E}" name="Usługi edukacyjne ocenianej uczelni mają wysoką wartość (okazja / szansa rozwoju własnego lub kariery).9" totalsRowDxfId="222"/>
    <tableColumn id="56" xr3:uid="{53B5753F-3212-43BB-931D-3559FF6976DF}" name="Kształcenie na ocenianej uczelni ma/będzie miało pozytywny wpływ na zwiększenie zarobków mojej/mojego podopiecznej/podopiecznego." totalsRowDxfId="221"/>
    <tableColumn id="57" xr3:uid="{A9563BF9-19A1-46BF-9F31-4690E6A2385C}" name="Zarobki uzyskiwane przez mojego/moją podopieczną/podopiecznego w pierwszym roku po ukończeniu studiów były satysfakcjonujące (z mojego punktu widzenia)" totalsRowDxfId="220"/>
    <tableColumn id="58" xr3:uid="{BCC66B2D-86FD-4227-A5E9-2164B45893B0}" name="Zarobki uzyskiwane przez mojego/moją podopieczną/podopiecznego w 3 lata po ukończeniu studiów były satysfakcjonujące (z mojego punktu widzenia)" totalsRowDxfId="219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8"/>
    <tableColumn id="60" xr3:uid="{94345A4F-9EAB-4FE8-A337-CCC43CF7D9D3}" name="Jakie inne (poza zarobkami) efekty kształcenia na ocenianej uczelni się dostrzegasz obecnie?" totalsRowDxfId="217"/>
    <tableColumn id="61" xr3:uid="{05A46EBB-09E0-4294-881F-C45E3B66E515}" name="Jakiego rodzaju były studia, które ukończył/a Twoja/Twój podopieczna/podopieczny?" totalsRowDxfId="216"/>
    <tableColumn id="62" xr3:uid="{FE0A86D0-775F-435F-8B90-2A7B29B0B462}" name="Pole dodatkowe10" totalsRowDxfId="215"/>
    <tableColumn id="63" xr3:uid="{3C426FB0-5F3F-46C5-9E34-DD901FAA5A82}" name="Jeśli Twoja/Twój podopieczna/podopieczny ukończył/a również inne szkoły / kierunki studiów to proszę wpisz je tutaj." totalsRowDxfId="214"/>
    <tableColumn id="64" xr3:uid="{7B6238C1-79C7-4C59-B174-F693B78A54C8}" name="Czy będziesz oceniał uczelnię ukończoną przez drugiego podopiecznego?" totalsRowDxfId="213"/>
    <tableColumn id="65" xr3:uid="{72E69603-FDA8-458A-B355-C3F6177E2961}" name="Jak się nazywa uczelnia, którą ukończył/a Twoja/Twój podopieczna/podopieczny? (proszę o wybranie jednej uczelni podlegającej ocenie)11" totalsRowDxfId="212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11"/>
    <tableColumn id="67" xr3:uid="{51123307-FDE7-45CE-81D3-F8045A68CEB5}" name="Czy ukończony kierunek był kierunkiem technicznym, tzn. takim, po którym uzyskano tytuł inżyniera?13" totalsRowDxfId="210"/>
    <tableColumn id="68" xr3:uid="{E4E7F2FA-608F-4A76-95F9-FC633CF4A850}" name="Jak się nazywa kierunek, który ukończył/a Twoja/Twój podopieczna/podopieczny?14" totalsRowDxfId="209"/>
    <tableColumn id="69" xr3:uid="{2E0E2D92-CA45-4C29-AD1B-4107E60D2F5C}" name="Moja satysfakcja z (efektów) usług edukacyjnych ocenianej uczelni jest wysoka.15" totalsRowDxfId="208"/>
    <tableColumn id="70" xr3:uid="{22160B39-79EF-424B-9B2E-4205C1098DC4}" name="Usługi edukacyjne ocenianej uczelni mają wysoką wartość (okazja / szansa rozwoju własnego lub kariery).16" totalsRowDxfId="207"/>
    <tableColumn id="71" xr3:uid="{C5566328-CB9E-4672-AFA5-9A52C7FB1583}" name="Kształcenie na ocenianej uczelni ma/będzie miało pozytywny wpływ na zwiększenie zarobków mojej/mojego podopiecznej/podopiecznego.17" totalsRowDxfId="206"/>
    <tableColumn id="72" xr3:uid="{ED11287D-6F12-40C0-8EAE-0190C96B2475}" name="Zarobki uzyskiwane przez mojego/moją podopieczną/podopiecznego w pierwszym roku po ukończeniu studiów były satysfakcjonujące (z mojego punktu widzenia)18" totalsRowDxfId="205"/>
    <tableColumn id="73" xr3:uid="{5767066B-CB1E-4AC7-93CC-8721926057A1}" name="Zarobki uzyskiwane przez mojego/moją podopieczną/podopiecznego w 3 lata po ukończeniu studiów były satysfakcjonujące (z mojego punktu widzenia)19" totalsRowDxfId="204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03"/>
    <tableColumn id="75" xr3:uid="{91099E12-4AAE-4B3A-8B21-456B23B8E9C4}" name="Jakie inne (poza zarobkami) efekty kształcenia na ocenianej uczelni się dostrzegasz obecnie?21" totalsRowDxfId="202"/>
    <tableColumn id="76" xr3:uid="{F99FCD0E-141B-4162-9375-D912B829669B}" name="Jakiego rodzaju były studia, które ukończył/a Twoja/Twój podopieczna/podopieczny?22" totalsRowDxfId="201"/>
    <tableColumn id="77" xr3:uid="{9A935095-7069-4B79-9C19-ABCE05DB2953}" name="Pole dodatkowe23" totalsRowDxfId="200"/>
    <tableColumn id="78" xr3:uid="{73C50495-9837-4BA7-BE74-ED58E001D39F}" name="Jeśli Twoja/Twój podopieczna/podopieczny ukończył/a również inne szkoły / kierunki studiów to proszę wpisz je tutaj.24" totalsRowDxfId="199"/>
    <tableColumn id="79" xr3:uid="{2D9E6799-1116-4EBA-A4A6-EC67B715E65E}" name="Czy będziesz oceniał uczelnię ukończoną przez trzeciego podopiecznego?" totalsRowDxfId="198"/>
    <tableColumn id="80" xr3:uid="{98900E64-17FE-4566-98C9-57CB606D4413}" name="Jak się nazywa uczelnia, którą ukończył/a Twoja/Twój podopieczna/podopieczny? (proszę o wybranie jednej uczelni podlegającej ocenie)25" totalsRowDxfId="197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96"/>
    <tableColumn id="82" xr3:uid="{367FC414-3E67-4B03-A303-77F5139ABED4}" name="Czy ukończony kierunek był kierunkiem technicznym, tzn. takim, po którym uzyskano tytuł inżyniera?27" totalsRowDxfId="195"/>
    <tableColumn id="83" xr3:uid="{641F2969-C09A-425E-81A7-806949B38666}" name="Jak się nazywa kierunek, który ukończył/a Twoja/Twój podopieczna/podopieczny?28" totalsRowDxfId="194"/>
    <tableColumn id="84" xr3:uid="{6B2F3F5A-F4BF-41A2-85FA-BAC6E179E9A9}" name="Moja satysfakcja z (efektów) usług edukacyjnych ocenianej uczelni jest wysoka.29" totalsRowDxfId="193"/>
    <tableColumn id="85" xr3:uid="{792FE0EC-454A-47B2-9DEE-09E82A55AC5F}" name="Usługi edukacyjne ocenianej uczelni mają wysoką wartość (okazja / szansa rozwoju własnego lub kariery).30" totalsRowDxfId="192"/>
    <tableColumn id="86" xr3:uid="{4BD46113-3AB9-405D-8A53-F153B50E863D}" name="Kształcenie na ocenianej uczelni ma/będzie miało pozytywny wpływ na zwiększenie zarobków mojej/mojego podopiecznej/podopiecznego.31" totalsRowDxfId="191"/>
    <tableColumn id="87" xr3:uid="{4CA1C5A8-3427-428B-B7BA-106EBBA85C17}" name="Zarobki uzyskiwane przez mojego/moją podopieczną/podopiecznego w pierwszym roku po ukończeniu studiów były satysfakcjonujące (z mojego punktu widzenia)32" totalsRowDxfId="190"/>
    <tableColumn id="88" xr3:uid="{C37B06BC-EDB5-471E-9C95-05232AC9EACD}" name="Zarobki uzyskiwane przez mojego/moją podopieczną/podopiecznego w 3 lata po ukończeniu studiów były satysfakcjonujące (z mojego punktu widzenia)33" totalsRowDxfId="189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8"/>
    <tableColumn id="90" xr3:uid="{CEEBCBE8-4DF4-40BE-ADF0-2750A2BF2609}" name="Jakie inne (poza zarobkami) efekty kształcenia na ocenianej uczelni się dostrzegasz obecnie?35" totalsRowDxfId="187"/>
    <tableColumn id="91" xr3:uid="{F1A613DC-A59A-419D-8838-D041B4273E91}" name="Jakiego rodzaju były studia, które ukończył/a Twoja/Twój podopieczna/podopieczny?36" totalsRowDxfId="186"/>
    <tableColumn id="92" xr3:uid="{E26BB465-B221-4E80-9D41-43786B72F743}" name="Pole dodatkowe37" totalsRowDxfId="185"/>
    <tableColumn id="93" xr3:uid="{12E07FC6-6ACA-44C4-A376-689F504EB460}" name="Jeśli Twoja/Twój podopieczna/podopieczny ukończył/a również inne szkoły / kierunki studiów to proszę wpisz je tutaj.38" totalsRowDxfId="184"/>
    <tableColumn id="94" xr3:uid="{4FBA703D-33E9-44C4-BD22-B3FC7B168C76}" name="Czy jesteś aktualnie pracownikiem administracyjnym uczelni wyższej?" totalsRowFunction="custom" dataDxfId="183" totalsRowDxfId="182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81"/>
    <tableColumn id="96" xr3:uid="{43902112-5836-47AC-AA75-A65F0D4C7817}" name="Na jakim wydziale pracujesz?" totalsRowDxfId="180"/>
    <tableColumn id="97" xr3:uid="{68D4A5FB-B6F1-410C-BBCE-5D895E75D7EF}" name="Moja satysfakcja z pracy na ocenianej uczelni jest wysoka." totalsRowDxfId="179"/>
    <tableColumn id="98" xr3:uid="{097FDF01-C103-4396-9EE5-DC463D453E58}" name="Atmosfera w zespole współpracowników jest dobra." totalsRowDxfId="178"/>
    <tableColumn id="99" xr3:uid="{5B99CA3A-6D7C-4D3E-B448-2EDAF4856B42}" name="Moje zarobki są satysfakcjonujące." totalsRowDxfId="177"/>
    <tableColumn id="100" xr3:uid="{90B0699F-2BC7-4D96-9800-8B1DB165F81E}" name="Praca na ocenianej uczelni daje mi duże szanse rozwoju." totalsRowDxfId="176"/>
    <tableColumn id="101" xr3:uid="{5CB95189-87A6-4F97-B291-A05336B23F22}" name="Wartość wykształcenia zdobywanego przez studentów ocenianej uczelni jest wysoka." totalsRowDxfId="175"/>
    <tableColumn id="102" xr3:uid="{056CF7BB-B947-41A0-AC24-42A1CBCF15BD}" name="Zdobyte na ocenianej uczelni wykształcenie ma pozytywny wpływ na zwiększenie zarobków absolwentów." totalsRowDxfId="174"/>
    <tableColumn id="103" xr3:uid="{2AB65CA7-05ED-4EB7-B603-B864E6D6745F}" name="Jakie inne (poza zarobkami) efekty kształcenia na ocenianej uczelni się dostrzegasz obecnie?39" totalsRowDxfId="173"/>
    <tableColumn id="104" xr3:uid="{DC472BA3-8D88-44A6-B5C1-5BF9558627FA}" name="Czy jesteś aktualnie pracownikiem naukowym lub dydaktycznym uczelni wyższej?" totalsRowFunction="custom" dataDxfId="172" totalsRowDxfId="171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70"/>
    <tableColumn id="106" xr3:uid="{2E39D77C-CC0F-41F1-8F10-30523EA3DE78}" name="Na jakim wydziale pracujesz?41" totalsRowDxfId="169"/>
    <tableColumn id="107" xr3:uid="{B9CFBDFF-9DC1-4556-855E-D4463D760A19}" name="Moja satysfakcja z pracy na ocenianej uczelni jest wysoka.42" totalsRowDxfId="168"/>
    <tableColumn id="108" xr3:uid="{158CA86A-249B-4193-A207-D38756E887C7}" name="Atmosfera w zespole współpracowników jest dobra.43" totalsRowDxfId="167"/>
    <tableColumn id="109" xr3:uid="{AC3090A9-EC3C-4C62-8AA9-F261EAB7887F}" name="Moje zarobki są satysfakcjonujące.44" totalsRowDxfId="166"/>
    <tableColumn id="110" xr3:uid="{9E04970F-962C-490E-A570-2D0912A5E57D}" name="Praca na ocenianej uczelni daje mi duże szanse rozwoju.45" totalsRowDxfId="165"/>
    <tableColumn id="111" xr3:uid="{C148AE52-9ADC-45EF-8DBC-27F0F1F05355}" name="Wartość wykształcenia zdobywanego przez studentów ocenianej uczelni jest wysoka.46" totalsRowDxfId="164"/>
    <tableColumn id="112" xr3:uid="{63921520-0FA3-4905-ACEB-02AFFB69B471}" name="Zdobyte na ocenianej uczelni wykształcenie ma pozytywny wpływ na zwiększenie zarobków absolwentów.47" totalsRowDxfId="163"/>
    <tableColumn id="113" xr3:uid="{E32B227A-B5B2-41A4-9CEB-B75A56696D75}" name="Jakie inne (poza zarobkami) efekty kształcenia na ocenianej uczelni dostrzegasz obecnie?48" totalsRowDxfId="162"/>
    <tableColumn id="114" xr3:uid="{98E95A67-6B14-4A2E-AB34-682AE1A049DC}" name="Czy jesteś przedstawicielem władz uczelni z grupy rektorów, prorektorów, dziekanów, prodziekanów, członków senatu lub członków rady uczelni?" totalsRowFunction="custom" dataDxfId="161" totalsRowDxfId="160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59"/>
    <tableColumn id="116" xr3:uid="{55CD3327-D03D-49EA-AD7A-8A8492F8FF76}" name="Kolumna3" totalsRowDxfId="158"/>
    <tableColumn id="117" xr3:uid="{BF356D61-903B-4604-89F3-2B471880C5B8}" name="Kolumna4" totalsRowDxfId="157"/>
    <tableColumn id="118" xr3:uid="{7173EDEB-5382-4DCE-AA15-A72B322560D6}" name="Kolumna5" totalsRowDxfId="156"/>
    <tableColumn id="119" xr3:uid="{6200F07F-FA1F-4A3F-B8ED-B934678483AF}" name="Jak się nazywa uczelnia którą będziesz oceniać (jako przedstawiciel jej władz)?" totalsRowDxfId="155"/>
    <tableColumn id="120" xr3:uid="{E6250DE6-1A12-41F3-90EE-1B4F673F6E58}" name="Efekty działań ocenianej uczelni na rzesz jakości edukacji są dobre" totalsRowDxfId="154"/>
    <tableColumn id="121" xr3:uid="{8AE05FEE-B731-4F93-90B6-915E5774E346}" name="Wartość wykształcenia zdobywanego przez studentów na ocenianej uczelni jest wysoka." totalsRowDxfId="153"/>
    <tableColumn id="122" xr3:uid="{E115058D-8C9C-450E-8DA2-D64EB971F57D}" name="Zdobyte przez studentów ocenianej uczelni wykształcenie miało/ma pozytywny wpływ na ich zarobki." totalsRowDxfId="152"/>
    <tableColumn id="123" xr3:uid="{6FEBB446-227D-4EA1-B507-206156E53809}" name="Efekty działań ocenianej uczelni na rzecz jakości edukacji mają dobry wpływ na rozwój regionu." totalsRowDxfId="151"/>
    <tableColumn id="124" xr3:uid="{01E38E74-9E44-4BFF-97FF-3B0FF3F7CDD0}" name="Efekty działań ocenianej uczelni na rzecz jakości edukacji mają dobry wpływ na rozwój Polski." totalsRowDxfId="150"/>
    <tableColumn id="125" xr3:uid="{F17A6FA5-F0F2-48AD-B639-9161F59ACD49}" name="Współpraca ocenianej uczelni z biznesem ma pozytywne efekty dla rozwoju regionu / kraju." totalsRowDxfId="149"/>
    <tableColumn id="126" xr3:uid="{81D0BDE5-B5BD-41AD-AE49-0F05E206FF4F}" name="Ogólny poziom mojej satysfakcji z jakości usług edukacyjnych ocenianej uczelni jest wysoki." totalsRowDxfId="148"/>
    <tableColumn id="127" xr3:uid="{E1B74221-E8AC-4764-9FBA-17BC7A8DAB4F}" name="Studenci : wybierz wartość z listy rozwijanej" totalsRowDxfId="147"/>
    <tableColumn id="128" xr3:uid="{9521E128-6D78-41F6-9BED-3F1F3009376D}" name="Absolwenci : wybierz wartość z listy rozwijanej" totalsRowDxfId="146"/>
    <tableColumn id="129" xr3:uid="{F972B7F0-4237-45DD-B8D9-6E5F80BC382C}" name="Rodzice absolwentów : wybierz wartość z listy rozwijanej" totalsRowDxfId="145"/>
    <tableColumn id="130" xr3:uid="{D18127FA-4AAC-43F7-8718-648B089DA3AE}" name="Pracownicy administracyjni : wybierz wartość z listy rozwijanej" totalsRowDxfId="144"/>
    <tableColumn id="131" xr3:uid="{9AD30943-8FF3-4081-BC52-0A68F33FA1E6}" name="Pracownicy naukowi i dydaktyczni : wybierz wartość z listy rozwijanej" totalsRowDxfId="143"/>
    <tableColumn id="132" xr3:uid="{F15383FF-5030-41F2-B790-DA1B9ACCD614}" name="Pracodawcy : wybierz wartość z listy rozwijanej" totalsRowDxfId="142"/>
    <tableColumn id="133" xr3:uid="{A113041C-1CEA-48AE-A9F9-6427226B931F}" name="Władze samorządowe i centralne : wybierz wartość z listy rozwijanej" totalsRowDxfId="141"/>
    <tableColumn id="134" xr3:uid="{2391059C-06A8-4E9F-9A30-2923C913E592}" name="Pole dodatkowe4" totalsRowDxfId="140"/>
    <tableColumn id="135" xr3:uid="{87323607-8918-4675-942B-66DDA6ACC52D}" name="Studenci : wybierz wartość z listy rozwijanej5" totalsRowDxfId="139"/>
    <tableColumn id="136" xr3:uid="{575464E3-342E-4010-A0B5-F16E0DA7F25D}" name="Absolwenci : wybierz wartość z listy rozwijanej6" totalsRowDxfId="138"/>
    <tableColumn id="137" xr3:uid="{3C4E7A29-9534-46F7-9E09-353DAEA57455}" name="Rodzice absolwentów : wybierz wartość z listy rozwijanej7" totalsRowDxfId="137"/>
    <tableColumn id="138" xr3:uid="{5EFF4867-813D-4D19-AFD2-41795D704E9D}" name="Pracownicy administracyjni : wybierz wartość z listy rozwijanej8" totalsRowDxfId="136"/>
    <tableColumn id="139" xr3:uid="{BD3A3545-6744-40C8-B6F9-128B604A0016}" name="Pracownicy naukowi i dydaktyczni : wybierz wartość z listy rozwijanej9" totalsRowDxfId="135"/>
    <tableColumn id="140" xr3:uid="{A370427A-746A-432F-8439-DE3E0F05E90C}" name="Pracodawcy : wybierz wartość z listy rozwijanej10" totalsRowDxfId="134"/>
    <tableColumn id="141" xr3:uid="{A6D0879A-E0B6-4F9C-B8AB-CCB9C168853D}" name="Władze samorządowe i centralne : wybierz wartość z listy rozwijanej11" totalsRowDxfId="133"/>
    <tableColumn id="142" xr3:uid="{ED69D784-3A72-4212-8A94-FFF937BB5636}" name="Pole dodatkowe12" totalsRowDxfId="132"/>
    <tableColumn id="143" xr3:uid="{F9376235-C8DC-451D-B95A-275409F154F3}" name="Czy jesteś przedstawicielem firmy, w której są zatrudniani absolwenci uczelni wyższych (tytuł licencjata, magistra lub wyższy)?" totalsRowFunction="custom" dataDxfId="131" totalsRowDxfId="130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29"/>
    <tableColumn id="145" xr3:uid="{FEA12265-815B-4115-947C-C4D7389958E8}" name="Ile uczelni będziesz oceniać?" totalsRowDxfId="128"/>
    <tableColumn id="146" xr3:uid="{26F5BBF0-E63C-4FC8-A2F3-F0ADC728D5E4}" name="Jak się nazywa uczelnia, którą ocenisz? " totalsRowDxfId="127"/>
    <tableColumn id="147" xr3:uid="{61714612-8B24-4377-BCF5-066C33634E6F}" name="Moja satysfakcja z (efektów) usług edukacyjnych na ocenianej uczelni jest wysoka." totalsRowDxfId="126"/>
    <tableColumn id="148" xr3:uid="{043BF385-CFC6-4AC5-BD7D-2DC21351418F}" name="Kompetencje absolwentów ocenianej uczelni są wysokie." totalsRowDxfId="125"/>
    <tableColumn id="149" xr3:uid="{35B1450E-E76E-4137-923C-C1196FE6A242}" name="Zarobki absolwentów ocenianej uczelni zatrudnionych w mojej firmie są wyższe od zarobków absolwentów innych polskich uczelni." totalsRowDxfId="124"/>
    <tableColumn id="150" xr3:uid="{46264593-E5FF-4A8E-9E32-B5CDAD83DB38}" name="Czy w Twojej firmie są zatrudniani absolwenci uczelni w pierwszym roku po ukończeniu studiów (do 12 miesięcy od uzyskania dyplomu)?" totalsRowDxfId="123"/>
    <tableColumn id="151" xr3:uid="{AFEC3724-7638-4FBB-9B74-E3C5F372DFD7}" name="Jakie kompetencje absolwentów ocenianej uczelni są w Twojej firmie najwyżej wyceniane?" totalsRowDxfId="122"/>
    <tableColumn id="152" xr3:uid="{7C41F20E-87DA-419A-A4DC-8FC7E15280E1}" name="Jakiego rodzaju prace wykonują absolwenci ocenianej uczelni w Twojej firmie?" totalsRowDxfId="121"/>
    <tableColumn id="153" xr3:uid="{A53B26E4-0EB5-4875-918F-C84DFA999490}" name="Czy będziesz oceniał drugą uczelnię?" totalsRowDxfId="120"/>
    <tableColumn id="154" xr3:uid="{C51996BB-6F72-462D-AF3A-889816D9376D}" name="Jak się nazywa uczelnia, którą ocenisz? 13" totalsRowDxfId="119"/>
    <tableColumn id="155" xr3:uid="{C4DC7D31-6CB7-4667-BEF7-8EFAA1443E26}" name="Moja satysfakcja z (efektów) usług edukacyjnych na ocenianej uczelni jest wysoka.14" totalsRowDxfId="118"/>
    <tableColumn id="156" xr3:uid="{6BE5AEB2-D87C-4FAD-8A78-12F3665EA35B}" name="Kompetencje absolwentów ocenianej uczelni są wysokie.15" totalsRowDxfId="117"/>
    <tableColumn id="157" xr3:uid="{E68B03D6-C361-4634-B98C-870BC31CEDD8}" name="Zarobki absolwentów ocenianej uczelni zatrudnionych w mojej firmie są wyższe od zarobków absolwentów innych polskich uczelni.16" totalsRowDxfId="116"/>
    <tableColumn id="158" xr3:uid="{7AE77260-6064-4321-A8D8-8F0B2D560514}" name="Czy w Twojej firmie są zatrudniani absolwenci uczelni w pierwszym roku po ukończeniu studiów (do 12 miesięcy od uzyskania dyplomu)?17" totalsRowDxfId="115"/>
    <tableColumn id="159" xr3:uid="{02179DC7-236C-405B-9717-3820DB37DCDE}" name="Jakie kompetencje absolwentów ocenianej uczelni są w Twojej firmie najwyżej wyceniane?18" totalsRowDxfId="114"/>
    <tableColumn id="160" xr3:uid="{ACD9DA00-A265-43F3-A8CD-4AB9D52D21A7}" name="Jakiego rodzaju prace wykonują absolwenci ocenianej uczelni w Twojej firmie?19" totalsRowDxfId="113"/>
    <tableColumn id="161" xr3:uid="{40C65435-9246-41B9-9D13-8617AD0D615B}" name="Czy będziesz oceniał trzecią uczelnię techniczną?" totalsRowDxfId="112"/>
    <tableColumn id="162" xr3:uid="{6D52B5AA-D38E-4A9C-9FC4-C5F27711E4B2}" name="Jak się nazywa uczelnia, którą ocenisz? 20" totalsRowDxfId="111"/>
    <tableColumn id="163" xr3:uid="{121D311A-63E4-4EF2-A0DA-FAA985067046}" name="Moja satysfakcja z (efektów) usług edukacyjnych na ocenianej uczelni jest wysoka.21" totalsRowDxfId="110"/>
    <tableColumn id="164" xr3:uid="{F282EA05-D156-4529-9BC1-8600524F81FD}" name="Kompetencje absolwentów ocenianej uczelni są wysokie.22" totalsRowDxfId="109"/>
    <tableColumn id="165" xr3:uid="{58F11C5E-414B-4C75-8CE5-1580D3F448A9}" name="Zarobki absolwentów ocenianej uczelni zatrudnionych w mojej firmie są wyższe od zarobków absolwentów innych polskich uczelni.23" totalsRowDxfId="108"/>
    <tableColumn id="166" xr3:uid="{3E1C84AB-DCF6-4B96-B25A-E3AA8A32B928}" name="Czy w Twojej firmie są zatrudniani absolwenci uczelni w pierwszym roku po ukończeniu studiów (do 12 miesięcy od uzyskania dyplomu)?24" totalsRowDxfId="107"/>
    <tableColumn id="167" xr3:uid="{4C87DA44-3851-4B6F-8471-F5B274EEF69E}" name="Jakie kompetencje absolwentów ocenianej uczelni są w Twojej firmie najwyżej wyceniane?25" totalsRowDxfId="106"/>
    <tableColumn id="168" xr3:uid="{4889D3B6-442C-490C-9642-B9781EC55E1C}" name="Jakiego rodzaju prace wykonują absolwenci ocenianej uczelni są w Twojej firmie?" totalsRowDxfId="105"/>
    <tableColumn id="169" xr3:uid="{370CF6EE-F46C-4CFF-9496-7844071DF992}" name="Czy jesteś przedstawicielem władz samorządowych lub centralnych Rzeczypospolitej Polskiej?" totalsRowFunction="custom" dataDxfId="104" totalsRowDxfId="103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opLeftCell="A28" workbookViewId="0">
      <selection activeCell="B46" sqref="B46:B5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2449</v>
      </c>
      <c r="F637" s="20" t="s">
        <v>2450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2442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2444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2446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2451</v>
      </c>
      <c r="B647" t="s">
        <v>2449</v>
      </c>
      <c r="F647" s="20" t="s">
        <v>2450</v>
      </c>
    </row>
    <row r="648" spans="1:7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2443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2444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2445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2446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102" priority="6" operator="lessThan">
      <formula>O141</formula>
    </cfRule>
  </conditionalFormatting>
  <conditionalFormatting sqref="N180">
    <cfRule type="cellIs" dxfId="101" priority="5" operator="lessThan">
      <formula>O180</formula>
    </cfRule>
  </conditionalFormatting>
  <conditionalFormatting sqref="N330">
    <cfRule type="cellIs" dxfId="100" priority="2" operator="lessThan">
      <formula>O330</formula>
    </cfRule>
  </conditionalFormatting>
  <conditionalFormatting sqref="T217">
    <cfRule type="cellIs" dxfId="99" priority="3" operator="lessThan">
      <formula>U217</formula>
    </cfRule>
  </conditionalFormatting>
  <conditionalFormatting sqref="T500">
    <cfRule type="cellIs" dxfId="9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I142"/>
  <sheetViews>
    <sheetView tabSelected="1" workbookViewId="0">
      <pane ySplit="2" topLeftCell="A42" activePane="bottomLeft" state="frozen"/>
      <selection activeCell="J1" sqref="J1"/>
      <selection pane="bottomLeft" activeCell="A76" sqref="A76:XFD76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customWidth="1" outlineLevel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51" width="23.1328125" hidden="1" customWidth="1" outlineLevel="1"/>
    <col min="52" max="52" width="11.796875" customWidth="1" collapsed="1"/>
    <col min="53" max="53" width="8.1328125" hidden="1" customWidth="1" outlineLevel="1"/>
    <col min="54" max="97" width="26.3984375" hidden="1" customWidth="1" outlineLevel="1"/>
    <col min="98" max="98" width="11.796875" customWidth="1" collapsed="1"/>
    <col min="99" max="107" width="19.9296875" hidden="1" customWidth="1" outlineLevel="1"/>
    <col min="108" max="108" width="11.796875" customWidth="1" collapsed="1"/>
    <col min="109" max="117" width="23.33203125" hidden="1" customWidth="1" outlineLevel="1"/>
    <col min="118" max="118" width="11.796875" customWidth="1" collapsed="1"/>
    <col min="119" max="146" width="8.1328125" hidden="1" customWidth="1" outlineLevel="1"/>
    <col min="147" max="147" width="11.796875" customWidth="1" collapsed="1"/>
    <col min="148" max="172" width="8.1328125" hidden="1" customWidth="1" outlineLevel="1"/>
    <col min="173" max="173" width="11.796875" customWidth="1" collapsed="1"/>
    <col min="174" max="209" width="8.1328125" hidden="1" customWidth="1" outlineLevel="1"/>
    <col min="210" max="210" width="9.46484375" customWidth="1" collapsed="1"/>
    <col min="213" max="213" width="28.59765625" customWidth="1"/>
  </cols>
  <sheetData>
    <row r="1" spans="1:217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J1" t="s">
        <v>26</v>
      </c>
      <c r="AK1" t="s">
        <v>27</v>
      </c>
      <c r="AL1" t="s">
        <v>28</v>
      </c>
      <c r="AM1" t="s">
        <v>17</v>
      </c>
      <c r="AR1" t="s">
        <v>29</v>
      </c>
      <c r="AS1" t="s">
        <v>30</v>
      </c>
      <c r="AU1" t="s">
        <v>31</v>
      </c>
      <c r="AV1" t="s">
        <v>32</v>
      </c>
      <c r="AX1" t="s">
        <v>33</v>
      </c>
      <c r="AZ1" s="3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17</v>
      </c>
      <c r="BK1" t="s">
        <v>40</v>
      </c>
      <c r="BL1" t="s">
        <v>41</v>
      </c>
      <c r="BM1" t="s">
        <v>42</v>
      </c>
      <c r="BO1" t="s">
        <v>43</v>
      </c>
      <c r="BP1" t="s">
        <v>44</v>
      </c>
      <c r="BQ1" t="s">
        <v>36</v>
      </c>
      <c r="BR1" t="s">
        <v>37</v>
      </c>
      <c r="BS1" t="s">
        <v>38</v>
      </c>
      <c r="BT1" t="s">
        <v>39</v>
      </c>
      <c r="BU1" t="s">
        <v>17</v>
      </c>
      <c r="BZ1" t="s">
        <v>40</v>
      </c>
      <c r="CA1" t="s">
        <v>41</v>
      </c>
      <c r="CB1" t="s">
        <v>42</v>
      </c>
      <c r="CD1" t="s">
        <v>43</v>
      </c>
      <c r="CE1" t="s">
        <v>45</v>
      </c>
      <c r="CF1" t="s">
        <v>36</v>
      </c>
      <c r="CG1" t="s">
        <v>37</v>
      </c>
      <c r="CH1" t="s">
        <v>38</v>
      </c>
      <c r="CI1" t="s">
        <v>39</v>
      </c>
      <c r="CJ1" t="s">
        <v>17</v>
      </c>
      <c r="CO1" t="s">
        <v>40</v>
      </c>
      <c r="CP1" t="s">
        <v>41</v>
      </c>
      <c r="CQ1" t="s">
        <v>42</v>
      </c>
      <c r="CS1" t="s">
        <v>43</v>
      </c>
      <c r="CT1" s="3" t="s">
        <v>46</v>
      </c>
      <c r="CU1" t="s">
        <v>47</v>
      </c>
      <c r="CV1" t="s">
        <v>48</v>
      </c>
      <c r="CW1" t="s">
        <v>17</v>
      </c>
      <c r="DC1" t="s">
        <v>41</v>
      </c>
      <c r="DD1" s="3" t="s">
        <v>49</v>
      </c>
      <c r="DE1" t="s">
        <v>47</v>
      </c>
      <c r="DF1" t="s">
        <v>48</v>
      </c>
      <c r="DG1" t="s">
        <v>17</v>
      </c>
      <c r="DM1" t="s">
        <v>31</v>
      </c>
      <c r="DN1" s="3" t="s">
        <v>50</v>
      </c>
      <c r="DO1" t="s">
        <v>51</v>
      </c>
      <c r="DS1" t="s">
        <v>52</v>
      </c>
      <c r="DT1" t="s">
        <v>17</v>
      </c>
      <c r="EA1" t="s">
        <v>53</v>
      </c>
      <c r="EI1" t="s">
        <v>54</v>
      </c>
      <c r="EQ1" s="3" t="s">
        <v>55</v>
      </c>
      <c r="ER1" t="s">
        <v>56</v>
      </c>
      <c r="ES1" t="s">
        <v>57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62</v>
      </c>
      <c r="FB1" t="s">
        <v>58</v>
      </c>
      <c r="FC1" t="s">
        <v>17</v>
      </c>
      <c r="FF1" t="s">
        <v>59</v>
      </c>
      <c r="FG1" t="s">
        <v>60</v>
      </c>
      <c r="FH1" t="s">
        <v>61</v>
      </c>
      <c r="FI1" t="s">
        <v>63</v>
      </c>
      <c r="FJ1" t="s">
        <v>58</v>
      </c>
      <c r="FK1" t="s">
        <v>17</v>
      </c>
      <c r="FN1" t="s">
        <v>59</v>
      </c>
      <c r="FO1" t="s">
        <v>60</v>
      </c>
      <c r="FP1" t="s">
        <v>64</v>
      </c>
      <c r="FQ1" s="3" t="s">
        <v>65</v>
      </c>
      <c r="FR1" t="s">
        <v>66</v>
      </c>
      <c r="FS1" t="s">
        <v>67</v>
      </c>
      <c r="FT1" t="s">
        <v>57</v>
      </c>
      <c r="FU1" t="s">
        <v>68</v>
      </c>
      <c r="FV1" t="s">
        <v>17</v>
      </c>
      <c r="GD1" t="s">
        <v>69</v>
      </c>
      <c r="GE1" t="s">
        <v>70</v>
      </c>
      <c r="GF1" t="s">
        <v>68</v>
      </c>
      <c r="GG1" t="s">
        <v>17</v>
      </c>
      <c r="GN1" t="s">
        <v>71</v>
      </c>
      <c r="GO1" t="s">
        <v>72</v>
      </c>
      <c r="GP1" t="s">
        <v>68</v>
      </c>
      <c r="GQ1" t="s">
        <v>17</v>
      </c>
      <c r="GX1" t="s">
        <v>71</v>
      </c>
      <c r="GY1" t="s">
        <v>73</v>
      </c>
      <c r="HB1" t="s">
        <v>74</v>
      </c>
      <c r="HC1" t="s">
        <v>75</v>
      </c>
      <c r="HE1" t="s">
        <v>76</v>
      </c>
      <c r="HG1" t="s">
        <v>77</v>
      </c>
      <c r="HH1" t="s">
        <v>78</v>
      </c>
      <c r="HI1" t="s">
        <v>79</v>
      </c>
    </row>
    <row r="2" spans="1:217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2452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2329</v>
      </c>
      <c r="AJ2" t="s">
        <v>26</v>
      </c>
      <c r="AK2" t="s">
        <v>27</v>
      </c>
      <c r="AL2" t="s">
        <v>28</v>
      </c>
      <c r="AM2" t="s">
        <v>86</v>
      </c>
      <c r="AN2" t="s">
        <v>2071</v>
      </c>
      <c r="AO2" t="s">
        <v>87</v>
      </c>
      <c r="AP2" t="s">
        <v>88</v>
      </c>
      <c r="AQ2" t="s">
        <v>89</v>
      </c>
      <c r="AR2" t="s">
        <v>29</v>
      </c>
      <c r="AS2" t="s">
        <v>2072</v>
      </c>
      <c r="AT2" t="s">
        <v>2073</v>
      </c>
      <c r="AU2" t="s">
        <v>31</v>
      </c>
      <c r="AV2" t="s">
        <v>32</v>
      </c>
      <c r="AW2" t="s">
        <v>2070</v>
      </c>
      <c r="AX2" t="s">
        <v>33</v>
      </c>
      <c r="AY2" t="s">
        <v>2074</v>
      </c>
      <c r="AZ2" s="1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s="20" t="s">
        <v>2075</v>
      </c>
      <c r="BG2" t="s">
        <v>2076</v>
      </c>
      <c r="BH2" t="s">
        <v>90</v>
      </c>
      <c r="BI2" t="s">
        <v>91</v>
      </c>
      <c r="BJ2" t="s">
        <v>92</v>
      </c>
      <c r="BK2" t="s">
        <v>40</v>
      </c>
      <c r="BL2" t="s">
        <v>41</v>
      </c>
      <c r="BM2" t="s">
        <v>42</v>
      </c>
      <c r="BN2" t="s">
        <v>2077</v>
      </c>
      <c r="BO2" t="s">
        <v>43</v>
      </c>
      <c r="BP2" t="s">
        <v>44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2091</v>
      </c>
      <c r="CE2" t="s">
        <v>45</v>
      </c>
      <c r="CF2" t="s">
        <v>2092</v>
      </c>
      <c r="CG2" t="s">
        <v>2093</v>
      </c>
      <c r="CH2" t="s">
        <v>2094</v>
      </c>
      <c r="CI2" t="s">
        <v>2095</v>
      </c>
      <c r="CJ2" t="s">
        <v>2096</v>
      </c>
      <c r="CK2" t="s">
        <v>2097</v>
      </c>
      <c r="CL2" t="s">
        <v>2098</v>
      </c>
      <c r="CM2" t="s">
        <v>2099</v>
      </c>
      <c r="CN2" t="s">
        <v>2100</v>
      </c>
      <c r="CO2" t="s">
        <v>2101</v>
      </c>
      <c r="CP2" t="s">
        <v>2102</v>
      </c>
      <c r="CQ2" t="s">
        <v>2103</v>
      </c>
      <c r="CR2" t="s">
        <v>2104</v>
      </c>
      <c r="CS2" t="s">
        <v>2105</v>
      </c>
      <c r="CT2" s="1" t="s">
        <v>46</v>
      </c>
      <c r="CU2" t="s">
        <v>47</v>
      </c>
      <c r="CV2" t="s">
        <v>48</v>
      </c>
      <c r="CW2" t="s">
        <v>93</v>
      </c>
      <c r="CX2" t="s">
        <v>94</v>
      </c>
      <c r="CY2" s="20" t="s">
        <v>95</v>
      </c>
      <c r="CZ2" s="20" t="s">
        <v>96</v>
      </c>
      <c r="DA2" t="s">
        <v>97</v>
      </c>
      <c r="DB2" t="s">
        <v>98</v>
      </c>
      <c r="DC2" t="s">
        <v>2106</v>
      </c>
      <c r="DD2" s="1" t="s">
        <v>49</v>
      </c>
      <c r="DE2" t="s">
        <v>2107</v>
      </c>
      <c r="DF2" t="s">
        <v>2108</v>
      </c>
      <c r="DG2" t="s">
        <v>2109</v>
      </c>
      <c r="DH2" s="20" t="s">
        <v>2110</v>
      </c>
      <c r="DI2" s="20" t="s">
        <v>2111</v>
      </c>
      <c r="DJ2" s="20" t="s">
        <v>2112</v>
      </c>
      <c r="DK2" s="20" t="s">
        <v>2113</v>
      </c>
      <c r="DL2" t="s">
        <v>2114</v>
      </c>
      <c r="DM2" t="s">
        <v>2115</v>
      </c>
      <c r="DN2" s="1" t="s">
        <v>50</v>
      </c>
      <c r="DO2" t="s">
        <v>51</v>
      </c>
      <c r="DP2" t="s">
        <v>2067</v>
      </c>
      <c r="DQ2" t="s">
        <v>2068</v>
      </c>
      <c r="DR2" t="s">
        <v>2069</v>
      </c>
      <c r="DS2" t="s">
        <v>52</v>
      </c>
      <c r="DT2" s="20" t="s">
        <v>99</v>
      </c>
      <c r="DU2" s="20" t="s">
        <v>100</v>
      </c>
      <c r="DV2" s="20" t="s">
        <v>101</v>
      </c>
      <c r="DW2" t="s">
        <v>102</v>
      </c>
      <c r="DX2" t="s">
        <v>103</v>
      </c>
      <c r="DY2" s="20" t="s">
        <v>104</v>
      </c>
      <c r="DZ2" s="20" t="s">
        <v>105</v>
      </c>
      <c r="EA2" t="s">
        <v>106</v>
      </c>
      <c r="EB2" t="s">
        <v>107</v>
      </c>
      <c r="EC2" t="s">
        <v>108</v>
      </c>
      <c r="ED2" t="s">
        <v>109</v>
      </c>
      <c r="EE2" t="s">
        <v>110</v>
      </c>
      <c r="EF2" t="s">
        <v>111</v>
      </c>
      <c r="EG2" t="s">
        <v>112</v>
      </c>
      <c r="EH2" t="s">
        <v>2116</v>
      </c>
      <c r="EI2" t="s">
        <v>2117</v>
      </c>
      <c r="EJ2" t="s">
        <v>2118</v>
      </c>
      <c r="EK2" t="s">
        <v>2119</v>
      </c>
      <c r="EL2" t="s">
        <v>2120</v>
      </c>
      <c r="EM2" t="s">
        <v>2121</v>
      </c>
      <c r="EN2" t="s">
        <v>2122</v>
      </c>
      <c r="EO2" t="s">
        <v>2123</v>
      </c>
      <c r="EP2" t="s">
        <v>2124</v>
      </c>
      <c r="EQ2" s="1" t="s">
        <v>55</v>
      </c>
      <c r="ER2" t="s">
        <v>56</v>
      </c>
      <c r="ES2" t="s">
        <v>57</v>
      </c>
      <c r="ET2" t="s">
        <v>58</v>
      </c>
      <c r="EU2" s="20" t="s">
        <v>113</v>
      </c>
      <c r="EV2" t="s">
        <v>114</v>
      </c>
      <c r="EW2" t="s">
        <v>115</v>
      </c>
      <c r="EX2" t="s">
        <v>59</v>
      </c>
      <c r="EY2" t="s">
        <v>60</v>
      </c>
      <c r="EZ2" t="s">
        <v>61</v>
      </c>
      <c r="FA2" t="s">
        <v>62</v>
      </c>
      <c r="FB2" t="s">
        <v>2125</v>
      </c>
      <c r="FC2" t="s">
        <v>2126</v>
      </c>
      <c r="FD2" t="s">
        <v>2127</v>
      </c>
      <c r="FE2" t="s">
        <v>2128</v>
      </c>
      <c r="FF2" t="s">
        <v>2129</v>
      </c>
      <c r="FG2" t="s">
        <v>2130</v>
      </c>
      <c r="FH2" t="s">
        <v>2131</v>
      </c>
      <c r="FI2" t="s">
        <v>63</v>
      </c>
      <c r="FJ2" t="s">
        <v>2132</v>
      </c>
      <c r="FK2" t="s">
        <v>2133</v>
      </c>
      <c r="FL2" t="s">
        <v>2134</v>
      </c>
      <c r="FM2" t="s">
        <v>2135</v>
      </c>
      <c r="FN2" t="s">
        <v>2136</v>
      </c>
      <c r="FO2" t="s">
        <v>2137</v>
      </c>
      <c r="FP2" t="s">
        <v>64</v>
      </c>
      <c r="FQ2" s="1" t="s">
        <v>65</v>
      </c>
      <c r="FR2" t="s">
        <v>66</v>
      </c>
      <c r="FS2" t="s">
        <v>67</v>
      </c>
      <c r="FT2" t="s">
        <v>2138</v>
      </c>
      <c r="FU2" t="s">
        <v>68</v>
      </c>
      <c r="FV2" s="20" t="s">
        <v>116</v>
      </c>
      <c r="FW2" t="s">
        <v>2139</v>
      </c>
      <c r="FX2" t="s">
        <v>2140</v>
      </c>
      <c r="FY2" t="s">
        <v>2141</v>
      </c>
      <c r="FZ2" t="s">
        <v>2142</v>
      </c>
      <c r="GA2" t="s">
        <v>2143</v>
      </c>
      <c r="GB2" t="s">
        <v>2144</v>
      </c>
      <c r="GC2" t="s">
        <v>2145</v>
      </c>
      <c r="GD2" t="s">
        <v>69</v>
      </c>
      <c r="GE2" t="s">
        <v>70</v>
      </c>
      <c r="GF2" t="s">
        <v>2146</v>
      </c>
      <c r="GG2" t="s">
        <v>2147</v>
      </c>
      <c r="GH2" t="s">
        <v>2148</v>
      </c>
      <c r="GI2" t="s">
        <v>2149</v>
      </c>
      <c r="GJ2" t="s">
        <v>2150</v>
      </c>
      <c r="GK2" t="s">
        <v>2151</v>
      </c>
      <c r="GL2" t="s">
        <v>2152</v>
      </c>
      <c r="GM2" t="s">
        <v>2153</v>
      </c>
      <c r="GN2" t="s">
        <v>71</v>
      </c>
      <c r="GO2" t="s">
        <v>72</v>
      </c>
      <c r="GP2" t="s">
        <v>2154</v>
      </c>
      <c r="GQ2" t="s">
        <v>2155</v>
      </c>
      <c r="GR2" t="s">
        <v>2156</v>
      </c>
      <c r="GS2" t="s">
        <v>2157</v>
      </c>
      <c r="GT2" t="s">
        <v>2158</v>
      </c>
      <c r="GU2" t="s">
        <v>2159</v>
      </c>
      <c r="GV2" t="s">
        <v>2160</v>
      </c>
      <c r="GW2" t="s">
        <v>2161</v>
      </c>
      <c r="GX2" t="s">
        <v>2162</v>
      </c>
      <c r="GY2" t="s">
        <v>73</v>
      </c>
      <c r="GZ2" t="s">
        <v>2163</v>
      </c>
      <c r="HA2" t="s">
        <v>2164</v>
      </c>
      <c r="HB2" t="s">
        <v>74</v>
      </c>
      <c r="HC2" t="s">
        <v>75</v>
      </c>
      <c r="HD2" s="20" t="s">
        <v>2320</v>
      </c>
      <c r="HE2" t="s">
        <v>76</v>
      </c>
      <c r="HF2" t="s">
        <v>2165</v>
      </c>
      <c r="HG2" t="s">
        <v>77</v>
      </c>
      <c r="HH2" t="s">
        <v>78</v>
      </c>
      <c r="HI2" t="s">
        <v>79</v>
      </c>
    </row>
    <row r="3" spans="1:217" hidden="1" x14ac:dyDescent="0.45">
      <c r="A3">
        <v>1</v>
      </c>
      <c r="B3">
        <f>_xlfn.IFNA(VLOOKUP(AnalizaCzyste[[#This Row],[Zakończono wypełnianie]],Zakończone[],2,0),"BRAK")</f>
        <v>1</v>
      </c>
      <c r="C3">
        <f>COUNTA(P3:HI3)</f>
        <v>37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42">
        <v>2011</v>
      </c>
      <c r="AK3" t="s">
        <v>126</v>
      </c>
      <c r="AL3" t="s">
        <v>127</v>
      </c>
      <c r="AM3" t="s">
        <v>128</v>
      </c>
      <c r="AN3" t="s">
        <v>128</v>
      </c>
      <c r="AO3" t="s">
        <v>129</v>
      </c>
      <c r="AP3" t="s">
        <v>129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Y3" t="s">
        <v>136</v>
      </c>
      <c r="AZ3" s="1" t="s">
        <v>123</v>
      </c>
      <c r="CT3" s="1" t="s">
        <v>123</v>
      </c>
      <c r="DD3" s="1" t="s">
        <v>123</v>
      </c>
      <c r="DN3" s="1" t="s">
        <v>123</v>
      </c>
      <c r="EQ3" s="1" t="s">
        <v>123</v>
      </c>
      <c r="FQ3" s="1" t="s">
        <v>123</v>
      </c>
      <c r="FR3" t="s">
        <v>132</v>
      </c>
      <c r="GY3" t="s">
        <v>137</v>
      </c>
      <c r="GZ3" t="s">
        <v>138</v>
      </c>
      <c r="HA3" t="s">
        <v>139</v>
      </c>
      <c r="HB3" t="s">
        <v>140</v>
      </c>
      <c r="HC3">
        <v>1987</v>
      </c>
      <c r="HD3" t="str">
        <f>VLOOKUP(AnalizaCzyste[[#This Row],[Rok urodzenia]],KategorieWiekowe[],2,1)</f>
        <v>26-35 lat</v>
      </c>
      <c r="HE3" t="s">
        <v>141</v>
      </c>
      <c r="HG3" t="s">
        <v>142</v>
      </c>
      <c r="HH3" t="s">
        <v>142</v>
      </c>
      <c r="HI3" t="s">
        <v>143</v>
      </c>
    </row>
    <row r="4" spans="1:217" hidden="1" x14ac:dyDescent="0.45">
      <c r="A4">
        <v>2</v>
      </c>
      <c r="B4">
        <f>_xlfn.IFNA(VLOOKUP(AnalizaCzyste[[#This Row],[Zakończono wypełnianie]],Zakończone[],2,0),"BRAK")</f>
        <v>2</v>
      </c>
      <c r="C4">
        <f>COUNTA(P4:HI4)</f>
        <v>97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>
        <v>1986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 t="s">
        <v>150</v>
      </c>
      <c r="AR4">
        <v>3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s="1" t="s">
        <v>159</v>
      </c>
      <c r="BA4">
        <v>2</v>
      </c>
      <c r="BB4" t="s">
        <v>160</v>
      </c>
      <c r="BC4">
        <v>2013</v>
      </c>
      <c r="BD4" t="s">
        <v>148</v>
      </c>
      <c r="BE4" t="s">
        <v>161</v>
      </c>
      <c r="BF4" t="s">
        <v>162</v>
      </c>
      <c r="BG4" t="s">
        <v>150</v>
      </c>
      <c r="BH4" t="s">
        <v>150</v>
      </c>
      <c r="BI4" t="s">
        <v>150</v>
      </c>
      <c r="BJ4" t="s">
        <v>150</v>
      </c>
      <c r="BK4" t="s">
        <v>163</v>
      </c>
      <c r="BL4" t="s">
        <v>164</v>
      </c>
      <c r="BM4" t="s">
        <v>157</v>
      </c>
      <c r="BO4" t="s">
        <v>165</v>
      </c>
      <c r="BP4" t="s">
        <v>166</v>
      </c>
      <c r="BQ4" t="s">
        <v>167</v>
      </c>
      <c r="BR4">
        <v>2015</v>
      </c>
      <c r="BS4" t="s">
        <v>148</v>
      </c>
      <c r="BT4" t="s">
        <v>168</v>
      </c>
      <c r="BU4" t="s">
        <v>150</v>
      </c>
      <c r="BV4" t="s">
        <v>169</v>
      </c>
      <c r="BW4" t="s">
        <v>150</v>
      </c>
      <c r="BX4" t="s">
        <v>150</v>
      </c>
      <c r="BY4" t="s">
        <v>150</v>
      </c>
      <c r="BZ4" t="s">
        <v>170</v>
      </c>
      <c r="CA4" t="s">
        <v>171</v>
      </c>
      <c r="CB4" t="s">
        <v>172</v>
      </c>
      <c r="CE4" t="s">
        <v>173</v>
      </c>
      <c r="CT4" s="1" t="s">
        <v>123</v>
      </c>
      <c r="DD4" s="1" t="s">
        <v>123</v>
      </c>
      <c r="DN4" s="1" t="s">
        <v>174</v>
      </c>
      <c r="DR4" t="s">
        <v>175</v>
      </c>
      <c r="DS4" t="s">
        <v>176</v>
      </c>
      <c r="DT4" t="s">
        <v>162</v>
      </c>
      <c r="DU4" t="s">
        <v>150</v>
      </c>
      <c r="DV4" t="s">
        <v>151</v>
      </c>
      <c r="DW4" t="s">
        <v>151</v>
      </c>
      <c r="DX4" t="s">
        <v>162</v>
      </c>
      <c r="DY4" t="s">
        <v>162</v>
      </c>
      <c r="DZ4" t="s">
        <v>150</v>
      </c>
      <c r="EA4">
        <v>25</v>
      </c>
      <c r="EB4">
        <v>25</v>
      </c>
      <c r="EC4">
        <v>2</v>
      </c>
      <c r="ED4">
        <v>5</v>
      </c>
      <c r="EE4">
        <v>8</v>
      </c>
      <c r="EF4">
        <v>25</v>
      </c>
      <c r="EG4">
        <v>10</v>
      </c>
      <c r="EI4">
        <v>20</v>
      </c>
      <c r="EJ4">
        <v>20</v>
      </c>
      <c r="EK4">
        <v>1</v>
      </c>
      <c r="EL4">
        <v>4</v>
      </c>
      <c r="EM4">
        <v>25</v>
      </c>
      <c r="EN4">
        <v>25</v>
      </c>
      <c r="EO4">
        <v>5</v>
      </c>
      <c r="EQ4" s="1" t="s">
        <v>177</v>
      </c>
      <c r="ER4" t="s">
        <v>178</v>
      </c>
      <c r="ES4">
        <v>1</v>
      </c>
      <c r="ET4" t="s">
        <v>179</v>
      </c>
      <c r="EU4" t="s">
        <v>150</v>
      </c>
      <c r="EV4" t="s">
        <v>150</v>
      </c>
      <c r="EW4" t="s">
        <v>151</v>
      </c>
      <c r="EX4" t="s">
        <v>180</v>
      </c>
      <c r="EY4" t="s">
        <v>181</v>
      </c>
      <c r="EZ4" t="s">
        <v>182</v>
      </c>
      <c r="FA4" t="s">
        <v>173</v>
      </c>
      <c r="FQ4" s="1" t="s">
        <v>123</v>
      </c>
      <c r="FR4" t="s">
        <v>132</v>
      </c>
      <c r="GY4" t="s">
        <v>183</v>
      </c>
      <c r="GZ4" t="s">
        <v>184</v>
      </c>
      <c r="HA4" t="s">
        <v>185</v>
      </c>
      <c r="HB4" t="s">
        <v>186</v>
      </c>
      <c r="HC4">
        <v>1961</v>
      </c>
      <c r="HD4" t="str">
        <f>VLOOKUP(AnalizaCzyste[[#This Row],[Rok urodzenia]],KategorieWiekowe[],2,1)</f>
        <v>56-65 lat</v>
      </c>
      <c r="HE4" t="s">
        <v>141</v>
      </c>
      <c r="HG4" t="s">
        <v>187</v>
      </c>
    </row>
    <row r="5" spans="1:217" hidden="1" x14ac:dyDescent="0.45">
      <c r="A5">
        <v>3</v>
      </c>
      <c r="B5">
        <f>_xlfn.IFNA(VLOOKUP(AnalizaCzyste[[#This Row],[Zakończono wypełnianie]],Zakończone[],2,0),"BRAK")</f>
        <v>3</v>
      </c>
      <c r="C5">
        <f>COUNTA(P5:HI5)</f>
        <v>35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>
        <v>2017</v>
      </c>
      <c r="AK5" t="s">
        <v>126</v>
      </c>
      <c r="AL5" t="s">
        <v>192</v>
      </c>
      <c r="AM5" t="s">
        <v>150</v>
      </c>
      <c r="AN5" t="s">
        <v>150</v>
      </c>
      <c r="AO5" t="s">
        <v>162</v>
      </c>
      <c r="AP5" t="s">
        <v>169</v>
      </c>
      <c r="AQ5" t="s">
        <v>169</v>
      </c>
      <c r="AR5" t="s">
        <v>193</v>
      </c>
      <c r="AS5" t="s">
        <v>194</v>
      </c>
      <c r="AT5" t="s">
        <v>194</v>
      </c>
      <c r="AU5" t="s">
        <v>195</v>
      </c>
      <c r="AV5" t="s">
        <v>196</v>
      </c>
      <c r="AW5" t="s">
        <v>197</v>
      </c>
      <c r="AX5" t="s">
        <v>157</v>
      </c>
      <c r="AZ5" s="1" t="s">
        <v>123</v>
      </c>
      <c r="CT5" s="1" t="s">
        <v>123</v>
      </c>
      <c r="DD5" s="1" t="s">
        <v>123</v>
      </c>
      <c r="DN5" s="1" t="s">
        <v>123</v>
      </c>
      <c r="EQ5" s="1" t="s">
        <v>123</v>
      </c>
      <c r="FQ5" s="1" t="s">
        <v>123</v>
      </c>
      <c r="FR5" t="s">
        <v>132</v>
      </c>
      <c r="GY5" t="s">
        <v>198</v>
      </c>
      <c r="GZ5" t="s">
        <v>199</v>
      </c>
      <c r="HA5" t="s">
        <v>200</v>
      </c>
      <c r="HB5" t="s">
        <v>186</v>
      </c>
      <c r="HC5">
        <v>1991</v>
      </c>
      <c r="HD5" t="str">
        <f>VLOOKUP(AnalizaCzyste[[#This Row],[Rok urodzenia]],KategorieWiekowe[],2,1)</f>
        <v>26-35 lat</v>
      </c>
      <c r="HE5" t="s">
        <v>141</v>
      </c>
      <c r="HG5" t="s">
        <v>201</v>
      </c>
    </row>
    <row r="6" spans="1:217" hidden="1" x14ac:dyDescent="0.45">
      <c r="A6">
        <v>4</v>
      </c>
      <c r="B6">
        <f>_xlfn.IFNA(VLOOKUP(AnalizaCzyste[[#This Row],[Zakończono wypełnianie]],Zakończone[],2,0),"BRAK")</f>
        <v>4</v>
      </c>
      <c r="C6">
        <f>COUNTA(P6:HI6)</f>
        <v>46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>
        <v>1986</v>
      </c>
      <c r="AK6" t="s">
        <v>148</v>
      </c>
      <c r="AL6" t="s">
        <v>207</v>
      </c>
      <c r="AM6" t="s">
        <v>150</v>
      </c>
      <c r="AN6" t="s">
        <v>150</v>
      </c>
      <c r="AO6" t="s">
        <v>162</v>
      </c>
      <c r="AP6" t="s">
        <v>162</v>
      </c>
      <c r="AQ6" t="s">
        <v>162</v>
      </c>
      <c r="AR6" t="s">
        <v>208</v>
      </c>
      <c r="AS6" t="s">
        <v>209</v>
      </c>
      <c r="AT6" t="s">
        <v>209</v>
      </c>
      <c r="AU6" t="s">
        <v>210</v>
      </c>
      <c r="AV6" t="s">
        <v>211</v>
      </c>
      <c r="AW6" t="s">
        <v>212</v>
      </c>
      <c r="AX6" t="s">
        <v>157</v>
      </c>
      <c r="AY6" t="s">
        <v>213</v>
      </c>
      <c r="AZ6" s="1" t="s">
        <v>123</v>
      </c>
      <c r="CT6" s="1" t="s">
        <v>123</v>
      </c>
      <c r="DD6" s="1" t="s">
        <v>214</v>
      </c>
      <c r="DE6" t="s">
        <v>205</v>
      </c>
      <c r="DF6" t="s">
        <v>215</v>
      </c>
      <c r="DG6" t="s">
        <v>150</v>
      </c>
      <c r="DH6" t="s">
        <v>169</v>
      </c>
      <c r="DI6" t="s">
        <v>169</v>
      </c>
      <c r="DJ6" t="s">
        <v>150</v>
      </c>
      <c r="DK6" t="s">
        <v>151</v>
      </c>
      <c r="DL6" t="s">
        <v>151</v>
      </c>
      <c r="DM6" t="s">
        <v>216</v>
      </c>
      <c r="DN6" s="1" t="s">
        <v>123</v>
      </c>
      <c r="EQ6" s="1" t="s">
        <v>123</v>
      </c>
      <c r="ER6" t="s">
        <v>178</v>
      </c>
      <c r="ES6" t="s">
        <v>132</v>
      </c>
      <c r="FQ6" s="1" t="s">
        <v>123</v>
      </c>
      <c r="FR6" t="s">
        <v>132</v>
      </c>
      <c r="GY6" t="s">
        <v>217</v>
      </c>
      <c r="GZ6" t="s">
        <v>218</v>
      </c>
      <c r="HA6" t="s">
        <v>219</v>
      </c>
      <c r="HB6" t="s">
        <v>140</v>
      </c>
      <c r="HC6">
        <v>1961</v>
      </c>
      <c r="HD6" t="str">
        <f>VLOOKUP(AnalizaCzyste[[#This Row],[Rok urodzenia]],KategorieWiekowe[],2,1)</f>
        <v>56-65 lat</v>
      </c>
      <c r="HE6" t="s">
        <v>220</v>
      </c>
    </row>
    <row r="7" spans="1:217" hidden="1" x14ac:dyDescent="0.45">
      <c r="A7">
        <v>5</v>
      </c>
      <c r="B7">
        <f>_xlfn.IFNA(VLOOKUP(AnalizaCzyste[[#This Row],[Zakończono wypełnianie]],Zakończone[],2,0),"BRAK")</f>
        <v>5</v>
      </c>
      <c r="C7">
        <f>COUNTA(P7:HI7)</f>
        <v>85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>
        <v>1999</v>
      </c>
      <c r="AK7" t="s">
        <v>148</v>
      </c>
      <c r="AL7" t="s">
        <v>224</v>
      </c>
      <c r="AM7" t="s">
        <v>162</v>
      </c>
      <c r="AN7" t="s">
        <v>162</v>
      </c>
      <c r="AO7" t="s">
        <v>150</v>
      </c>
      <c r="AP7" t="s">
        <v>150</v>
      </c>
      <c r="AQ7" t="s">
        <v>169</v>
      </c>
      <c r="AR7" t="s">
        <v>225</v>
      </c>
      <c r="AS7" t="s">
        <v>153</v>
      </c>
      <c r="AT7" t="s">
        <v>226</v>
      </c>
      <c r="AU7" t="s">
        <v>227</v>
      </c>
      <c r="AV7" t="s">
        <v>228</v>
      </c>
      <c r="AW7" t="s">
        <v>229</v>
      </c>
      <c r="AX7" t="s">
        <v>230</v>
      </c>
      <c r="AZ7" s="1" t="s">
        <v>159</v>
      </c>
      <c r="BA7">
        <v>3</v>
      </c>
      <c r="BB7" t="s">
        <v>191</v>
      </c>
      <c r="BC7">
        <v>2011</v>
      </c>
      <c r="BD7" t="s">
        <v>126</v>
      </c>
      <c r="BE7" t="s">
        <v>2273</v>
      </c>
      <c r="BF7" t="s">
        <v>169</v>
      </c>
      <c r="BG7" t="s">
        <v>169</v>
      </c>
      <c r="BH7" t="s">
        <v>150</v>
      </c>
      <c r="BI7" t="s">
        <v>162</v>
      </c>
      <c r="BJ7" t="s">
        <v>150</v>
      </c>
      <c r="BK7">
        <v>1</v>
      </c>
      <c r="BL7" t="s">
        <v>232</v>
      </c>
      <c r="BM7" t="s">
        <v>157</v>
      </c>
      <c r="BO7" t="s">
        <v>233</v>
      </c>
      <c r="BP7" t="s">
        <v>166</v>
      </c>
      <c r="BQ7" t="s">
        <v>234</v>
      </c>
      <c r="BR7">
        <v>2011</v>
      </c>
      <c r="BS7" t="s">
        <v>148</v>
      </c>
      <c r="BT7" t="s">
        <v>235</v>
      </c>
      <c r="BU7" t="s">
        <v>151</v>
      </c>
      <c r="BV7" t="s">
        <v>128</v>
      </c>
      <c r="BW7" t="s">
        <v>236</v>
      </c>
      <c r="BX7" t="s">
        <v>128</v>
      </c>
      <c r="BY7" t="s">
        <v>162</v>
      </c>
      <c r="BZ7" t="s">
        <v>237</v>
      </c>
      <c r="CB7" t="s">
        <v>172</v>
      </c>
      <c r="CD7" t="s">
        <v>233</v>
      </c>
      <c r="CE7" t="s">
        <v>238</v>
      </c>
      <c r="CF7" t="s">
        <v>223</v>
      </c>
      <c r="CG7">
        <v>2016</v>
      </c>
      <c r="CH7" t="s">
        <v>148</v>
      </c>
      <c r="CI7" t="s">
        <v>239</v>
      </c>
      <c r="CJ7" t="s">
        <v>169</v>
      </c>
      <c r="CK7" t="s">
        <v>169</v>
      </c>
      <c r="CL7" t="s">
        <v>169</v>
      </c>
      <c r="CM7" t="s">
        <v>150</v>
      </c>
      <c r="CN7" t="s">
        <v>150</v>
      </c>
      <c r="CO7">
        <v>1</v>
      </c>
      <c r="CP7" t="s">
        <v>240</v>
      </c>
      <c r="CQ7" t="s">
        <v>157</v>
      </c>
      <c r="CS7" t="s">
        <v>233</v>
      </c>
      <c r="CT7" s="1" t="s">
        <v>123</v>
      </c>
      <c r="DD7" s="1" t="s">
        <v>214</v>
      </c>
      <c r="DE7" t="s">
        <v>234</v>
      </c>
      <c r="DF7" t="s">
        <v>241</v>
      </c>
      <c r="DG7" t="s">
        <v>162</v>
      </c>
      <c r="DH7" t="s">
        <v>169</v>
      </c>
      <c r="DI7" t="s">
        <v>169</v>
      </c>
      <c r="DJ7" t="s">
        <v>151</v>
      </c>
      <c r="DK7" t="s">
        <v>151</v>
      </c>
      <c r="DL7" t="s">
        <v>151</v>
      </c>
      <c r="DM7" t="s">
        <v>242</v>
      </c>
      <c r="DN7" s="1" t="s">
        <v>123</v>
      </c>
      <c r="EQ7" s="1" t="s">
        <v>123</v>
      </c>
      <c r="FQ7" s="1" t="s">
        <v>123</v>
      </c>
      <c r="FR7" t="s">
        <v>132</v>
      </c>
      <c r="GY7" t="s">
        <v>243</v>
      </c>
      <c r="GZ7" t="s">
        <v>244</v>
      </c>
      <c r="HA7" t="s">
        <v>245</v>
      </c>
      <c r="HB7" t="s">
        <v>186</v>
      </c>
      <c r="HC7">
        <v>1961</v>
      </c>
      <c r="HD7" t="str">
        <f>VLOOKUP(AnalizaCzyste[[#This Row],[Rok urodzenia]],KategorieWiekowe[],2,1)</f>
        <v>56-65 lat</v>
      </c>
      <c r="HE7" t="s">
        <v>246</v>
      </c>
      <c r="HG7" t="s">
        <v>247</v>
      </c>
    </row>
    <row r="8" spans="1:217" hidden="1" x14ac:dyDescent="0.45">
      <c r="A8">
        <v>6</v>
      </c>
      <c r="B8">
        <f>_xlfn.IFNA(VLOOKUP(AnalizaCzyste[[#This Row],[Zakończono wypełnianie]],Zakończone[],2,0),"BRAK")</f>
        <v>6</v>
      </c>
      <c r="C8">
        <f>COUNTA(P8:HI8)</f>
        <v>34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>
        <v>2013</v>
      </c>
      <c r="AK8" t="s">
        <v>126</v>
      </c>
      <c r="AL8" t="s">
        <v>251</v>
      </c>
      <c r="AM8" t="s">
        <v>162</v>
      </c>
      <c r="AN8" t="s">
        <v>162</v>
      </c>
      <c r="AO8" t="s">
        <v>151</v>
      </c>
      <c r="AP8" t="s">
        <v>132</v>
      </c>
      <c r="AQ8" t="s">
        <v>132</v>
      </c>
      <c r="AR8" t="s">
        <v>252</v>
      </c>
      <c r="AS8" t="s">
        <v>132</v>
      </c>
      <c r="AT8" t="s">
        <v>132</v>
      </c>
      <c r="AU8" t="s">
        <v>253</v>
      </c>
      <c r="AV8" t="s">
        <v>254</v>
      </c>
      <c r="AW8" t="s">
        <v>255</v>
      </c>
      <c r="AX8" t="s">
        <v>157</v>
      </c>
      <c r="AZ8" s="1" t="s">
        <v>123</v>
      </c>
      <c r="CT8" s="1" t="s">
        <v>123</v>
      </c>
      <c r="DD8" s="1" t="s">
        <v>123</v>
      </c>
      <c r="DN8" s="1" t="s">
        <v>123</v>
      </c>
      <c r="EQ8" s="1" t="s">
        <v>123</v>
      </c>
      <c r="FQ8" s="1" t="s">
        <v>123</v>
      </c>
      <c r="FR8" t="s">
        <v>132</v>
      </c>
      <c r="GY8" t="s">
        <v>256</v>
      </c>
      <c r="GZ8" t="s">
        <v>257</v>
      </c>
      <c r="HA8" t="s">
        <v>258</v>
      </c>
      <c r="HB8" t="s">
        <v>140</v>
      </c>
      <c r="HC8">
        <v>1988</v>
      </c>
      <c r="HD8" t="str">
        <f>VLOOKUP(AnalizaCzyste[[#This Row],[Rok urodzenia]],KategorieWiekowe[],2,1)</f>
        <v>26-35 lat</v>
      </c>
      <c r="HE8" t="s">
        <v>141</v>
      </c>
    </row>
    <row r="9" spans="1:217" hidden="1" x14ac:dyDescent="0.45">
      <c r="A9">
        <v>7</v>
      </c>
      <c r="B9">
        <f>_xlfn.IFNA(VLOOKUP(AnalizaCzyste[[#This Row],[Zakończono wypełnianie]],Zakończone[],2,0),"BRAK")</f>
        <v>7</v>
      </c>
      <c r="C9">
        <f>COUNTA(P9:HI9)</f>
        <v>39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>
        <v>2013</v>
      </c>
      <c r="AK9" t="s">
        <v>126</v>
      </c>
      <c r="AL9" t="s">
        <v>263</v>
      </c>
      <c r="AM9" t="s">
        <v>169</v>
      </c>
      <c r="AN9" t="s">
        <v>150</v>
      </c>
      <c r="AO9" t="s">
        <v>169</v>
      </c>
      <c r="AP9" t="s">
        <v>169</v>
      </c>
      <c r="AQ9" t="s">
        <v>169</v>
      </c>
      <c r="AR9">
        <v>4</v>
      </c>
      <c r="AS9" t="s">
        <v>153</v>
      </c>
      <c r="AT9" t="s">
        <v>153</v>
      </c>
      <c r="AU9" t="s">
        <v>264</v>
      </c>
      <c r="AV9" t="s">
        <v>265</v>
      </c>
      <c r="AW9" t="s">
        <v>266</v>
      </c>
      <c r="AX9" t="s">
        <v>157</v>
      </c>
      <c r="AZ9" s="1" t="s">
        <v>123</v>
      </c>
      <c r="CT9" s="1" t="s">
        <v>123</v>
      </c>
      <c r="DD9" s="1" t="s">
        <v>123</v>
      </c>
      <c r="DN9" s="1" t="s">
        <v>123</v>
      </c>
      <c r="EQ9" s="1" t="s">
        <v>123</v>
      </c>
      <c r="ER9" t="s">
        <v>180</v>
      </c>
      <c r="ES9" t="s">
        <v>132</v>
      </c>
      <c r="FQ9" s="1" t="s">
        <v>123</v>
      </c>
      <c r="FR9" t="s">
        <v>132</v>
      </c>
      <c r="FT9" t="s">
        <v>132</v>
      </c>
      <c r="GY9" t="s">
        <v>267</v>
      </c>
      <c r="GZ9" t="s">
        <v>267</v>
      </c>
      <c r="HA9" t="s">
        <v>267</v>
      </c>
      <c r="HB9" t="s">
        <v>186</v>
      </c>
      <c r="HC9">
        <v>1988</v>
      </c>
      <c r="HD9" t="str">
        <f>VLOOKUP(AnalizaCzyste[[#This Row],[Rok urodzenia]],KategorieWiekowe[],2,1)</f>
        <v>26-35 lat</v>
      </c>
      <c r="HE9" t="s">
        <v>220</v>
      </c>
      <c r="HG9" t="s">
        <v>268</v>
      </c>
      <c r="HH9" t="s">
        <v>268</v>
      </c>
    </row>
    <row r="10" spans="1:217" hidden="1" x14ac:dyDescent="0.45">
      <c r="A10">
        <v>8</v>
      </c>
      <c r="B10">
        <f>_xlfn.IFNA(VLOOKUP(AnalizaCzyste[[#This Row],[Zakończono wypełnianie]],Zakończone[],2,0),"BRAK")</f>
        <v>8</v>
      </c>
      <c r="C10">
        <f>COUNTA(P10:HI10)</f>
        <v>60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>
        <v>1973</v>
      </c>
      <c r="AK10" t="s">
        <v>148</v>
      </c>
      <c r="AL10" t="s">
        <v>272</v>
      </c>
      <c r="AM10" t="s">
        <v>169</v>
      </c>
      <c r="AN10" s="20" t="s">
        <v>169</v>
      </c>
      <c r="AO10" t="s">
        <v>150</v>
      </c>
      <c r="AP10" t="s">
        <v>129</v>
      </c>
      <c r="AQ10" t="s">
        <v>129</v>
      </c>
      <c r="AR10">
        <v>0</v>
      </c>
      <c r="AS10" t="s">
        <v>152</v>
      </c>
      <c r="AT10" t="s">
        <v>152</v>
      </c>
      <c r="AU10" t="s">
        <v>273</v>
      </c>
      <c r="AV10" t="s">
        <v>274</v>
      </c>
      <c r="AW10" t="s">
        <v>275</v>
      </c>
      <c r="AX10" t="s">
        <v>172</v>
      </c>
      <c r="AZ10" s="1" t="s">
        <v>159</v>
      </c>
      <c r="BA10">
        <v>3</v>
      </c>
      <c r="BB10" t="s">
        <v>160</v>
      </c>
      <c r="BC10" t="s">
        <v>276</v>
      </c>
      <c r="BD10" t="s">
        <v>148</v>
      </c>
      <c r="BE10" t="s">
        <v>277</v>
      </c>
      <c r="BF10" t="s">
        <v>169</v>
      </c>
      <c r="BG10" t="s">
        <v>169</v>
      </c>
      <c r="BH10" t="s">
        <v>236</v>
      </c>
      <c r="BI10" t="s">
        <v>236</v>
      </c>
      <c r="BJ10" t="s">
        <v>236</v>
      </c>
      <c r="BK10">
        <v>0</v>
      </c>
      <c r="BL10" t="s">
        <v>278</v>
      </c>
      <c r="BM10" t="s">
        <v>172</v>
      </c>
      <c r="BP10" t="s">
        <v>173</v>
      </c>
      <c r="CT10" s="1" t="s">
        <v>123</v>
      </c>
      <c r="DD10" s="1" t="s">
        <v>214</v>
      </c>
      <c r="DE10" t="s">
        <v>862</v>
      </c>
      <c r="DF10" t="s">
        <v>280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281</v>
      </c>
      <c r="DN10" s="1" t="s">
        <v>123</v>
      </c>
      <c r="EQ10" s="1" t="s">
        <v>123</v>
      </c>
      <c r="ER10" t="s">
        <v>180</v>
      </c>
      <c r="ES10" t="s">
        <v>132</v>
      </c>
      <c r="FQ10" s="1" t="s">
        <v>123</v>
      </c>
      <c r="FR10" t="s">
        <v>132</v>
      </c>
      <c r="FT10" t="s">
        <v>132</v>
      </c>
      <c r="GY10" t="s">
        <v>282</v>
      </c>
      <c r="GZ10" t="s">
        <v>283</v>
      </c>
      <c r="HA10" t="s">
        <v>284</v>
      </c>
      <c r="HB10" t="s">
        <v>186</v>
      </c>
      <c r="HC10">
        <v>1950</v>
      </c>
      <c r="HD10" t="str">
        <f>VLOOKUP(AnalizaCzyste[[#This Row],[Rok urodzenia]],KategorieWiekowe[],2,1)</f>
        <v>powyżej 65 lat</v>
      </c>
      <c r="HE10" t="s">
        <v>141</v>
      </c>
    </row>
    <row r="11" spans="1:217" hidden="1" x14ac:dyDescent="0.45">
      <c r="A11">
        <v>10</v>
      </c>
      <c r="B11">
        <f>_xlfn.IFNA(VLOOKUP(AnalizaCzyste[[#This Row],[Zakończono wypełnianie]],Zakończone[],2,0),"BRAK")</f>
        <v>9</v>
      </c>
      <c r="C11">
        <f>COUNTA(P11:HI11)</f>
        <v>35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>
        <v>2013</v>
      </c>
      <c r="AK11" t="s">
        <v>126</v>
      </c>
      <c r="AL11" t="s">
        <v>291</v>
      </c>
      <c r="AM11" t="s">
        <v>150</v>
      </c>
      <c r="AN11" t="s">
        <v>150</v>
      </c>
      <c r="AO11" t="s">
        <v>169</v>
      </c>
      <c r="AP11" t="s">
        <v>151</v>
      </c>
      <c r="AQ11" t="s">
        <v>162</v>
      </c>
      <c r="AR11">
        <v>1</v>
      </c>
      <c r="AS11" t="s">
        <v>131</v>
      </c>
      <c r="AT11" t="s">
        <v>153</v>
      </c>
      <c r="AU11" t="s">
        <v>292</v>
      </c>
      <c r="AV11" t="s">
        <v>293</v>
      </c>
      <c r="AW11" t="s">
        <v>294</v>
      </c>
      <c r="AX11" t="s">
        <v>157</v>
      </c>
      <c r="AZ11" s="1" t="s">
        <v>123</v>
      </c>
      <c r="CT11" s="1" t="s">
        <v>123</v>
      </c>
      <c r="DD11" s="1" t="s">
        <v>123</v>
      </c>
      <c r="DN11" s="1" t="s">
        <v>123</v>
      </c>
      <c r="EQ11" s="1" t="s">
        <v>123</v>
      </c>
      <c r="FQ11" s="1" t="s">
        <v>123</v>
      </c>
      <c r="FR11" t="s">
        <v>132</v>
      </c>
      <c r="FT11" t="s">
        <v>132</v>
      </c>
      <c r="GY11" t="s">
        <v>295</v>
      </c>
      <c r="GZ11" t="s">
        <v>296</v>
      </c>
      <c r="HA11" t="s">
        <v>297</v>
      </c>
      <c r="HB11" t="s">
        <v>186</v>
      </c>
      <c r="HC11">
        <v>1988</v>
      </c>
      <c r="HD11" t="str">
        <f>VLOOKUP(AnalizaCzyste[[#This Row],[Rok urodzenia]],KategorieWiekowe[],2,1)</f>
        <v>26-35 lat</v>
      </c>
      <c r="HE11" t="s">
        <v>141</v>
      </c>
    </row>
    <row r="12" spans="1:217" hidden="1" x14ac:dyDescent="0.45">
      <c r="A12">
        <v>11</v>
      </c>
      <c r="B12">
        <f>_xlfn.IFNA(VLOOKUP(AnalizaCzyste[[#This Row],[Zakończono wypełnianie]],Zakończone[],2,0),"BRAK")</f>
        <v>10</v>
      </c>
      <c r="C12">
        <f>COUNTA(P12:HI12)</f>
        <v>64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>
        <v>1986</v>
      </c>
      <c r="AK12" t="s">
        <v>126</v>
      </c>
      <c r="AL12" t="s">
        <v>301</v>
      </c>
      <c r="AM12" t="s">
        <v>150</v>
      </c>
      <c r="AN12" t="s">
        <v>150</v>
      </c>
      <c r="AO12" t="s">
        <v>162</v>
      </c>
      <c r="AP12" t="s">
        <v>151</v>
      </c>
      <c r="AQ12" t="s">
        <v>151</v>
      </c>
      <c r="AR12">
        <v>2</v>
      </c>
      <c r="AS12" t="s">
        <v>302</v>
      </c>
      <c r="AT12" t="s">
        <v>153</v>
      </c>
      <c r="AU12" t="s">
        <v>303</v>
      </c>
      <c r="AV12" t="s">
        <v>304</v>
      </c>
      <c r="AW12" t="s">
        <v>305</v>
      </c>
      <c r="AX12" t="s">
        <v>157</v>
      </c>
      <c r="AZ12" s="1" t="s">
        <v>159</v>
      </c>
      <c r="BA12">
        <v>1</v>
      </c>
      <c r="BB12" t="s">
        <v>223</v>
      </c>
      <c r="BC12">
        <v>2011</v>
      </c>
      <c r="BD12" t="s">
        <v>148</v>
      </c>
      <c r="BE12" t="s">
        <v>127</v>
      </c>
      <c r="BF12" t="s">
        <v>150</v>
      </c>
      <c r="BG12" t="s">
        <v>150</v>
      </c>
      <c r="BH12" t="s">
        <v>169</v>
      </c>
      <c r="BI12" t="s">
        <v>169</v>
      </c>
      <c r="BJ12" t="s">
        <v>169</v>
      </c>
      <c r="BK12">
        <v>1</v>
      </c>
      <c r="BL12" t="s">
        <v>306</v>
      </c>
      <c r="BM12" t="s">
        <v>157</v>
      </c>
      <c r="BO12" t="s">
        <v>307</v>
      </c>
      <c r="BP12" t="s">
        <v>173</v>
      </c>
      <c r="CT12" s="1" t="s">
        <v>123</v>
      </c>
      <c r="DD12" s="1" t="s">
        <v>214</v>
      </c>
      <c r="DE12" t="s">
        <v>191</v>
      </c>
      <c r="DF12" t="s">
        <v>308</v>
      </c>
      <c r="DG12" t="s">
        <v>150</v>
      </c>
      <c r="DH12" t="s">
        <v>150</v>
      </c>
      <c r="DI12" t="s">
        <v>162</v>
      </c>
      <c r="DJ12" t="s">
        <v>150</v>
      </c>
      <c r="DK12" t="s">
        <v>150</v>
      </c>
      <c r="DL12" t="s">
        <v>150</v>
      </c>
      <c r="DM12" t="s">
        <v>309</v>
      </c>
      <c r="DN12" s="1" t="s">
        <v>123</v>
      </c>
      <c r="EQ12" s="1" t="s">
        <v>123</v>
      </c>
      <c r="ER12" t="s">
        <v>180</v>
      </c>
      <c r="ES12" t="s">
        <v>132</v>
      </c>
      <c r="FQ12" s="1" t="s">
        <v>123</v>
      </c>
      <c r="FR12" t="s">
        <v>132</v>
      </c>
      <c r="FT12" t="s">
        <v>132</v>
      </c>
      <c r="GY12" t="s">
        <v>310</v>
      </c>
      <c r="GZ12" t="s">
        <v>311</v>
      </c>
      <c r="HA12" t="s">
        <v>312</v>
      </c>
      <c r="HB12" t="s">
        <v>186</v>
      </c>
      <c r="HC12">
        <v>1963</v>
      </c>
      <c r="HD12" t="str">
        <f>VLOOKUP(AnalizaCzyste[[#This Row],[Rok urodzenia]],KategorieWiekowe[],2,1)</f>
        <v>56-65 lat</v>
      </c>
      <c r="HE12" t="s">
        <v>141</v>
      </c>
      <c r="HF12" t="s">
        <v>313</v>
      </c>
      <c r="HG12" t="s">
        <v>314</v>
      </c>
      <c r="HH12" t="s">
        <v>315</v>
      </c>
    </row>
    <row r="13" spans="1:217" hidden="1" x14ac:dyDescent="0.45">
      <c r="A13">
        <v>12</v>
      </c>
      <c r="B13">
        <f>_xlfn.IFNA(VLOOKUP(AnalizaCzyste[[#This Row],[Zakończono wypełnianie]],Zakończone[],2,0),"BRAK")</f>
        <v>11</v>
      </c>
      <c r="C13">
        <f>COUNTA(P13:HI13)</f>
        <v>37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>
        <v>2010</v>
      </c>
      <c r="AK13" t="s">
        <v>126</v>
      </c>
      <c r="AL13" t="s">
        <v>319</v>
      </c>
      <c r="AM13" t="s">
        <v>236</v>
      </c>
      <c r="AN13" t="s">
        <v>128</v>
      </c>
      <c r="AO13" t="s">
        <v>162</v>
      </c>
      <c r="AP13" t="s">
        <v>162</v>
      </c>
      <c r="AQ13" t="s">
        <v>162</v>
      </c>
      <c r="AR13">
        <v>6</v>
      </c>
      <c r="AS13" t="s">
        <v>131</v>
      </c>
      <c r="AT13" t="s">
        <v>302</v>
      </c>
      <c r="AU13" t="s">
        <v>320</v>
      </c>
      <c r="AV13" t="s">
        <v>321</v>
      </c>
      <c r="AW13" t="s">
        <v>322</v>
      </c>
      <c r="AX13" t="s">
        <v>157</v>
      </c>
      <c r="AZ13" s="1" t="s">
        <v>123</v>
      </c>
      <c r="CT13" s="1" t="s">
        <v>123</v>
      </c>
      <c r="DD13" s="1" t="s">
        <v>123</v>
      </c>
      <c r="DN13" s="1" t="s">
        <v>123</v>
      </c>
      <c r="EQ13" s="1" t="s">
        <v>123</v>
      </c>
      <c r="ER13" t="s">
        <v>180</v>
      </c>
      <c r="ES13" t="s">
        <v>132</v>
      </c>
      <c r="FQ13" s="1" t="s">
        <v>123</v>
      </c>
      <c r="FR13" t="s">
        <v>132</v>
      </c>
      <c r="FT13" t="s">
        <v>132</v>
      </c>
      <c r="GY13" t="s">
        <v>323</v>
      </c>
      <c r="GZ13" t="s">
        <v>324</v>
      </c>
      <c r="HA13" t="s">
        <v>325</v>
      </c>
      <c r="HB13" t="s">
        <v>186</v>
      </c>
      <c r="HC13">
        <v>1985</v>
      </c>
      <c r="HD13" t="str">
        <f>VLOOKUP(AnalizaCzyste[[#This Row],[Rok urodzenia]],KategorieWiekowe[],2,1)</f>
        <v>26-35 lat</v>
      </c>
      <c r="HE13" t="s">
        <v>141</v>
      </c>
    </row>
    <row r="14" spans="1:217" hidden="1" x14ac:dyDescent="0.45">
      <c r="A14">
        <v>13</v>
      </c>
      <c r="B14">
        <f>_xlfn.IFNA(VLOOKUP(AnalizaCzyste[[#This Row],[Zakończono wypełnianie]],Zakończone[],2,0),"BRAK")</f>
        <v>12</v>
      </c>
      <c r="C14">
        <f>COUNTA(P14:HI14)</f>
        <v>37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>
        <v>2011</v>
      </c>
      <c r="AK14" t="s">
        <v>126</v>
      </c>
      <c r="AL14" t="s">
        <v>330</v>
      </c>
      <c r="AM14" t="s">
        <v>169</v>
      </c>
      <c r="AN14" t="s">
        <v>169</v>
      </c>
      <c r="AO14" t="s">
        <v>150</v>
      </c>
      <c r="AP14" t="s">
        <v>162</v>
      </c>
      <c r="AQ14" t="s">
        <v>169</v>
      </c>
      <c r="AR14" t="s">
        <v>331</v>
      </c>
      <c r="AS14" t="s">
        <v>302</v>
      </c>
      <c r="AT14" t="s">
        <v>226</v>
      </c>
      <c r="AU14" t="s">
        <v>332</v>
      </c>
      <c r="AV14" t="s">
        <v>333</v>
      </c>
      <c r="AW14" t="s">
        <v>334</v>
      </c>
      <c r="AX14" t="s">
        <v>157</v>
      </c>
      <c r="AY14" t="s">
        <v>335</v>
      </c>
      <c r="AZ14" s="1" t="s">
        <v>123</v>
      </c>
      <c r="CT14" s="1" t="s">
        <v>123</v>
      </c>
      <c r="DD14" s="1" t="s">
        <v>123</v>
      </c>
      <c r="DN14" s="1" t="s">
        <v>123</v>
      </c>
      <c r="EQ14" s="1" t="s">
        <v>123</v>
      </c>
      <c r="FQ14" s="1" t="s">
        <v>123</v>
      </c>
      <c r="FR14" t="s">
        <v>132</v>
      </c>
      <c r="GY14" t="s">
        <v>336</v>
      </c>
      <c r="GZ14" t="s">
        <v>337</v>
      </c>
      <c r="HA14" t="s">
        <v>338</v>
      </c>
      <c r="HB14" t="s">
        <v>186</v>
      </c>
      <c r="HC14">
        <v>1987</v>
      </c>
      <c r="HD14" t="str">
        <f>VLOOKUP(AnalizaCzyste[[#This Row],[Rok urodzenia]],KategorieWiekowe[],2,1)</f>
        <v>26-35 lat</v>
      </c>
      <c r="HE14" t="s">
        <v>246</v>
      </c>
      <c r="HG14" t="s">
        <v>339</v>
      </c>
      <c r="HH14" t="s">
        <v>340</v>
      </c>
    </row>
    <row r="15" spans="1:217" hidden="1" x14ac:dyDescent="0.45">
      <c r="A15">
        <v>16</v>
      </c>
      <c r="B15">
        <f>_xlfn.IFNA(VLOOKUP(AnalizaCzyste[[#This Row],[Zakończono wypełnianie]],Zakończone[],2,0),"BRAK")</f>
        <v>15</v>
      </c>
      <c r="C15">
        <f>COUNTA(P15:HI15)</f>
        <v>36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>
        <v>2010</v>
      </c>
      <c r="AK15" t="s">
        <v>126</v>
      </c>
      <c r="AL15" t="s">
        <v>127</v>
      </c>
      <c r="AM15" t="s">
        <v>150</v>
      </c>
      <c r="AN15" t="s">
        <v>128</v>
      </c>
      <c r="AO15" t="s">
        <v>151</v>
      </c>
      <c r="AP15" t="s">
        <v>162</v>
      </c>
      <c r="AQ15" t="s">
        <v>162</v>
      </c>
      <c r="AR15" t="s">
        <v>350</v>
      </c>
      <c r="AS15" t="s">
        <v>302</v>
      </c>
      <c r="AT15" t="s">
        <v>302</v>
      </c>
      <c r="AU15" t="s">
        <v>351</v>
      </c>
      <c r="AV15" t="s">
        <v>352</v>
      </c>
      <c r="AW15" t="s">
        <v>353</v>
      </c>
      <c r="AX15" t="s">
        <v>157</v>
      </c>
      <c r="AZ15" s="1" t="s">
        <v>123</v>
      </c>
      <c r="CT15" s="1" t="s">
        <v>123</v>
      </c>
      <c r="DD15" s="1" t="s">
        <v>123</v>
      </c>
      <c r="DN15" s="1" t="s">
        <v>123</v>
      </c>
      <c r="EQ15" s="1" t="s">
        <v>123</v>
      </c>
      <c r="ES15" t="s">
        <v>132</v>
      </c>
      <c r="FQ15" s="1" t="s">
        <v>123</v>
      </c>
      <c r="FR15" t="s">
        <v>132</v>
      </c>
      <c r="GY15" t="s">
        <v>354</v>
      </c>
      <c r="GZ15" t="s">
        <v>355</v>
      </c>
      <c r="HA15" t="s">
        <v>356</v>
      </c>
      <c r="HB15" t="s">
        <v>140</v>
      </c>
      <c r="HC15">
        <v>1986</v>
      </c>
      <c r="HD15" t="str">
        <f>VLOOKUP(AnalizaCzyste[[#This Row],[Rok urodzenia]],KategorieWiekowe[],2,1)</f>
        <v>26-35 lat</v>
      </c>
      <c r="HE15" t="s">
        <v>141</v>
      </c>
      <c r="HG15" t="s">
        <v>357</v>
      </c>
    </row>
    <row r="16" spans="1:217" hidden="1" x14ac:dyDescent="0.45">
      <c r="A16">
        <v>17</v>
      </c>
      <c r="B16">
        <f>_xlfn.IFNA(VLOOKUP(AnalizaCzyste[[#This Row],[Zakończono wypełnianie]],Zakończone[],2,0),"BRAK")</f>
        <v>16</v>
      </c>
      <c r="C16">
        <f>COUNTA(P16:HI16)</f>
        <v>35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>
        <v>2011</v>
      </c>
      <c r="AK16" t="s">
        <v>148</v>
      </c>
      <c r="AL16" t="s">
        <v>362</v>
      </c>
      <c r="AM16" t="s">
        <v>151</v>
      </c>
      <c r="AN16" t="s">
        <v>236</v>
      </c>
      <c r="AO16" t="s">
        <v>129</v>
      </c>
      <c r="AP16" t="s">
        <v>129</v>
      </c>
      <c r="AQ16" t="s">
        <v>129</v>
      </c>
      <c r="AR16">
        <v>4</v>
      </c>
      <c r="AS16" t="s">
        <v>131</v>
      </c>
      <c r="AT16" t="s">
        <v>131</v>
      </c>
      <c r="AU16" t="s">
        <v>363</v>
      </c>
      <c r="AV16" t="s">
        <v>364</v>
      </c>
      <c r="AW16" t="s">
        <v>365</v>
      </c>
      <c r="AX16" t="s">
        <v>157</v>
      </c>
      <c r="AZ16" s="1" t="s">
        <v>123</v>
      </c>
      <c r="CT16" s="1" t="s">
        <v>123</v>
      </c>
      <c r="DD16" s="1" t="s">
        <v>123</v>
      </c>
      <c r="DN16" s="1" t="s">
        <v>123</v>
      </c>
      <c r="EQ16" s="1" t="s">
        <v>123</v>
      </c>
      <c r="FQ16" s="1" t="s">
        <v>123</v>
      </c>
      <c r="FR16" t="s">
        <v>132</v>
      </c>
      <c r="GY16" t="s">
        <v>366</v>
      </c>
      <c r="GZ16" t="s">
        <v>367</v>
      </c>
      <c r="HA16" t="s">
        <v>368</v>
      </c>
      <c r="HB16" t="s">
        <v>140</v>
      </c>
      <c r="HC16">
        <v>1987</v>
      </c>
      <c r="HD16" t="str">
        <f>VLOOKUP(AnalizaCzyste[[#This Row],[Rok urodzenia]],KategorieWiekowe[],2,1)</f>
        <v>26-35 lat</v>
      </c>
      <c r="HE16" t="s">
        <v>141</v>
      </c>
      <c r="HG16" t="s">
        <v>369</v>
      </c>
    </row>
    <row r="17" spans="1:216" hidden="1" x14ac:dyDescent="0.45">
      <c r="A17">
        <v>21</v>
      </c>
      <c r="B17">
        <f>_xlfn.IFNA(VLOOKUP(AnalizaCzyste[[#This Row],[Zakończono wypełnianie]],Zakończone[],2,0),"BRAK")</f>
        <v>18</v>
      </c>
      <c r="C17">
        <f>COUNTA(P17:HI17)</f>
        <v>78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>
        <v>1985</v>
      </c>
      <c r="AK17" t="s">
        <v>148</v>
      </c>
      <c r="AL17" t="s">
        <v>382</v>
      </c>
      <c r="AM17" t="s">
        <v>169</v>
      </c>
      <c r="AN17" t="s">
        <v>169</v>
      </c>
      <c r="AO17" t="s">
        <v>128</v>
      </c>
      <c r="AP17" t="s">
        <v>236</v>
      </c>
      <c r="AQ17" t="s">
        <v>236</v>
      </c>
      <c r="AR17" t="s">
        <v>383</v>
      </c>
      <c r="AS17" t="s">
        <v>152</v>
      </c>
      <c r="AT17" t="s">
        <v>152</v>
      </c>
      <c r="AU17" t="s">
        <v>384</v>
      </c>
      <c r="AV17" t="s">
        <v>385</v>
      </c>
      <c r="AW17" t="s">
        <v>386</v>
      </c>
      <c r="AX17" t="s">
        <v>172</v>
      </c>
      <c r="AZ17" s="1" t="s">
        <v>123</v>
      </c>
      <c r="CT17" s="1" t="s">
        <v>387</v>
      </c>
      <c r="CU17" t="s">
        <v>388</v>
      </c>
      <c r="CV17" t="s">
        <v>389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390</v>
      </c>
      <c r="DD17" s="1" t="s">
        <v>214</v>
      </c>
      <c r="DE17" t="s">
        <v>388</v>
      </c>
      <c r="DF17" t="s">
        <v>2274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393</v>
      </c>
      <c r="DN17" s="1" t="s">
        <v>174</v>
      </c>
      <c r="DO17" t="s">
        <v>394</v>
      </c>
      <c r="DS17" t="s">
        <v>391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>
        <v>20</v>
      </c>
      <c r="EB17">
        <v>20</v>
      </c>
      <c r="EC17">
        <v>0</v>
      </c>
      <c r="ED17">
        <v>15</v>
      </c>
      <c r="EE17">
        <v>30</v>
      </c>
      <c r="EF17">
        <v>0</v>
      </c>
      <c r="EG17">
        <v>15</v>
      </c>
      <c r="EI17">
        <v>30</v>
      </c>
      <c r="EJ17">
        <v>20</v>
      </c>
      <c r="EK17">
        <v>0</v>
      </c>
      <c r="EL17">
        <v>10</v>
      </c>
      <c r="EM17">
        <v>25</v>
      </c>
      <c r="EN17">
        <v>0</v>
      </c>
      <c r="EO17">
        <v>15</v>
      </c>
      <c r="EQ17" s="1" t="s">
        <v>123</v>
      </c>
      <c r="ER17" t="s">
        <v>178</v>
      </c>
      <c r="ES17" t="s">
        <v>132</v>
      </c>
      <c r="FQ17" s="1" t="s">
        <v>123</v>
      </c>
      <c r="FR17" t="s">
        <v>132</v>
      </c>
      <c r="FT17" t="s">
        <v>132</v>
      </c>
      <c r="GY17" t="s">
        <v>395</v>
      </c>
      <c r="GZ17" t="s">
        <v>396</v>
      </c>
      <c r="HA17" t="s">
        <v>397</v>
      </c>
      <c r="HB17" t="s">
        <v>186</v>
      </c>
      <c r="HC17">
        <v>1960</v>
      </c>
      <c r="HD17" t="str">
        <f>VLOOKUP(AnalizaCzyste[[#This Row],[Rok urodzenia]],KategorieWiekowe[],2,1)</f>
        <v>56-65 lat</v>
      </c>
      <c r="HE17" t="s">
        <v>398</v>
      </c>
    </row>
    <row r="18" spans="1:216" hidden="1" x14ac:dyDescent="0.45">
      <c r="A18">
        <v>22</v>
      </c>
      <c r="B18">
        <f>_xlfn.IFNA(VLOOKUP(AnalizaCzyste[[#This Row],[Zakończono wypełnianie]],Zakończone[],2,0),"BRAK")</f>
        <v>19</v>
      </c>
      <c r="C18">
        <f>COUNTA(P18:HI18)</f>
        <v>38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>
        <v>2010</v>
      </c>
      <c r="AK18" t="s">
        <v>148</v>
      </c>
      <c r="AL18" t="s">
        <v>404</v>
      </c>
      <c r="AM18" t="s">
        <v>151</v>
      </c>
      <c r="AN18" t="s">
        <v>150</v>
      </c>
      <c r="AO18" t="s">
        <v>162</v>
      </c>
      <c r="AP18" t="s">
        <v>150</v>
      </c>
      <c r="AQ18" t="s">
        <v>150</v>
      </c>
      <c r="AR18" t="s">
        <v>405</v>
      </c>
      <c r="AS18" t="s">
        <v>131</v>
      </c>
      <c r="AT18" t="s">
        <v>302</v>
      </c>
      <c r="AU18" t="s">
        <v>406</v>
      </c>
      <c r="AV18" t="s">
        <v>407</v>
      </c>
      <c r="AW18" t="s">
        <v>408</v>
      </c>
      <c r="AX18" t="s">
        <v>230</v>
      </c>
      <c r="AZ18" s="1" t="s">
        <v>123</v>
      </c>
      <c r="CT18" s="1" t="s">
        <v>123</v>
      </c>
      <c r="DD18" s="1" t="s">
        <v>123</v>
      </c>
      <c r="DN18" s="1" t="s">
        <v>123</v>
      </c>
      <c r="EQ18" s="1" t="s">
        <v>123</v>
      </c>
      <c r="ER18" t="s">
        <v>180</v>
      </c>
      <c r="ES18" t="s">
        <v>132</v>
      </c>
      <c r="FQ18" s="1" t="s">
        <v>123</v>
      </c>
      <c r="FR18" t="s">
        <v>132</v>
      </c>
      <c r="FT18" t="s">
        <v>132</v>
      </c>
      <c r="GY18" t="s">
        <v>409</v>
      </c>
      <c r="GZ18" t="s">
        <v>410</v>
      </c>
      <c r="HA18" t="s">
        <v>411</v>
      </c>
      <c r="HB18" t="s">
        <v>140</v>
      </c>
      <c r="HC18">
        <v>1985</v>
      </c>
      <c r="HD18" t="str">
        <f>VLOOKUP(AnalizaCzyste[[#This Row],[Rok urodzenia]],KategorieWiekowe[],2,1)</f>
        <v>26-35 lat</v>
      </c>
      <c r="HE18" t="s">
        <v>398</v>
      </c>
      <c r="HG18" t="s">
        <v>412</v>
      </c>
    </row>
    <row r="19" spans="1:216" hidden="1" x14ac:dyDescent="0.45">
      <c r="A19">
        <v>26</v>
      </c>
      <c r="B19">
        <f>_xlfn.IFNA(VLOOKUP(AnalizaCzyste[[#This Row],[Zakończono wypełnianie]],Zakończone[],2,0),"BRAK")</f>
        <v>20</v>
      </c>
      <c r="C19">
        <f>COUNTA(P19:HI19)</f>
        <v>37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>
        <v>2011</v>
      </c>
      <c r="AK19" t="s">
        <v>148</v>
      </c>
      <c r="AL19" t="s">
        <v>429</v>
      </c>
      <c r="AM19" t="s">
        <v>162</v>
      </c>
      <c r="AN19" t="s">
        <v>162</v>
      </c>
      <c r="AO19" t="s">
        <v>128</v>
      </c>
      <c r="AP19" t="s">
        <v>128</v>
      </c>
      <c r="AQ19" t="s">
        <v>128</v>
      </c>
      <c r="AR19">
        <v>2</v>
      </c>
      <c r="AS19" t="s">
        <v>131</v>
      </c>
      <c r="AT19" t="s">
        <v>302</v>
      </c>
      <c r="AU19" t="s">
        <v>430</v>
      </c>
      <c r="AV19" t="s">
        <v>431</v>
      </c>
      <c r="AW19" t="s">
        <v>432</v>
      </c>
      <c r="AX19" t="s">
        <v>157</v>
      </c>
      <c r="AZ19" s="1" t="s">
        <v>123</v>
      </c>
      <c r="CT19" s="1" t="s">
        <v>123</v>
      </c>
      <c r="DD19" s="1" t="s">
        <v>123</v>
      </c>
      <c r="DN19" s="1" t="s">
        <v>123</v>
      </c>
      <c r="EQ19" s="1" t="s">
        <v>123</v>
      </c>
      <c r="ER19" t="s">
        <v>180</v>
      </c>
      <c r="ES19" t="s">
        <v>132</v>
      </c>
      <c r="FQ19" s="1" t="s">
        <v>123</v>
      </c>
      <c r="FR19" t="s">
        <v>132</v>
      </c>
      <c r="FT19" t="s">
        <v>132</v>
      </c>
      <c r="GY19" t="s">
        <v>433</v>
      </c>
      <c r="GZ19" t="s">
        <v>434</v>
      </c>
      <c r="HA19" t="s">
        <v>435</v>
      </c>
      <c r="HB19" t="s">
        <v>140</v>
      </c>
      <c r="HC19">
        <v>1987</v>
      </c>
      <c r="HD19" t="str">
        <f>VLOOKUP(AnalizaCzyste[[#This Row],[Rok urodzenia]],KategorieWiekowe[],2,1)</f>
        <v>26-35 lat</v>
      </c>
      <c r="HE19" t="s">
        <v>141</v>
      </c>
    </row>
    <row r="20" spans="1:216" hidden="1" x14ac:dyDescent="0.45">
      <c r="A20">
        <v>30</v>
      </c>
      <c r="B20">
        <f>_xlfn.IFNA(VLOOKUP(AnalizaCzyste[[#This Row],[Zakończono wypełnianie]],Zakończone[],2,0),"BRAK")</f>
        <v>21</v>
      </c>
      <c r="C20">
        <f>COUNTA(P20:HI20)</f>
        <v>48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>
        <v>2019</v>
      </c>
      <c r="AK20" t="s">
        <v>148</v>
      </c>
      <c r="AL20" t="s">
        <v>446</v>
      </c>
      <c r="AM20" t="s">
        <v>150</v>
      </c>
      <c r="AN20" t="s">
        <v>150</v>
      </c>
      <c r="AO20" t="s">
        <v>169</v>
      </c>
      <c r="AP20" t="s">
        <v>169</v>
      </c>
      <c r="AQ20" t="s">
        <v>132</v>
      </c>
      <c r="AR20" t="s">
        <v>237</v>
      </c>
      <c r="AS20" t="s">
        <v>226</v>
      </c>
      <c r="AT20" t="s">
        <v>132</v>
      </c>
      <c r="AU20" t="s">
        <v>447</v>
      </c>
      <c r="AV20" t="s">
        <v>448</v>
      </c>
      <c r="AW20" t="s">
        <v>449</v>
      </c>
      <c r="AX20" t="s">
        <v>157</v>
      </c>
      <c r="AZ20" s="1" t="s">
        <v>123</v>
      </c>
      <c r="CT20" s="1" t="s">
        <v>387</v>
      </c>
      <c r="CU20" t="s">
        <v>445</v>
      </c>
      <c r="CV20" t="s">
        <v>450</v>
      </c>
      <c r="CW20" t="s">
        <v>169</v>
      </c>
      <c r="CX20" t="s">
        <v>169</v>
      </c>
      <c r="CY20" t="s">
        <v>169</v>
      </c>
      <c r="CZ20" t="s">
        <v>150</v>
      </c>
      <c r="DA20" t="s">
        <v>150</v>
      </c>
      <c r="DB20" t="s">
        <v>150</v>
      </c>
      <c r="DC20" t="s">
        <v>451</v>
      </c>
      <c r="DD20" s="1" t="s">
        <v>123</v>
      </c>
      <c r="DN20" s="1" t="s">
        <v>123</v>
      </c>
      <c r="EQ20" s="1" t="s">
        <v>123</v>
      </c>
      <c r="ER20" t="s">
        <v>180</v>
      </c>
      <c r="ES20" t="s">
        <v>132</v>
      </c>
      <c r="FQ20" s="1" t="s">
        <v>123</v>
      </c>
      <c r="FR20" t="s">
        <v>132</v>
      </c>
      <c r="FT20" t="s">
        <v>132</v>
      </c>
      <c r="GY20" t="s">
        <v>452</v>
      </c>
      <c r="GZ20" t="s">
        <v>453</v>
      </c>
      <c r="HA20" t="s">
        <v>454</v>
      </c>
      <c r="HB20" t="s">
        <v>140</v>
      </c>
      <c r="HC20">
        <v>1994</v>
      </c>
      <c r="HD20" t="str">
        <f>VLOOKUP(AnalizaCzyste[[#This Row],[Rok urodzenia]],KategorieWiekowe[],2,1)</f>
        <v>26-35 lat</v>
      </c>
      <c r="HE20" t="s">
        <v>220</v>
      </c>
      <c r="HG20" t="s">
        <v>455</v>
      </c>
      <c r="HH20" t="s">
        <v>456</v>
      </c>
    </row>
    <row r="21" spans="1:216" hidden="1" x14ac:dyDescent="0.45">
      <c r="A21">
        <v>32</v>
      </c>
      <c r="B21">
        <f>_xlfn.IFNA(VLOOKUP(AnalizaCzyste[[#This Row],[Zakończono wypełnianie]],Zakończone[],2,0),"BRAK")</f>
        <v>22</v>
      </c>
      <c r="C21">
        <f>COUNTA(P21:HI21)</f>
        <v>38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Z21" s="1" t="s">
        <v>123</v>
      </c>
      <c r="CT21" s="1" t="s">
        <v>123</v>
      </c>
      <c r="DD21" s="1" t="s">
        <v>123</v>
      </c>
      <c r="DN21" s="1" t="s">
        <v>123</v>
      </c>
      <c r="EQ21" s="1" t="s">
        <v>123</v>
      </c>
      <c r="ER21" t="s">
        <v>180</v>
      </c>
      <c r="ES21" t="s">
        <v>132</v>
      </c>
      <c r="FQ21" s="1" t="s">
        <v>123</v>
      </c>
      <c r="FR21" t="s">
        <v>132</v>
      </c>
      <c r="FT21" t="s">
        <v>132</v>
      </c>
      <c r="GY21" t="s">
        <v>468</v>
      </c>
      <c r="GZ21" t="s">
        <v>469</v>
      </c>
      <c r="HA21" t="s">
        <v>142</v>
      </c>
      <c r="HB21" t="s">
        <v>140</v>
      </c>
      <c r="HC21">
        <v>1996</v>
      </c>
      <c r="HD21" t="str">
        <f>VLOOKUP(AnalizaCzyste[[#This Row],[Rok urodzenia]],KategorieWiekowe[],2,1)</f>
        <v>poniżej 26 lat</v>
      </c>
      <c r="HE21" t="s">
        <v>141</v>
      </c>
      <c r="HG21" t="s">
        <v>470</v>
      </c>
      <c r="HH21" t="s">
        <v>471</v>
      </c>
    </row>
    <row r="22" spans="1:216" hidden="1" x14ac:dyDescent="0.45">
      <c r="A22">
        <v>33</v>
      </c>
      <c r="B22">
        <f>_xlfn.IFNA(VLOOKUP(AnalizaCzyste[[#This Row],[Zakończono wypełnianie]],Zakończone[],2,0),"BRAK")</f>
        <v>23</v>
      </c>
      <c r="C22">
        <f>COUNTA(P22:HI22)</f>
        <v>31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Z22" s="1" t="s">
        <v>123</v>
      </c>
      <c r="CT22" s="1" t="s">
        <v>123</v>
      </c>
      <c r="DD22" s="1" t="s">
        <v>123</v>
      </c>
      <c r="DN22" s="1" t="s">
        <v>123</v>
      </c>
      <c r="EQ22" s="1" t="s">
        <v>123</v>
      </c>
      <c r="FQ22" s="1" t="s">
        <v>123</v>
      </c>
      <c r="FR22" t="s">
        <v>132</v>
      </c>
      <c r="GY22" t="s">
        <v>480</v>
      </c>
      <c r="GZ22" t="s">
        <v>481</v>
      </c>
      <c r="HA22" t="s">
        <v>482</v>
      </c>
      <c r="HB22" t="s">
        <v>140</v>
      </c>
      <c r="HC22">
        <v>1996</v>
      </c>
      <c r="HD22" t="str">
        <f>VLOOKUP(AnalizaCzyste[[#This Row],[Rok urodzenia]],KategorieWiekowe[],2,1)</f>
        <v>poniżej 26 lat</v>
      </c>
      <c r="HE22" t="s">
        <v>483</v>
      </c>
    </row>
    <row r="23" spans="1:216" hidden="1" x14ac:dyDescent="0.45">
      <c r="A23">
        <v>34</v>
      </c>
      <c r="B23">
        <f>_xlfn.IFNA(VLOOKUP(AnalizaCzyste[[#This Row],[Zakończono wypełnianie]],Zakończone[],2,0),"BRAK")</f>
        <v>24</v>
      </c>
      <c r="C23">
        <f>COUNTA(P23:HI23)</f>
        <v>38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>
        <v>2018</v>
      </c>
      <c r="AK23" t="s">
        <v>148</v>
      </c>
      <c r="AL23" t="s">
        <v>487</v>
      </c>
      <c r="AM23" t="s">
        <v>162</v>
      </c>
      <c r="AN23" t="s">
        <v>162</v>
      </c>
      <c r="AO23" t="s">
        <v>151</v>
      </c>
      <c r="AP23" t="s">
        <v>129</v>
      </c>
      <c r="AQ23" t="s">
        <v>151</v>
      </c>
      <c r="AR23">
        <v>2</v>
      </c>
      <c r="AS23" t="s">
        <v>131</v>
      </c>
      <c r="AT23" t="s">
        <v>153</v>
      </c>
      <c r="AU23" t="s">
        <v>488</v>
      </c>
      <c r="AV23" t="s">
        <v>489</v>
      </c>
      <c r="AW23" t="s">
        <v>490</v>
      </c>
      <c r="AX23" t="s">
        <v>157</v>
      </c>
      <c r="AZ23" s="1" t="s">
        <v>123</v>
      </c>
      <c r="CT23" s="1" t="s">
        <v>123</v>
      </c>
      <c r="DD23" s="1" t="s">
        <v>123</v>
      </c>
      <c r="DN23" s="1" t="s">
        <v>123</v>
      </c>
      <c r="EQ23" s="1" t="s">
        <v>123</v>
      </c>
      <c r="ER23" t="s">
        <v>180</v>
      </c>
      <c r="FQ23" s="1" t="s">
        <v>123</v>
      </c>
      <c r="FR23" t="s">
        <v>132</v>
      </c>
      <c r="FT23" t="s">
        <v>132</v>
      </c>
      <c r="GY23" t="s">
        <v>491</v>
      </c>
      <c r="GZ23" t="s">
        <v>492</v>
      </c>
      <c r="HA23" t="s">
        <v>493</v>
      </c>
      <c r="HB23" t="s">
        <v>186</v>
      </c>
      <c r="HC23">
        <v>1994</v>
      </c>
      <c r="HD23" t="str">
        <f>VLOOKUP(AnalizaCzyste[[#This Row],[Rok urodzenia]],KategorieWiekowe[],2,1)</f>
        <v>26-35 lat</v>
      </c>
      <c r="HE23" t="s">
        <v>483</v>
      </c>
      <c r="HG23" t="s">
        <v>494</v>
      </c>
      <c r="HH23" t="s">
        <v>495</v>
      </c>
    </row>
    <row r="24" spans="1:216" hidden="1" x14ac:dyDescent="0.45">
      <c r="A24">
        <v>37</v>
      </c>
      <c r="B24">
        <f>_xlfn.IFNA(VLOOKUP(AnalizaCzyste[[#This Row],[Zakończono wypełnianie]],Zakończone[],2,0),"BRAK")</f>
        <v>25</v>
      </c>
      <c r="C24">
        <f>COUNTA(P24:HI24)</f>
        <v>39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>
        <v>2019</v>
      </c>
      <c r="AK24" t="s">
        <v>148</v>
      </c>
      <c r="AL24" t="s">
        <v>502</v>
      </c>
      <c r="AM24" t="s">
        <v>162</v>
      </c>
      <c r="AN24" t="s">
        <v>162</v>
      </c>
      <c r="AO24" t="s">
        <v>162</v>
      </c>
      <c r="AP24" t="s">
        <v>150</v>
      </c>
      <c r="AQ24" t="s">
        <v>132</v>
      </c>
      <c r="AR24">
        <v>0</v>
      </c>
      <c r="AS24" t="s">
        <v>153</v>
      </c>
      <c r="AT24" t="s">
        <v>132</v>
      </c>
      <c r="AU24" t="s">
        <v>503</v>
      </c>
      <c r="AV24" t="s">
        <v>504</v>
      </c>
      <c r="AW24" t="s">
        <v>505</v>
      </c>
      <c r="AX24" t="s">
        <v>157</v>
      </c>
      <c r="AZ24" s="1" t="s">
        <v>123</v>
      </c>
      <c r="CT24" s="1" t="s">
        <v>123</v>
      </c>
      <c r="DD24" s="1" t="s">
        <v>123</v>
      </c>
      <c r="DN24" s="1" t="s">
        <v>123</v>
      </c>
      <c r="EQ24" s="1" t="s">
        <v>123</v>
      </c>
      <c r="ER24" t="s">
        <v>180</v>
      </c>
      <c r="ES24" t="s">
        <v>132</v>
      </c>
      <c r="FQ24" s="1" t="s">
        <v>123</v>
      </c>
      <c r="FR24" t="s">
        <v>132</v>
      </c>
      <c r="FT24" t="s">
        <v>132</v>
      </c>
      <c r="GY24" t="s">
        <v>506</v>
      </c>
      <c r="GZ24" t="s">
        <v>507</v>
      </c>
      <c r="HA24" t="s">
        <v>508</v>
      </c>
      <c r="HB24" t="s">
        <v>140</v>
      </c>
      <c r="HC24">
        <v>1994</v>
      </c>
      <c r="HD24" t="str">
        <f>VLOOKUP(AnalizaCzyste[[#This Row],[Rok urodzenia]],KategorieWiekowe[],2,1)</f>
        <v>26-35 lat</v>
      </c>
      <c r="HE24" t="s">
        <v>220</v>
      </c>
      <c r="HG24" t="s">
        <v>509</v>
      </c>
      <c r="HH24" t="s">
        <v>510</v>
      </c>
    </row>
    <row r="25" spans="1:216" hidden="1" x14ac:dyDescent="0.45">
      <c r="A25">
        <v>38</v>
      </c>
      <c r="B25">
        <f>_xlfn.IFNA(VLOOKUP(AnalizaCzyste[[#This Row],[Zakończono wypełnianie]],Zakończone[],2,0),"BRAK")</f>
        <v>26</v>
      </c>
      <c r="C25">
        <f>COUNTA(P25:HI25)</f>
        <v>46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>
        <v>2018</v>
      </c>
      <c r="AK25" t="s">
        <v>148</v>
      </c>
      <c r="AL25" t="s">
        <v>514</v>
      </c>
      <c r="AM25" t="s">
        <v>150</v>
      </c>
      <c r="AN25" t="s">
        <v>169</v>
      </c>
      <c r="AO25" t="s">
        <v>169</v>
      </c>
      <c r="AP25" t="s">
        <v>150</v>
      </c>
      <c r="AQ25" t="s">
        <v>132</v>
      </c>
      <c r="AR25" t="s">
        <v>515</v>
      </c>
      <c r="AS25" t="s">
        <v>302</v>
      </c>
      <c r="AT25" t="s">
        <v>132</v>
      </c>
      <c r="AU25" t="s">
        <v>516</v>
      </c>
      <c r="AV25" t="s">
        <v>517</v>
      </c>
      <c r="AW25" t="s">
        <v>142</v>
      </c>
      <c r="AX25" t="s">
        <v>157</v>
      </c>
      <c r="AZ25" s="1" t="s">
        <v>123</v>
      </c>
      <c r="CT25" s="1" t="s">
        <v>123</v>
      </c>
      <c r="DD25" s="1" t="s">
        <v>214</v>
      </c>
      <c r="DE25" t="s">
        <v>445</v>
      </c>
      <c r="DF25" t="s">
        <v>518</v>
      </c>
      <c r="DG25" t="s">
        <v>169</v>
      </c>
      <c r="DH25" t="s">
        <v>150</v>
      </c>
      <c r="DI25" t="s">
        <v>162</v>
      </c>
      <c r="DJ25" t="s">
        <v>150</v>
      </c>
      <c r="DK25" t="s">
        <v>150</v>
      </c>
      <c r="DL25" t="s">
        <v>151</v>
      </c>
      <c r="DN25" s="1" t="s">
        <v>123</v>
      </c>
      <c r="EQ25" s="1" t="s">
        <v>123</v>
      </c>
      <c r="ER25" t="s">
        <v>180</v>
      </c>
      <c r="ES25" t="s">
        <v>132</v>
      </c>
      <c r="FQ25" s="1" t="s">
        <v>123</v>
      </c>
      <c r="FR25" t="s">
        <v>132</v>
      </c>
      <c r="FT25" t="s">
        <v>132</v>
      </c>
      <c r="GY25" t="s">
        <v>519</v>
      </c>
      <c r="GZ25" t="s">
        <v>520</v>
      </c>
      <c r="HA25" t="s">
        <v>142</v>
      </c>
      <c r="HB25" t="s">
        <v>186</v>
      </c>
      <c r="HC25">
        <v>1994</v>
      </c>
      <c r="HD25" t="str">
        <f>VLOOKUP(AnalizaCzyste[[#This Row],[Rok urodzenia]],KategorieWiekowe[],2,1)</f>
        <v>26-35 lat</v>
      </c>
      <c r="HE25" t="s">
        <v>141</v>
      </c>
      <c r="HH25" t="s">
        <v>521</v>
      </c>
    </row>
    <row r="26" spans="1:216" hidden="1" x14ac:dyDescent="0.45">
      <c r="A26">
        <v>41</v>
      </c>
      <c r="B26">
        <f>_xlfn.IFNA(VLOOKUP(AnalizaCzyste[[#This Row],[Zakończono wypełnianie]],Zakończone[],2,0),"BRAK")</f>
        <v>27</v>
      </c>
      <c r="C26">
        <f>COUNTA(P26:HI26)</f>
        <v>33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Z26" s="1" t="s">
        <v>123</v>
      </c>
      <c r="CT26" s="1" t="s">
        <v>123</v>
      </c>
      <c r="DD26" s="1" t="s">
        <v>123</v>
      </c>
      <c r="DN26" s="1" t="s">
        <v>123</v>
      </c>
      <c r="EQ26" s="1" t="s">
        <v>123</v>
      </c>
      <c r="FQ26" s="1" t="s">
        <v>123</v>
      </c>
      <c r="FR26" t="s">
        <v>132</v>
      </c>
      <c r="GY26" t="s">
        <v>534</v>
      </c>
      <c r="GZ26" t="s">
        <v>535</v>
      </c>
      <c r="HA26" t="s">
        <v>532</v>
      </c>
      <c r="HB26" t="s">
        <v>140</v>
      </c>
      <c r="HC26">
        <v>1996</v>
      </c>
      <c r="HD26" t="str">
        <f>VLOOKUP(AnalizaCzyste[[#This Row],[Rok urodzenia]],KategorieWiekowe[],2,1)</f>
        <v>poniżej 26 lat</v>
      </c>
      <c r="HE26" t="s">
        <v>483</v>
      </c>
      <c r="HG26" t="s">
        <v>536</v>
      </c>
      <c r="HH26" t="s">
        <v>537</v>
      </c>
    </row>
    <row r="27" spans="1:216" hidden="1" x14ac:dyDescent="0.45">
      <c r="A27">
        <v>45</v>
      </c>
      <c r="B27">
        <f>_xlfn.IFNA(VLOOKUP(AnalizaCzyste[[#This Row],[Zakończono wypełnianie]],Zakończone[],2,0),"BRAK")</f>
        <v>28</v>
      </c>
      <c r="C27">
        <f>COUNTA(P27:HI27)</f>
        <v>36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>
        <v>2019</v>
      </c>
      <c r="AK27" t="s">
        <v>148</v>
      </c>
      <c r="AL27" t="s">
        <v>554</v>
      </c>
      <c r="AM27" t="s">
        <v>162</v>
      </c>
      <c r="AN27" t="s">
        <v>162</v>
      </c>
      <c r="AO27" t="s">
        <v>236</v>
      </c>
      <c r="AP27" t="s">
        <v>151</v>
      </c>
      <c r="AQ27" t="s">
        <v>162</v>
      </c>
      <c r="AR27" t="s">
        <v>237</v>
      </c>
      <c r="AS27" t="s">
        <v>132</v>
      </c>
      <c r="AT27" t="s">
        <v>132</v>
      </c>
      <c r="AU27" t="s">
        <v>555</v>
      </c>
      <c r="AV27" t="s">
        <v>556</v>
      </c>
      <c r="AW27" t="s">
        <v>557</v>
      </c>
      <c r="AX27" t="s">
        <v>230</v>
      </c>
      <c r="AZ27" s="1" t="s">
        <v>123</v>
      </c>
      <c r="CT27" s="1" t="s">
        <v>123</v>
      </c>
      <c r="DD27" s="1" t="s">
        <v>123</v>
      </c>
      <c r="DN27" s="1" t="s">
        <v>123</v>
      </c>
      <c r="EQ27" s="1" t="s">
        <v>123</v>
      </c>
      <c r="FQ27" s="1" t="s">
        <v>123</v>
      </c>
      <c r="FR27" t="s">
        <v>132</v>
      </c>
      <c r="GY27" t="s">
        <v>558</v>
      </c>
      <c r="GZ27" t="s">
        <v>559</v>
      </c>
      <c r="HA27" t="s">
        <v>560</v>
      </c>
      <c r="HB27" t="s">
        <v>140</v>
      </c>
      <c r="HC27">
        <v>1994</v>
      </c>
      <c r="HD27" t="str">
        <f>VLOOKUP(AnalizaCzyste[[#This Row],[Rok urodzenia]],KategorieWiekowe[],2,1)</f>
        <v>26-35 lat</v>
      </c>
      <c r="HE27" t="s">
        <v>483</v>
      </c>
      <c r="HG27" t="s">
        <v>561</v>
      </c>
      <c r="HH27" t="s">
        <v>386</v>
      </c>
    </row>
    <row r="28" spans="1:216" hidden="1" x14ac:dyDescent="0.45">
      <c r="A28">
        <v>47</v>
      </c>
      <c r="B28">
        <f>_xlfn.IFNA(VLOOKUP(AnalizaCzyste[[#This Row],[Zakończono wypełnianie]],Zakończone[],2,0),"BRAK")</f>
        <v>29</v>
      </c>
      <c r="C28">
        <f>COUNTA(P28:HI28)</f>
        <v>34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Z28" s="1" t="s">
        <v>123</v>
      </c>
      <c r="CT28" s="1" t="s">
        <v>123</v>
      </c>
      <c r="DD28" s="1" t="s">
        <v>123</v>
      </c>
      <c r="DN28" s="1" t="s">
        <v>123</v>
      </c>
      <c r="EQ28" s="1" t="s">
        <v>123</v>
      </c>
      <c r="FQ28" s="1" t="s">
        <v>123</v>
      </c>
      <c r="FR28" t="s">
        <v>132</v>
      </c>
      <c r="FT28" t="s">
        <v>132</v>
      </c>
      <c r="GY28" t="s">
        <v>578</v>
      </c>
      <c r="GZ28" t="s">
        <v>579</v>
      </c>
      <c r="HA28" t="s">
        <v>580</v>
      </c>
      <c r="HB28" t="s">
        <v>186</v>
      </c>
      <c r="HC28">
        <v>1997</v>
      </c>
      <c r="HD28" t="str">
        <f>VLOOKUP(AnalizaCzyste[[#This Row],[Rok urodzenia]],KategorieWiekowe[],2,1)</f>
        <v>poniżej 26 lat</v>
      </c>
      <c r="HE28" t="s">
        <v>483</v>
      </c>
      <c r="HG28" t="s">
        <v>532</v>
      </c>
    </row>
    <row r="29" spans="1:216" hidden="1" x14ac:dyDescent="0.45">
      <c r="A29">
        <v>50</v>
      </c>
      <c r="B29">
        <f>_xlfn.IFNA(VLOOKUP(AnalizaCzyste[[#This Row],[Zakończono wypełnianie]],Zakończone[],2,0),"BRAK")</f>
        <v>30</v>
      </c>
      <c r="C29">
        <f>COUNTA(P29:HI29)</f>
        <v>32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Z29" s="1" t="s">
        <v>123</v>
      </c>
      <c r="CT29" s="1" t="s">
        <v>123</v>
      </c>
      <c r="DD29" s="1" t="s">
        <v>123</v>
      </c>
      <c r="DN29" s="1" t="s">
        <v>123</v>
      </c>
      <c r="EQ29" s="1" t="s">
        <v>123</v>
      </c>
      <c r="FQ29" s="1" t="s">
        <v>123</v>
      </c>
      <c r="FR29" t="s">
        <v>132</v>
      </c>
      <c r="GY29" t="s">
        <v>592</v>
      </c>
      <c r="GZ29" t="s">
        <v>593</v>
      </c>
      <c r="HA29" t="s">
        <v>594</v>
      </c>
      <c r="HB29" t="s">
        <v>140</v>
      </c>
      <c r="HC29">
        <v>1997</v>
      </c>
      <c r="HD29" t="str">
        <f>VLOOKUP(AnalizaCzyste[[#This Row],[Rok urodzenia]],KategorieWiekowe[],2,1)</f>
        <v>poniżej 26 lat</v>
      </c>
      <c r="HE29" t="s">
        <v>141</v>
      </c>
      <c r="HG29" t="s">
        <v>595</v>
      </c>
    </row>
    <row r="30" spans="1:216" hidden="1" x14ac:dyDescent="0.45">
      <c r="A30">
        <v>52</v>
      </c>
      <c r="B30">
        <f>_xlfn.IFNA(VLOOKUP(AnalizaCzyste[[#This Row],[Zakończono wypełnianie]],Zakończone[],2,0),"BRAK")</f>
        <v>31</v>
      </c>
      <c r="C30">
        <f>COUNTA(P30:HI30)</f>
        <v>38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>
        <v>2018</v>
      </c>
      <c r="AK30" t="s">
        <v>148</v>
      </c>
      <c r="AL30" t="s">
        <v>601</v>
      </c>
      <c r="AM30" t="s">
        <v>150</v>
      </c>
      <c r="AN30" t="s">
        <v>162</v>
      </c>
      <c r="AO30" t="s">
        <v>128</v>
      </c>
      <c r="AP30" t="s">
        <v>129</v>
      </c>
      <c r="AQ30" t="s">
        <v>132</v>
      </c>
      <c r="AR30" t="s">
        <v>602</v>
      </c>
      <c r="AS30" t="s">
        <v>131</v>
      </c>
      <c r="AT30" t="s">
        <v>132</v>
      </c>
      <c r="AV30" t="s">
        <v>603</v>
      </c>
      <c r="AW30" t="s">
        <v>604</v>
      </c>
      <c r="AX30" t="s">
        <v>157</v>
      </c>
      <c r="AZ30" s="1" t="s">
        <v>123</v>
      </c>
      <c r="CT30" s="1" t="s">
        <v>123</v>
      </c>
      <c r="DD30" s="1" t="s">
        <v>123</v>
      </c>
      <c r="DN30" s="1" t="s">
        <v>123</v>
      </c>
      <c r="EQ30" s="1" t="s">
        <v>123</v>
      </c>
      <c r="ER30" t="s">
        <v>180</v>
      </c>
      <c r="ES30" t="s">
        <v>132</v>
      </c>
      <c r="FQ30" s="1" t="s">
        <v>123</v>
      </c>
      <c r="FR30" t="s">
        <v>132</v>
      </c>
      <c r="FT30" t="s">
        <v>132</v>
      </c>
      <c r="GY30" t="s">
        <v>605</v>
      </c>
      <c r="GZ30" t="s">
        <v>606</v>
      </c>
      <c r="HA30" t="s">
        <v>607</v>
      </c>
      <c r="HB30" t="s">
        <v>140</v>
      </c>
      <c r="HC30">
        <v>1994</v>
      </c>
      <c r="HD30" t="str">
        <f>VLOOKUP(AnalizaCzyste[[#This Row],[Rok urodzenia]],KategorieWiekowe[],2,1)</f>
        <v>26-35 lat</v>
      </c>
      <c r="HE30" t="s">
        <v>483</v>
      </c>
      <c r="HG30" t="s">
        <v>608</v>
      </c>
      <c r="HH30" t="s">
        <v>609</v>
      </c>
    </row>
    <row r="31" spans="1:216" hidden="1" x14ac:dyDescent="0.45">
      <c r="A31">
        <v>53</v>
      </c>
      <c r="B31">
        <f>_xlfn.IFNA(VLOOKUP(AnalizaCzyste[[#This Row],[Zakończono wypełnianie]],Zakończone[],2,0),"BRAK")</f>
        <v>32</v>
      </c>
      <c r="C31">
        <f>COUNTA(P31:HI31)</f>
        <v>33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Z31" s="1" t="s">
        <v>123</v>
      </c>
      <c r="CT31" s="1" t="s">
        <v>123</v>
      </c>
      <c r="DD31" s="1" t="s">
        <v>123</v>
      </c>
      <c r="DN31" s="1" t="s">
        <v>123</v>
      </c>
      <c r="EQ31" s="1" t="s">
        <v>123</v>
      </c>
      <c r="FQ31" s="1" t="s">
        <v>123</v>
      </c>
      <c r="FR31" t="s">
        <v>132</v>
      </c>
      <c r="GY31" t="s">
        <v>617</v>
      </c>
      <c r="GZ31" t="s">
        <v>618</v>
      </c>
      <c r="HA31" t="s">
        <v>619</v>
      </c>
      <c r="HB31" t="s">
        <v>140</v>
      </c>
      <c r="HC31">
        <v>1998</v>
      </c>
      <c r="HD31" t="str">
        <f>VLOOKUP(AnalizaCzyste[[#This Row],[Rok urodzenia]],KategorieWiekowe[],2,1)</f>
        <v>poniżej 26 lat</v>
      </c>
      <c r="HE31" t="s">
        <v>398</v>
      </c>
      <c r="HG31" t="s">
        <v>620</v>
      </c>
    </row>
    <row r="32" spans="1:216" hidden="1" x14ac:dyDescent="0.45">
      <c r="A32">
        <v>54</v>
      </c>
      <c r="B32">
        <f>_xlfn.IFNA(VLOOKUP(AnalizaCzyste[[#This Row],[Zakończono wypełnianie]],Zakończone[],2,0),"BRAK")</f>
        <v>33</v>
      </c>
      <c r="C32">
        <f>COUNTA(P32:HI32)</f>
        <v>33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Z32" s="1" t="s">
        <v>123</v>
      </c>
      <c r="CT32" s="1" t="s">
        <v>123</v>
      </c>
      <c r="DD32" s="1" t="s">
        <v>123</v>
      </c>
      <c r="DN32" s="1" t="s">
        <v>123</v>
      </c>
      <c r="EQ32" s="1" t="s">
        <v>123</v>
      </c>
      <c r="FQ32" s="1" t="s">
        <v>123</v>
      </c>
      <c r="FR32" t="s">
        <v>132</v>
      </c>
      <c r="GY32" t="s">
        <v>627</v>
      </c>
      <c r="GZ32" t="s">
        <v>628</v>
      </c>
      <c r="HA32" t="s">
        <v>629</v>
      </c>
      <c r="HB32" t="s">
        <v>186</v>
      </c>
      <c r="HC32" t="s">
        <v>630</v>
      </c>
      <c r="HD32" t="e">
        <f>VLOOKUP(AnalizaCzyste[[#This Row],[Rok urodzenia]],KategorieWiekowe[],2,1)</f>
        <v>#N/A</v>
      </c>
      <c r="HE32" t="s">
        <v>398</v>
      </c>
      <c r="HG32" t="s">
        <v>631</v>
      </c>
      <c r="HH32" t="s">
        <v>632</v>
      </c>
    </row>
    <row r="33" spans="1:217" hidden="1" x14ac:dyDescent="0.45">
      <c r="A33">
        <v>58</v>
      </c>
      <c r="B33">
        <f>_xlfn.IFNA(VLOOKUP(AnalizaCzyste[[#This Row],[Zakończono wypełnianie]],Zakończone[],2,0),"BRAK")</f>
        <v>34</v>
      </c>
      <c r="C33">
        <f>COUNTA(P33:HI33)</f>
        <v>31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Z33" s="1" t="s">
        <v>123</v>
      </c>
      <c r="CT33" s="1" t="s">
        <v>123</v>
      </c>
      <c r="DD33" s="1" t="s">
        <v>123</v>
      </c>
      <c r="DN33" s="1" t="s">
        <v>123</v>
      </c>
      <c r="EQ33" s="1" t="s">
        <v>123</v>
      </c>
      <c r="FQ33" s="1" t="s">
        <v>123</v>
      </c>
      <c r="FR33" t="s">
        <v>132</v>
      </c>
      <c r="GY33" t="s">
        <v>651</v>
      </c>
      <c r="GZ33" t="s">
        <v>652</v>
      </c>
      <c r="HA33" t="s">
        <v>653</v>
      </c>
      <c r="HB33" t="s">
        <v>140</v>
      </c>
      <c r="HC33">
        <v>1998</v>
      </c>
      <c r="HD33" t="str">
        <f>VLOOKUP(AnalizaCzyste[[#This Row],[Rok urodzenia]],KategorieWiekowe[],2,1)</f>
        <v>poniżej 26 lat</v>
      </c>
      <c r="HE33" t="s">
        <v>141</v>
      </c>
    </row>
    <row r="34" spans="1:217" hidden="1" x14ac:dyDescent="0.45">
      <c r="A34">
        <v>60</v>
      </c>
      <c r="B34">
        <f>_xlfn.IFNA(VLOOKUP(AnalizaCzyste[[#This Row],[Zakończono wypełnianie]],Zakończone[],2,0),"BRAK")</f>
        <v>35</v>
      </c>
      <c r="C34">
        <f>COUNTA(P34:HI34)</f>
        <v>42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">
        <v>659</v>
      </c>
      <c r="AK34" t="s">
        <v>148</v>
      </c>
      <c r="AL34" t="s">
        <v>660</v>
      </c>
      <c r="AM34" t="s">
        <v>169</v>
      </c>
      <c r="AN34" t="s">
        <v>169</v>
      </c>
      <c r="AO34" t="s">
        <v>169</v>
      </c>
      <c r="AP34" t="s">
        <v>150</v>
      </c>
      <c r="AQ34" t="s">
        <v>132</v>
      </c>
      <c r="AR34" t="s">
        <v>661</v>
      </c>
      <c r="AS34" t="s">
        <v>302</v>
      </c>
      <c r="AT34" t="s">
        <v>132</v>
      </c>
      <c r="AV34" t="s">
        <v>662</v>
      </c>
      <c r="AW34" t="s">
        <v>663</v>
      </c>
      <c r="AX34" t="s">
        <v>157</v>
      </c>
      <c r="AY34" t="s">
        <v>664</v>
      </c>
      <c r="AZ34" s="1" t="s">
        <v>123</v>
      </c>
      <c r="CT34" s="1" t="s">
        <v>123</v>
      </c>
      <c r="DD34" s="1" t="s">
        <v>214</v>
      </c>
      <c r="DE34" t="s">
        <v>445</v>
      </c>
      <c r="DF34" t="s">
        <v>518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150</v>
      </c>
      <c r="DN34" s="1" t="s">
        <v>123</v>
      </c>
      <c r="EQ34" s="1" t="s">
        <v>123</v>
      </c>
      <c r="FQ34" s="1" t="s">
        <v>123</v>
      </c>
      <c r="FR34" t="s">
        <v>132</v>
      </c>
      <c r="GY34" t="s">
        <v>665</v>
      </c>
      <c r="GZ34" t="s">
        <v>666</v>
      </c>
      <c r="HA34" t="s">
        <v>667</v>
      </c>
      <c r="HB34" t="s">
        <v>140</v>
      </c>
      <c r="HC34">
        <v>1989</v>
      </c>
      <c r="HD34" t="str">
        <f>VLOOKUP(AnalizaCzyste[[#This Row],[Rok urodzenia]],KategorieWiekowe[],2,1)</f>
        <v>26-35 lat</v>
      </c>
      <c r="HE34" t="s">
        <v>141</v>
      </c>
    </row>
    <row r="35" spans="1:217" hidden="1" x14ac:dyDescent="0.45">
      <c r="A35">
        <v>61</v>
      </c>
      <c r="B35">
        <f>_xlfn.IFNA(VLOOKUP(AnalizaCzyste[[#This Row],[Zakończono wypełnianie]],Zakończone[],2,0),"BRAK")</f>
        <v>36</v>
      </c>
      <c r="C35">
        <f>COUNTA(P35:HI35)</f>
        <v>37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>
        <v>2019</v>
      </c>
      <c r="AK35" t="s">
        <v>148</v>
      </c>
      <c r="AL35" t="s">
        <v>601</v>
      </c>
      <c r="AM35" t="s">
        <v>162</v>
      </c>
      <c r="AN35" t="s">
        <v>162</v>
      </c>
      <c r="AO35" t="s">
        <v>129</v>
      </c>
      <c r="AP35" t="s">
        <v>129</v>
      </c>
      <c r="AQ35" t="s">
        <v>129</v>
      </c>
      <c r="AR35">
        <v>4</v>
      </c>
      <c r="AS35" t="s">
        <v>152</v>
      </c>
      <c r="AT35" t="s">
        <v>131</v>
      </c>
      <c r="AU35" t="s">
        <v>671</v>
      </c>
      <c r="AV35" t="s">
        <v>672</v>
      </c>
      <c r="AW35" t="s">
        <v>673</v>
      </c>
      <c r="AX35" t="s">
        <v>157</v>
      </c>
      <c r="AZ35" s="1" t="s">
        <v>123</v>
      </c>
      <c r="CT35" s="1" t="s">
        <v>123</v>
      </c>
      <c r="DD35" s="1" t="s">
        <v>123</v>
      </c>
      <c r="DN35" s="1" t="s">
        <v>123</v>
      </c>
      <c r="EQ35" s="1" t="s">
        <v>123</v>
      </c>
      <c r="ER35" t="s">
        <v>180</v>
      </c>
      <c r="ES35" t="s">
        <v>132</v>
      </c>
      <c r="FQ35" s="1" t="s">
        <v>123</v>
      </c>
      <c r="FR35" t="s">
        <v>132</v>
      </c>
      <c r="FT35" t="s">
        <v>132</v>
      </c>
      <c r="GY35" t="s">
        <v>674</v>
      </c>
      <c r="GZ35" t="s">
        <v>675</v>
      </c>
      <c r="HA35" t="s">
        <v>676</v>
      </c>
      <c r="HB35" t="s">
        <v>140</v>
      </c>
      <c r="HC35">
        <v>1994</v>
      </c>
      <c r="HD35" t="str">
        <f>VLOOKUP(AnalizaCzyste[[#This Row],[Rok urodzenia]],KategorieWiekowe[],2,1)</f>
        <v>26-35 lat</v>
      </c>
      <c r="HE35" t="s">
        <v>483</v>
      </c>
    </row>
    <row r="36" spans="1:217" hidden="1" x14ac:dyDescent="0.45">
      <c r="A36">
        <v>63</v>
      </c>
      <c r="B36">
        <f>_xlfn.IFNA(VLOOKUP(AnalizaCzyste[[#This Row],[Zakończono wypełnianie]],Zakończone[],2,0),"BRAK")</f>
        <v>37</v>
      </c>
      <c r="C36">
        <f>COUNTA(P36:HI36)</f>
        <v>39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>
        <v>2017</v>
      </c>
      <c r="AK36" t="s">
        <v>148</v>
      </c>
      <c r="AL36" t="s">
        <v>601</v>
      </c>
      <c r="AM36" t="s">
        <v>169</v>
      </c>
      <c r="AN36" t="s">
        <v>169</v>
      </c>
      <c r="AO36" t="s">
        <v>150</v>
      </c>
      <c r="AP36" t="s">
        <v>236</v>
      </c>
      <c r="AQ36" t="s">
        <v>169</v>
      </c>
      <c r="AR36" t="s">
        <v>683</v>
      </c>
      <c r="AS36" t="s">
        <v>131</v>
      </c>
      <c r="AT36" t="s">
        <v>153</v>
      </c>
      <c r="AU36" t="s">
        <v>684</v>
      </c>
      <c r="AV36" t="s">
        <v>685</v>
      </c>
      <c r="AW36" t="s">
        <v>686</v>
      </c>
      <c r="AX36" t="s">
        <v>157</v>
      </c>
      <c r="AZ36" s="1" t="s">
        <v>123</v>
      </c>
      <c r="CT36" s="1" t="s">
        <v>123</v>
      </c>
      <c r="DD36" s="1" t="s">
        <v>123</v>
      </c>
      <c r="DN36" s="1" t="s">
        <v>123</v>
      </c>
      <c r="EQ36" s="1" t="s">
        <v>123</v>
      </c>
      <c r="ER36" t="s">
        <v>180</v>
      </c>
      <c r="ES36" t="s">
        <v>132</v>
      </c>
      <c r="FQ36" s="1" t="s">
        <v>123</v>
      </c>
      <c r="FR36" t="s">
        <v>132</v>
      </c>
      <c r="FT36" t="s">
        <v>132</v>
      </c>
      <c r="GY36" t="s">
        <v>687</v>
      </c>
      <c r="GZ36" t="s">
        <v>688</v>
      </c>
      <c r="HA36" t="s">
        <v>689</v>
      </c>
      <c r="HB36" t="s">
        <v>140</v>
      </c>
      <c r="HC36">
        <v>1994</v>
      </c>
      <c r="HD36" t="str">
        <f>VLOOKUP(AnalizaCzyste[[#This Row],[Rok urodzenia]],KategorieWiekowe[],2,1)</f>
        <v>26-35 lat</v>
      </c>
      <c r="HE36" t="s">
        <v>246</v>
      </c>
      <c r="HG36" t="s">
        <v>142</v>
      </c>
      <c r="HH36" t="s">
        <v>142</v>
      </c>
    </row>
    <row r="37" spans="1:217" hidden="1" x14ac:dyDescent="0.45">
      <c r="A37">
        <v>67</v>
      </c>
      <c r="B37">
        <f>_xlfn.IFNA(VLOOKUP(AnalizaCzyste[[#This Row],[Zakończono wypełnianie]],Zakończone[],2,0),"BRAK")</f>
        <v>38</v>
      </c>
      <c r="C37">
        <f>COUNTA(P37:HI37)</f>
        <v>37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>
        <v>2020</v>
      </c>
      <c r="AK37" t="s">
        <v>148</v>
      </c>
      <c r="AL37" t="s">
        <v>702</v>
      </c>
      <c r="AM37" t="s">
        <v>162</v>
      </c>
      <c r="AN37" t="s">
        <v>162</v>
      </c>
      <c r="AO37" t="s">
        <v>236</v>
      </c>
      <c r="AP37" t="s">
        <v>236</v>
      </c>
      <c r="AQ37" t="s">
        <v>132</v>
      </c>
      <c r="AR37" t="s">
        <v>703</v>
      </c>
      <c r="AS37" t="s">
        <v>131</v>
      </c>
      <c r="AT37" t="s">
        <v>132</v>
      </c>
      <c r="AU37" t="s">
        <v>704</v>
      </c>
      <c r="AV37" t="s">
        <v>705</v>
      </c>
      <c r="AW37" t="s">
        <v>706</v>
      </c>
      <c r="AX37" t="s">
        <v>157</v>
      </c>
      <c r="AZ37" s="1" t="s">
        <v>123</v>
      </c>
      <c r="CT37" s="1" t="s">
        <v>123</v>
      </c>
      <c r="DD37" s="1" t="s">
        <v>123</v>
      </c>
      <c r="DN37" s="1" t="s">
        <v>123</v>
      </c>
      <c r="EQ37" s="1" t="s">
        <v>123</v>
      </c>
      <c r="ER37" t="s">
        <v>180</v>
      </c>
      <c r="ES37" t="s">
        <v>132</v>
      </c>
      <c r="FQ37" s="1" t="s">
        <v>123</v>
      </c>
      <c r="FR37" t="s">
        <v>132</v>
      </c>
      <c r="FT37" t="s">
        <v>132</v>
      </c>
      <c r="GY37" t="s">
        <v>707</v>
      </c>
      <c r="GZ37" t="s">
        <v>708</v>
      </c>
      <c r="HA37" t="s">
        <v>709</v>
      </c>
      <c r="HB37" t="s">
        <v>140</v>
      </c>
      <c r="HC37">
        <v>1994</v>
      </c>
      <c r="HD37" t="str">
        <f>VLOOKUP(AnalizaCzyste[[#This Row],[Rok urodzenia]],KategorieWiekowe[],2,1)</f>
        <v>26-35 lat</v>
      </c>
      <c r="HE37" t="s">
        <v>220</v>
      </c>
    </row>
    <row r="38" spans="1:217" hidden="1" x14ac:dyDescent="0.45">
      <c r="A38">
        <v>70</v>
      </c>
      <c r="B38">
        <f>_xlfn.IFNA(VLOOKUP(AnalizaCzyste[[#This Row],[Zakończono wypełnianie]],Zakończone[],2,0),"BRAK")</f>
        <v>39</v>
      </c>
      <c r="C38">
        <f>COUNTA(P38:HI38)</f>
        <v>56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>
        <v>2008</v>
      </c>
      <c r="AK38" t="s">
        <v>126</v>
      </c>
      <c r="AL38" t="s">
        <v>717</v>
      </c>
      <c r="AM38" t="s">
        <v>162</v>
      </c>
      <c r="AN38" t="s">
        <v>151</v>
      </c>
      <c r="AO38" t="s">
        <v>162</v>
      </c>
      <c r="AP38" t="s">
        <v>236</v>
      </c>
      <c r="AQ38" t="s">
        <v>236</v>
      </c>
      <c r="AR38" t="s">
        <v>718</v>
      </c>
      <c r="AS38" t="s">
        <v>131</v>
      </c>
      <c r="AT38" t="s">
        <v>302</v>
      </c>
      <c r="AU38" t="s">
        <v>719</v>
      </c>
      <c r="AV38" t="s">
        <v>720</v>
      </c>
      <c r="AW38" t="s">
        <v>721</v>
      </c>
      <c r="AX38" t="s">
        <v>172</v>
      </c>
      <c r="AZ38" s="1" t="s">
        <v>123</v>
      </c>
      <c r="CT38" s="1" t="s">
        <v>123</v>
      </c>
      <c r="DD38" s="1" t="s">
        <v>214</v>
      </c>
      <c r="DE38" t="s">
        <v>2275</v>
      </c>
      <c r="DF38" t="s">
        <v>2276</v>
      </c>
      <c r="DG38" t="s">
        <v>150</v>
      </c>
      <c r="DH38" t="s">
        <v>162</v>
      </c>
      <c r="DI38" t="s">
        <v>151</v>
      </c>
      <c r="DJ38" t="s">
        <v>162</v>
      </c>
      <c r="DK38" t="s">
        <v>128</v>
      </c>
      <c r="DL38" t="s">
        <v>128</v>
      </c>
      <c r="DM38" t="s">
        <v>724</v>
      </c>
      <c r="DN38" s="1" t="s">
        <v>123</v>
      </c>
      <c r="EQ38" s="1" t="s">
        <v>177</v>
      </c>
      <c r="ER38" t="s">
        <v>180</v>
      </c>
      <c r="ES38">
        <v>1</v>
      </c>
      <c r="ET38" t="s">
        <v>722</v>
      </c>
      <c r="EU38" t="s">
        <v>162</v>
      </c>
      <c r="EV38" t="s">
        <v>150</v>
      </c>
      <c r="EW38" t="s">
        <v>236</v>
      </c>
      <c r="EX38" t="s">
        <v>178</v>
      </c>
      <c r="EY38" t="s">
        <v>725</v>
      </c>
      <c r="EZ38" t="s">
        <v>726</v>
      </c>
      <c r="FA38" t="s">
        <v>173</v>
      </c>
      <c r="FQ38" s="1" t="s">
        <v>123</v>
      </c>
      <c r="FR38" t="s">
        <v>132</v>
      </c>
      <c r="FT38" t="s">
        <v>132</v>
      </c>
      <c r="GY38" t="s">
        <v>727</v>
      </c>
      <c r="GZ38" t="s">
        <v>728</v>
      </c>
      <c r="HA38" t="s">
        <v>729</v>
      </c>
      <c r="HB38" t="s">
        <v>186</v>
      </c>
      <c r="HC38">
        <v>1983</v>
      </c>
      <c r="HD38" t="str">
        <f>VLOOKUP(AnalizaCzyste[[#This Row],[Rok urodzenia]],KategorieWiekowe[],2,1)</f>
        <v>36-45 lat</v>
      </c>
      <c r="HE38" t="s">
        <v>141</v>
      </c>
      <c r="HG38" t="s">
        <v>730</v>
      </c>
      <c r="HI38" t="s">
        <v>731</v>
      </c>
    </row>
    <row r="39" spans="1:217" hidden="1" x14ac:dyDescent="0.45">
      <c r="A39">
        <v>74</v>
      </c>
      <c r="B39">
        <f>_xlfn.IFNA(VLOOKUP(AnalizaCzyste[[#This Row],[Zakończono wypełnianie]],Zakończone[],2,0),"BRAK")</f>
        <v>40</v>
      </c>
      <c r="C39">
        <f>COUNTA(P39:HI39)</f>
        <v>48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>
        <v>2007</v>
      </c>
      <c r="AK39" t="s">
        <v>148</v>
      </c>
      <c r="AL39" t="s">
        <v>743</v>
      </c>
      <c r="AM39" t="s">
        <v>236</v>
      </c>
      <c r="AN39" t="s">
        <v>129</v>
      </c>
      <c r="AO39" t="s">
        <v>128</v>
      </c>
      <c r="AP39" t="s">
        <v>162</v>
      </c>
      <c r="AQ39" t="s">
        <v>150</v>
      </c>
      <c r="AR39" t="s">
        <v>237</v>
      </c>
      <c r="AS39" t="s">
        <v>302</v>
      </c>
      <c r="AT39" t="s">
        <v>153</v>
      </c>
      <c r="AU39" t="s">
        <v>744</v>
      </c>
      <c r="AV39" t="s">
        <v>745</v>
      </c>
      <c r="AW39" t="s">
        <v>746</v>
      </c>
      <c r="AX39" t="s">
        <v>172</v>
      </c>
      <c r="AZ39" s="1" t="s">
        <v>123</v>
      </c>
      <c r="CT39" s="1" t="s">
        <v>387</v>
      </c>
      <c r="CU39" t="s">
        <v>191</v>
      </c>
      <c r="CV39" t="s">
        <v>748</v>
      </c>
      <c r="CW39" t="s">
        <v>150</v>
      </c>
      <c r="CX39" t="s">
        <v>150</v>
      </c>
      <c r="CY39" t="s">
        <v>169</v>
      </c>
      <c r="CZ39" t="s">
        <v>169</v>
      </c>
      <c r="DA39" t="s">
        <v>150</v>
      </c>
      <c r="DB39" t="s">
        <v>150</v>
      </c>
      <c r="DC39" t="s">
        <v>749</v>
      </c>
      <c r="DD39" s="1" t="s">
        <v>123</v>
      </c>
      <c r="DN39" s="1" t="s">
        <v>123</v>
      </c>
      <c r="EQ39" s="1" t="s">
        <v>123</v>
      </c>
      <c r="ER39" t="s">
        <v>178</v>
      </c>
      <c r="ES39" t="s">
        <v>132</v>
      </c>
      <c r="FQ39" s="1" t="s">
        <v>123</v>
      </c>
      <c r="FR39" t="s">
        <v>132</v>
      </c>
      <c r="FT39" t="s">
        <v>132</v>
      </c>
      <c r="GY39" t="s">
        <v>750</v>
      </c>
      <c r="GZ39" t="s">
        <v>751</v>
      </c>
      <c r="HA39" t="s">
        <v>752</v>
      </c>
      <c r="HB39" t="s">
        <v>186</v>
      </c>
      <c r="HC39">
        <v>1983</v>
      </c>
      <c r="HD39" t="str">
        <f>VLOOKUP(AnalizaCzyste[[#This Row],[Rok urodzenia]],KategorieWiekowe[],2,1)</f>
        <v>36-45 lat</v>
      </c>
      <c r="HE39" t="s">
        <v>398</v>
      </c>
      <c r="HG39" t="s">
        <v>753</v>
      </c>
      <c r="HH39" t="s">
        <v>532</v>
      </c>
    </row>
    <row r="40" spans="1:217" hidden="1" x14ac:dyDescent="0.45">
      <c r="A40">
        <v>75</v>
      </c>
      <c r="B40">
        <f>_xlfn.IFNA(VLOOKUP(AnalizaCzyste[[#This Row],[Zakończono wypełnianie]],Zakończone[],2,0),"BRAK")</f>
        <v>41</v>
      </c>
      <c r="C40">
        <f>COUNTA(P40:HI40)</f>
        <v>53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>
        <v>2012</v>
      </c>
      <c r="AK40" t="s">
        <v>148</v>
      </c>
      <c r="AL40" t="s">
        <v>764</v>
      </c>
      <c r="AM40" t="s">
        <v>236</v>
      </c>
      <c r="AN40" t="s">
        <v>236</v>
      </c>
      <c r="AO40" t="s">
        <v>236</v>
      </c>
      <c r="AP40" t="s">
        <v>129</v>
      </c>
      <c r="AQ40" t="s">
        <v>236</v>
      </c>
      <c r="AR40" t="s">
        <v>237</v>
      </c>
      <c r="AS40" t="s">
        <v>302</v>
      </c>
      <c r="AT40" t="s">
        <v>153</v>
      </c>
      <c r="AU40" t="s">
        <v>765</v>
      </c>
      <c r="AV40" t="s">
        <v>766</v>
      </c>
      <c r="AW40" t="s">
        <v>767</v>
      </c>
      <c r="AX40" t="s">
        <v>230</v>
      </c>
      <c r="AZ40" s="1" t="s">
        <v>123</v>
      </c>
      <c r="CT40" s="1" t="s">
        <v>123</v>
      </c>
      <c r="DD40" s="1" t="s">
        <v>123</v>
      </c>
      <c r="DN40" s="1" t="s">
        <v>123</v>
      </c>
      <c r="EQ40" s="1" t="s">
        <v>123</v>
      </c>
      <c r="ER40" t="s">
        <v>180</v>
      </c>
      <c r="ES40" t="s">
        <v>132</v>
      </c>
      <c r="FQ40" s="1" t="s">
        <v>123</v>
      </c>
      <c r="FR40" t="s">
        <v>132</v>
      </c>
      <c r="FT40" t="s">
        <v>132</v>
      </c>
      <c r="GY40" t="s">
        <v>768</v>
      </c>
      <c r="GZ40" t="s">
        <v>769</v>
      </c>
      <c r="HA40" t="s">
        <v>770</v>
      </c>
      <c r="HB40" t="s">
        <v>186</v>
      </c>
      <c r="HC40">
        <v>1990</v>
      </c>
      <c r="HD40" t="str">
        <f>VLOOKUP(AnalizaCzyste[[#This Row],[Rok urodzenia]],KategorieWiekowe[],2,1)</f>
        <v>26-35 lat</v>
      </c>
      <c r="HE40" t="s">
        <v>141</v>
      </c>
      <c r="HG40" t="s">
        <v>771</v>
      </c>
      <c r="HH40" t="s">
        <v>772</v>
      </c>
    </row>
    <row r="41" spans="1:217" hidden="1" x14ac:dyDescent="0.45">
      <c r="A41">
        <v>76</v>
      </c>
      <c r="B41">
        <f>_xlfn.IFNA(VLOOKUP(AnalizaCzyste[[#This Row],[Zakończono wypełnianie]],Zakończone[],2,0),"BRAK")</f>
        <v>42</v>
      </c>
      <c r="C41">
        <f>COUNTA(P41:HI41)</f>
        <v>55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>
        <v>2013</v>
      </c>
      <c r="AK41" t="s">
        <v>148</v>
      </c>
      <c r="AL41" t="s">
        <v>429</v>
      </c>
      <c r="AM41" t="s">
        <v>128</v>
      </c>
      <c r="AN41" t="s">
        <v>151</v>
      </c>
      <c r="AO41" t="s">
        <v>162</v>
      </c>
      <c r="AP41" t="s">
        <v>129</v>
      </c>
      <c r="AQ41" t="s">
        <v>236</v>
      </c>
      <c r="AR41">
        <v>0</v>
      </c>
      <c r="AS41" t="s">
        <v>131</v>
      </c>
      <c r="AT41" t="s">
        <v>131</v>
      </c>
      <c r="AU41" t="s">
        <v>778</v>
      </c>
      <c r="AV41" t="s">
        <v>779</v>
      </c>
      <c r="AW41" t="s">
        <v>780</v>
      </c>
      <c r="AX41" t="s">
        <v>157</v>
      </c>
      <c r="AZ41" s="1" t="s">
        <v>123</v>
      </c>
      <c r="CT41" s="1" t="s">
        <v>123</v>
      </c>
      <c r="DD41" s="1" t="s">
        <v>214</v>
      </c>
      <c r="DE41" t="s">
        <v>1461</v>
      </c>
      <c r="DF41" t="s">
        <v>781</v>
      </c>
      <c r="DG41" t="s">
        <v>129</v>
      </c>
      <c r="DH41" t="s">
        <v>150</v>
      </c>
      <c r="DI41" t="s">
        <v>129</v>
      </c>
      <c r="DJ41" t="s">
        <v>236</v>
      </c>
      <c r="DK41" t="s">
        <v>151</v>
      </c>
      <c r="DL41" t="s">
        <v>151</v>
      </c>
      <c r="DM41" t="s">
        <v>782</v>
      </c>
      <c r="DN41" s="1" t="s">
        <v>123</v>
      </c>
      <c r="EQ41" s="1" t="s">
        <v>177</v>
      </c>
      <c r="ER41" t="s">
        <v>180</v>
      </c>
      <c r="ES41">
        <v>1</v>
      </c>
      <c r="ET41" t="s">
        <v>783</v>
      </c>
      <c r="EU41" t="s">
        <v>150</v>
      </c>
      <c r="EV41" t="s">
        <v>150</v>
      </c>
      <c r="EW41" t="s">
        <v>236</v>
      </c>
      <c r="EX41" t="s">
        <v>178</v>
      </c>
      <c r="EY41" t="s">
        <v>784</v>
      </c>
      <c r="EZ41" t="s">
        <v>785</v>
      </c>
      <c r="FA41" t="s">
        <v>173</v>
      </c>
      <c r="FQ41" s="1" t="s">
        <v>123</v>
      </c>
      <c r="FR41" t="s">
        <v>132</v>
      </c>
      <c r="GY41" t="s">
        <v>786</v>
      </c>
      <c r="GZ41" t="s">
        <v>787</v>
      </c>
      <c r="HA41" t="s">
        <v>788</v>
      </c>
      <c r="HB41" t="s">
        <v>140</v>
      </c>
      <c r="HC41">
        <v>1988</v>
      </c>
      <c r="HD41" t="str">
        <f>VLOOKUP(AnalizaCzyste[[#This Row],[Rok urodzenia]],KategorieWiekowe[],2,1)</f>
        <v>26-35 lat</v>
      </c>
      <c r="HE41" t="s">
        <v>246</v>
      </c>
      <c r="HG41" t="s">
        <v>789</v>
      </c>
      <c r="HI41" t="s">
        <v>790</v>
      </c>
    </row>
    <row r="42" spans="1:217" hidden="1" x14ac:dyDescent="0.45">
      <c r="A42">
        <v>77</v>
      </c>
      <c r="B42">
        <f>_xlfn.IFNA(VLOOKUP(AnalizaCzyste[[#This Row],[Zakończono wypełnianie]],Zakończone[],2,0),"BRAK")</f>
        <v>43</v>
      </c>
      <c r="C42">
        <f>COUNTA(P42:HI42)</f>
        <v>35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>
        <v>2012</v>
      </c>
      <c r="AK42" t="s">
        <v>148</v>
      </c>
      <c r="AL42" t="s">
        <v>793</v>
      </c>
      <c r="AM42" t="s">
        <v>151</v>
      </c>
      <c r="AN42" t="s">
        <v>151</v>
      </c>
      <c r="AO42" t="s">
        <v>129</v>
      </c>
      <c r="AP42" t="s">
        <v>129</v>
      </c>
      <c r="AQ42" t="s">
        <v>128</v>
      </c>
      <c r="AR42">
        <v>3</v>
      </c>
      <c r="AS42" t="s">
        <v>131</v>
      </c>
      <c r="AT42" t="s">
        <v>302</v>
      </c>
      <c r="AU42" t="s">
        <v>386</v>
      </c>
      <c r="AV42" t="s">
        <v>794</v>
      </c>
      <c r="AW42" t="s">
        <v>780</v>
      </c>
      <c r="AX42" t="s">
        <v>157</v>
      </c>
      <c r="AZ42" s="1" t="s">
        <v>123</v>
      </c>
      <c r="CT42" s="1" t="s">
        <v>123</v>
      </c>
      <c r="DD42" s="1" t="s">
        <v>123</v>
      </c>
      <c r="DN42" s="1" t="s">
        <v>123</v>
      </c>
      <c r="EQ42" s="1" t="s">
        <v>123</v>
      </c>
      <c r="FQ42" s="1" t="s">
        <v>123</v>
      </c>
      <c r="FR42" t="s">
        <v>132</v>
      </c>
      <c r="GY42" t="s">
        <v>786</v>
      </c>
      <c r="GZ42" t="s">
        <v>787</v>
      </c>
      <c r="HA42" t="s">
        <v>788</v>
      </c>
      <c r="HB42" t="s">
        <v>186</v>
      </c>
      <c r="HC42">
        <v>1987</v>
      </c>
      <c r="HD42" t="str">
        <f>VLOOKUP(AnalizaCzyste[[#This Row],[Rok urodzenia]],KategorieWiekowe[],2,1)</f>
        <v>26-35 lat</v>
      </c>
      <c r="HE42" t="s">
        <v>141</v>
      </c>
      <c r="HG42" t="s">
        <v>795</v>
      </c>
    </row>
    <row r="43" spans="1:217" hidden="1" x14ac:dyDescent="0.45">
      <c r="A43">
        <v>78</v>
      </c>
      <c r="B43">
        <f>_xlfn.IFNA(VLOOKUP(AnalizaCzyste[[#This Row],[Zakończono wypełnianie]],Zakończone[],2,0),"BRAK")</f>
        <v>44</v>
      </c>
      <c r="C43">
        <f>COUNTA(P43:HI43)</f>
        <v>36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>
        <v>2002</v>
      </c>
      <c r="AK43" t="s">
        <v>126</v>
      </c>
      <c r="AL43" t="s">
        <v>801</v>
      </c>
      <c r="AM43" t="s">
        <v>150</v>
      </c>
      <c r="AN43" t="s">
        <v>162</v>
      </c>
      <c r="AO43" t="s">
        <v>151</v>
      </c>
      <c r="AP43" t="s">
        <v>129</v>
      </c>
      <c r="AQ43" t="s">
        <v>236</v>
      </c>
      <c r="AR43">
        <v>3</v>
      </c>
      <c r="AS43" t="s">
        <v>152</v>
      </c>
      <c r="AT43" t="s">
        <v>152</v>
      </c>
      <c r="AU43" t="s">
        <v>802</v>
      </c>
      <c r="AV43" t="s">
        <v>803</v>
      </c>
      <c r="AW43" t="s">
        <v>804</v>
      </c>
      <c r="AX43" t="s">
        <v>157</v>
      </c>
      <c r="AZ43" s="1" t="s">
        <v>123</v>
      </c>
      <c r="CT43" s="1" t="s">
        <v>123</v>
      </c>
      <c r="DD43" s="1" t="s">
        <v>123</v>
      </c>
      <c r="DN43" s="1" t="s">
        <v>123</v>
      </c>
      <c r="EQ43" s="1" t="s">
        <v>123</v>
      </c>
      <c r="FQ43" s="1" t="s">
        <v>123</v>
      </c>
      <c r="FR43" t="s">
        <v>132</v>
      </c>
      <c r="GY43" t="s">
        <v>805</v>
      </c>
      <c r="GZ43" t="s">
        <v>806</v>
      </c>
      <c r="HA43" t="s">
        <v>807</v>
      </c>
      <c r="HB43" t="s">
        <v>140</v>
      </c>
      <c r="HC43">
        <v>1978</v>
      </c>
      <c r="HD43" t="str">
        <f>VLOOKUP(AnalizaCzyste[[#This Row],[Rok urodzenia]],KategorieWiekowe[],2,1)</f>
        <v>36-45 lat</v>
      </c>
      <c r="HE43" t="s">
        <v>141</v>
      </c>
      <c r="HG43" t="s">
        <v>386</v>
      </c>
      <c r="HH43" t="s">
        <v>386</v>
      </c>
    </row>
    <row r="44" spans="1:217" hidden="1" x14ac:dyDescent="0.45">
      <c r="A44">
        <v>80</v>
      </c>
      <c r="B44">
        <f>_xlfn.IFNA(VLOOKUP(AnalizaCzyste[[#This Row],[Zakończono wypełnianie]],Zakończone[],2,0),"BRAK")</f>
        <v>45</v>
      </c>
      <c r="C44">
        <f>COUNTA(P44:HI44)</f>
        <v>37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>
        <v>1956</v>
      </c>
      <c r="AK44" t="s">
        <v>148</v>
      </c>
      <c r="AL44" t="s">
        <v>601</v>
      </c>
      <c r="AM44" t="s">
        <v>162</v>
      </c>
      <c r="AN44" t="s">
        <v>162</v>
      </c>
      <c r="AO44" t="s">
        <v>150</v>
      </c>
      <c r="AP44" t="s">
        <v>236</v>
      </c>
      <c r="AQ44" t="s">
        <v>236</v>
      </c>
      <c r="AR44" t="s">
        <v>814</v>
      </c>
      <c r="AS44" t="s">
        <v>131</v>
      </c>
      <c r="AT44" t="s">
        <v>131</v>
      </c>
      <c r="AV44" t="s">
        <v>815</v>
      </c>
      <c r="AW44" t="s">
        <v>816</v>
      </c>
      <c r="AX44" t="s">
        <v>172</v>
      </c>
      <c r="AY44" t="s">
        <v>817</v>
      </c>
      <c r="AZ44" s="1" t="s">
        <v>123</v>
      </c>
      <c r="CT44" s="1" t="s">
        <v>123</v>
      </c>
      <c r="DD44" s="1" t="s">
        <v>123</v>
      </c>
      <c r="DN44" s="1" t="s">
        <v>123</v>
      </c>
      <c r="EQ44" s="1" t="s">
        <v>123</v>
      </c>
      <c r="ER44" t="s">
        <v>180</v>
      </c>
      <c r="ES44" t="s">
        <v>132</v>
      </c>
      <c r="FQ44" s="1" t="s">
        <v>123</v>
      </c>
      <c r="FR44" t="s">
        <v>132</v>
      </c>
      <c r="FT44" t="s">
        <v>132</v>
      </c>
      <c r="GY44" t="s">
        <v>818</v>
      </c>
      <c r="GZ44" t="s">
        <v>819</v>
      </c>
      <c r="HA44" t="s">
        <v>820</v>
      </c>
      <c r="HB44" t="s">
        <v>140</v>
      </c>
      <c r="HC44">
        <v>1933</v>
      </c>
      <c r="HD44" t="str">
        <f>VLOOKUP(AnalizaCzyste[[#This Row],[Rok urodzenia]],KategorieWiekowe[],2,1)</f>
        <v>powyżej 65 lat</v>
      </c>
      <c r="HE44" t="s">
        <v>220</v>
      </c>
    </row>
    <row r="45" spans="1:217" hidden="1" x14ac:dyDescent="0.45">
      <c r="A45">
        <v>81</v>
      </c>
      <c r="B45">
        <f>_xlfn.IFNA(VLOOKUP(AnalizaCzyste[[#This Row],[Zakończono wypełnianie]],Zakończone[],2,0),"BRAK")</f>
        <v>46</v>
      </c>
      <c r="C45">
        <f>COUNTA(P45:HI45)</f>
        <v>33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>
        <v>1960</v>
      </c>
      <c r="AK45" t="s">
        <v>148</v>
      </c>
      <c r="AL45" t="s">
        <v>823</v>
      </c>
      <c r="AM45" t="s">
        <v>150</v>
      </c>
      <c r="AN45" t="s">
        <v>150</v>
      </c>
      <c r="AO45" t="s">
        <v>151</v>
      </c>
      <c r="AP45" t="s">
        <v>236</v>
      </c>
      <c r="AQ45" t="s">
        <v>236</v>
      </c>
      <c r="AR45" t="s">
        <v>814</v>
      </c>
      <c r="AS45" t="s">
        <v>131</v>
      </c>
      <c r="AT45" t="s">
        <v>131</v>
      </c>
      <c r="AV45" t="s">
        <v>824</v>
      </c>
      <c r="AW45" t="s">
        <v>825</v>
      </c>
      <c r="AX45" t="s">
        <v>157</v>
      </c>
      <c r="AZ45" s="1" t="s">
        <v>123</v>
      </c>
      <c r="CT45" s="1" t="s">
        <v>123</v>
      </c>
      <c r="DD45" s="1" t="s">
        <v>123</v>
      </c>
      <c r="DN45" s="1" t="s">
        <v>123</v>
      </c>
      <c r="EQ45" s="1" t="s">
        <v>123</v>
      </c>
      <c r="FQ45" s="1" t="s">
        <v>123</v>
      </c>
      <c r="FR45" t="s">
        <v>132</v>
      </c>
      <c r="GY45" t="s">
        <v>826</v>
      </c>
      <c r="GZ45" t="s">
        <v>824</v>
      </c>
      <c r="HA45" t="s">
        <v>827</v>
      </c>
      <c r="HB45" t="s">
        <v>186</v>
      </c>
      <c r="HC45">
        <v>1934</v>
      </c>
      <c r="HD45" t="str">
        <f>VLOOKUP(AnalizaCzyste[[#This Row],[Rok urodzenia]],KategorieWiekowe[],2,1)</f>
        <v>powyżej 65 lat</v>
      </c>
      <c r="HE45" t="s">
        <v>220</v>
      </c>
    </row>
    <row r="46" spans="1:217" hidden="1" x14ac:dyDescent="0.45">
      <c r="A46">
        <v>82</v>
      </c>
      <c r="B46">
        <f>_xlfn.IFNA(VLOOKUP(AnalizaCzyste[[#This Row],[Zakończono wypełnianie]],Zakończone[],2,0),"BRAK")</f>
        <v>47</v>
      </c>
      <c r="C46">
        <f>COUNTA(P46:HI46)</f>
        <v>30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Z46" s="1" t="s">
        <v>123</v>
      </c>
      <c r="CT46" s="1" t="s">
        <v>123</v>
      </c>
      <c r="DD46" s="1" t="s">
        <v>123</v>
      </c>
      <c r="DN46" s="1" t="s">
        <v>123</v>
      </c>
      <c r="EQ46" s="1" t="s">
        <v>177</v>
      </c>
      <c r="ER46" t="s">
        <v>178</v>
      </c>
      <c r="ES46">
        <v>1</v>
      </c>
      <c r="ET46" t="s">
        <v>191</v>
      </c>
      <c r="EU46" t="s">
        <v>162</v>
      </c>
      <c r="EV46" t="s">
        <v>162</v>
      </c>
      <c r="EW46" t="s">
        <v>128</v>
      </c>
      <c r="EX46" t="s">
        <v>178</v>
      </c>
      <c r="EY46" t="s">
        <v>831</v>
      </c>
      <c r="EZ46" t="s">
        <v>832</v>
      </c>
      <c r="FA46" t="s">
        <v>173</v>
      </c>
      <c r="FQ46" s="1" t="s">
        <v>123</v>
      </c>
      <c r="FR46" t="s">
        <v>132</v>
      </c>
      <c r="FT46" t="s">
        <v>132</v>
      </c>
      <c r="GY46" t="s">
        <v>833</v>
      </c>
      <c r="GZ46" t="s">
        <v>834</v>
      </c>
      <c r="HA46" t="s">
        <v>835</v>
      </c>
      <c r="HB46" t="s">
        <v>140</v>
      </c>
      <c r="HC46">
        <v>1977</v>
      </c>
      <c r="HD46" t="str">
        <f>VLOOKUP(AnalizaCzyste[[#This Row],[Rok urodzenia]],KategorieWiekowe[],2,1)</f>
        <v>36-45 lat</v>
      </c>
      <c r="HE46" t="s">
        <v>398</v>
      </c>
      <c r="HG46" t="s">
        <v>836</v>
      </c>
    </row>
    <row r="47" spans="1:217" hidden="1" x14ac:dyDescent="0.45">
      <c r="A47">
        <v>83</v>
      </c>
      <c r="B47">
        <f>_xlfn.IFNA(VLOOKUP(AnalizaCzyste[[#This Row],[Zakończono wypełnianie]],Zakończone[],2,0),"BRAK")</f>
        <v>48</v>
      </c>
      <c r="C47">
        <f>COUNTA(P47:HI47)</f>
        <v>77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>
        <v>1978</v>
      </c>
      <c r="AK47" t="s">
        <v>126</v>
      </c>
      <c r="AL47" t="s">
        <v>841</v>
      </c>
      <c r="AM47" t="s">
        <v>169</v>
      </c>
      <c r="AN47" t="s">
        <v>169</v>
      </c>
      <c r="AO47" t="s">
        <v>151</v>
      </c>
      <c r="AP47" t="s">
        <v>150</v>
      </c>
      <c r="AQ47" t="s">
        <v>150</v>
      </c>
      <c r="AR47">
        <v>2</v>
      </c>
      <c r="AS47" t="s">
        <v>302</v>
      </c>
      <c r="AT47" t="s">
        <v>226</v>
      </c>
      <c r="AU47" t="s">
        <v>842</v>
      </c>
      <c r="AV47" t="s">
        <v>843</v>
      </c>
      <c r="AW47" t="s">
        <v>386</v>
      </c>
      <c r="AX47" t="s">
        <v>157</v>
      </c>
      <c r="AZ47" s="1" t="s">
        <v>159</v>
      </c>
      <c r="BA47">
        <v>2</v>
      </c>
      <c r="BB47" t="s">
        <v>191</v>
      </c>
      <c r="BC47">
        <v>2005</v>
      </c>
      <c r="BD47" t="s">
        <v>126</v>
      </c>
      <c r="BE47" t="s">
        <v>844</v>
      </c>
      <c r="BF47" t="s">
        <v>150</v>
      </c>
      <c r="BG47" t="s">
        <v>150</v>
      </c>
      <c r="BH47" t="s">
        <v>169</v>
      </c>
      <c r="BI47" t="s">
        <v>162</v>
      </c>
      <c r="BJ47" t="s">
        <v>162</v>
      </c>
      <c r="BK47">
        <v>3</v>
      </c>
      <c r="BL47" t="s">
        <v>845</v>
      </c>
      <c r="BM47" t="s">
        <v>157</v>
      </c>
      <c r="BO47" t="s">
        <v>148</v>
      </c>
      <c r="BP47" t="s">
        <v>166</v>
      </c>
      <c r="BQ47" t="s">
        <v>191</v>
      </c>
      <c r="BR47">
        <v>2007</v>
      </c>
      <c r="BS47" t="s">
        <v>126</v>
      </c>
      <c r="BT47" t="s">
        <v>844</v>
      </c>
      <c r="BU47" t="s">
        <v>150</v>
      </c>
      <c r="BV47" t="s">
        <v>150</v>
      </c>
      <c r="BW47" t="s">
        <v>150</v>
      </c>
      <c r="BX47" t="s">
        <v>162</v>
      </c>
      <c r="BY47" t="s">
        <v>162</v>
      </c>
      <c r="BZ47">
        <v>3</v>
      </c>
      <c r="CA47" t="s">
        <v>148</v>
      </c>
      <c r="CB47" t="s">
        <v>157</v>
      </c>
      <c r="CD47" t="s">
        <v>148</v>
      </c>
      <c r="CE47" t="s">
        <v>173</v>
      </c>
      <c r="CT47" s="1" t="s">
        <v>123</v>
      </c>
      <c r="DD47" s="1" t="s">
        <v>214</v>
      </c>
      <c r="DE47" t="s">
        <v>2275</v>
      </c>
      <c r="DF47" t="s">
        <v>2276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162</v>
      </c>
      <c r="DM47" t="s">
        <v>848</v>
      </c>
      <c r="DN47" s="1" t="s">
        <v>123</v>
      </c>
      <c r="EQ47" s="1" t="s">
        <v>123</v>
      </c>
      <c r="ER47" t="s">
        <v>180</v>
      </c>
      <c r="ES47" t="s">
        <v>132</v>
      </c>
      <c r="FQ47" s="1" t="s">
        <v>123</v>
      </c>
      <c r="FR47" t="s">
        <v>132</v>
      </c>
      <c r="FT47" t="s">
        <v>132</v>
      </c>
      <c r="GY47" t="s">
        <v>849</v>
      </c>
      <c r="GZ47" t="s">
        <v>850</v>
      </c>
      <c r="HA47" t="s">
        <v>851</v>
      </c>
      <c r="HB47" t="s">
        <v>186</v>
      </c>
      <c r="HC47">
        <v>1954</v>
      </c>
      <c r="HD47" t="str">
        <f>VLOOKUP(AnalizaCzyste[[#This Row],[Rok urodzenia]],KategorieWiekowe[],2,1)</f>
        <v>powyżej 65 lat</v>
      </c>
      <c r="HE47" t="s">
        <v>141</v>
      </c>
      <c r="HG47" t="s">
        <v>852</v>
      </c>
      <c r="HH47" t="s">
        <v>853</v>
      </c>
    </row>
    <row r="48" spans="1:217" hidden="1" x14ac:dyDescent="0.45">
      <c r="A48">
        <v>84</v>
      </c>
      <c r="B48">
        <f>_xlfn.IFNA(VLOOKUP(AnalizaCzyste[[#This Row],[Zakończono wypełnianie]],Zakończone[],2,0),"BRAK")</f>
        <v>49</v>
      </c>
      <c r="C48">
        <f>COUNTA(P48:HI48)</f>
        <v>51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>
        <v>2019</v>
      </c>
      <c r="AK48" t="s">
        <v>148</v>
      </c>
      <c r="AL48" t="s">
        <v>863</v>
      </c>
      <c r="AM48" t="s">
        <v>150</v>
      </c>
      <c r="AN48" t="s">
        <v>150</v>
      </c>
      <c r="AO48" t="s">
        <v>169</v>
      </c>
      <c r="AP48" t="s">
        <v>151</v>
      </c>
      <c r="AQ48" t="s">
        <v>150</v>
      </c>
      <c r="AR48" t="s">
        <v>864</v>
      </c>
      <c r="AS48" t="s">
        <v>302</v>
      </c>
      <c r="AT48" t="s">
        <v>759</v>
      </c>
      <c r="AU48" t="s">
        <v>865</v>
      </c>
      <c r="AV48" t="s">
        <v>866</v>
      </c>
      <c r="AW48" t="s">
        <v>867</v>
      </c>
      <c r="AX48" t="s">
        <v>157</v>
      </c>
      <c r="AZ48" s="1" t="s">
        <v>123</v>
      </c>
      <c r="CT48" s="1" t="s">
        <v>123</v>
      </c>
      <c r="DD48" s="1" t="s">
        <v>123</v>
      </c>
      <c r="DN48" s="1" t="s">
        <v>123</v>
      </c>
      <c r="EQ48" s="1" t="s">
        <v>123</v>
      </c>
      <c r="FQ48" s="1" t="s">
        <v>123</v>
      </c>
      <c r="FR48" t="s">
        <v>132</v>
      </c>
      <c r="GY48" t="s">
        <v>868</v>
      </c>
      <c r="GZ48" t="s">
        <v>869</v>
      </c>
      <c r="HA48" t="s">
        <v>870</v>
      </c>
      <c r="HB48" t="s">
        <v>186</v>
      </c>
      <c r="HC48">
        <v>1991</v>
      </c>
      <c r="HD48" t="str">
        <f>VLOOKUP(AnalizaCzyste[[#This Row],[Rok urodzenia]],KategorieWiekowe[],2,1)</f>
        <v>26-35 lat</v>
      </c>
      <c r="HE48" t="s">
        <v>220</v>
      </c>
      <c r="HF48" t="s">
        <v>871</v>
      </c>
      <c r="HG48" t="s">
        <v>872</v>
      </c>
      <c r="HH48" t="s">
        <v>386</v>
      </c>
    </row>
    <row r="49" spans="1:216" hidden="1" x14ac:dyDescent="0.45">
      <c r="A49">
        <v>85</v>
      </c>
      <c r="B49">
        <f>_xlfn.IFNA(VLOOKUP(AnalizaCzyste[[#This Row],[Zakończono wypełnianie]],Zakończone[],2,0),"BRAK")</f>
        <v>50</v>
      </c>
      <c r="C49">
        <f>COUNTA(P49:HI49)</f>
        <v>36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>
        <v>2012</v>
      </c>
      <c r="AK49" t="s">
        <v>148</v>
      </c>
      <c r="AL49" t="s">
        <v>876</v>
      </c>
      <c r="AM49" t="s">
        <v>150</v>
      </c>
      <c r="AN49" t="s">
        <v>162</v>
      </c>
      <c r="AO49" t="s">
        <v>128</v>
      </c>
      <c r="AP49" t="s">
        <v>236</v>
      </c>
      <c r="AQ49" t="s">
        <v>151</v>
      </c>
      <c r="AR49">
        <v>2</v>
      </c>
      <c r="AS49" t="s">
        <v>131</v>
      </c>
      <c r="AT49" t="s">
        <v>153</v>
      </c>
      <c r="AU49" t="s">
        <v>877</v>
      </c>
      <c r="AV49" t="s">
        <v>532</v>
      </c>
      <c r="AW49" t="s">
        <v>532</v>
      </c>
      <c r="AX49" t="s">
        <v>157</v>
      </c>
      <c r="AY49" t="s">
        <v>878</v>
      </c>
      <c r="AZ49" s="1" t="s">
        <v>123</v>
      </c>
      <c r="CT49" s="1" t="s">
        <v>123</v>
      </c>
      <c r="DD49" s="1" t="s">
        <v>123</v>
      </c>
      <c r="DN49" s="1" t="s">
        <v>123</v>
      </c>
      <c r="EQ49" s="1" t="s">
        <v>123</v>
      </c>
      <c r="FQ49" s="1" t="s">
        <v>123</v>
      </c>
      <c r="FR49" t="s">
        <v>132</v>
      </c>
      <c r="GY49" t="s">
        <v>532</v>
      </c>
      <c r="GZ49" t="s">
        <v>532</v>
      </c>
      <c r="HA49" t="s">
        <v>532</v>
      </c>
      <c r="HB49" t="s">
        <v>186</v>
      </c>
      <c r="HC49">
        <v>1988</v>
      </c>
      <c r="HD49" t="str">
        <f>VLOOKUP(AnalizaCzyste[[#This Row],[Rok urodzenia]],KategorieWiekowe[],2,1)</f>
        <v>26-35 lat</v>
      </c>
      <c r="HE49" t="s">
        <v>246</v>
      </c>
      <c r="HH49" t="s">
        <v>879</v>
      </c>
    </row>
    <row r="50" spans="1:216" hidden="1" x14ac:dyDescent="0.45">
      <c r="A50">
        <v>86</v>
      </c>
      <c r="B50">
        <f>_xlfn.IFNA(VLOOKUP(AnalizaCzyste[[#This Row],[Zakończono wypełnianie]],Zakończone[],2,0),"BRAK")</f>
        <v>51</v>
      </c>
      <c r="C50">
        <f>COUNTA(P50:HI50)</f>
        <v>45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>
        <v>2005</v>
      </c>
      <c r="AK50" t="s">
        <v>126</v>
      </c>
      <c r="AL50" t="s">
        <v>882</v>
      </c>
      <c r="AM50" t="s">
        <v>162</v>
      </c>
      <c r="AN50" t="s">
        <v>162</v>
      </c>
      <c r="AO50" t="s">
        <v>162</v>
      </c>
      <c r="AP50" t="s">
        <v>236</v>
      </c>
      <c r="AQ50" t="s">
        <v>128</v>
      </c>
      <c r="AR50" t="s">
        <v>883</v>
      </c>
      <c r="AS50" t="s">
        <v>131</v>
      </c>
      <c r="AT50" t="s">
        <v>302</v>
      </c>
      <c r="AU50" t="s">
        <v>884</v>
      </c>
      <c r="AV50" t="s">
        <v>532</v>
      </c>
      <c r="AW50" t="s">
        <v>532</v>
      </c>
      <c r="AX50" t="s">
        <v>157</v>
      </c>
      <c r="AY50" t="s">
        <v>878</v>
      </c>
      <c r="AZ50" s="1" t="s">
        <v>123</v>
      </c>
      <c r="CT50" s="1" t="s">
        <v>123</v>
      </c>
      <c r="DD50" s="1" t="s">
        <v>123</v>
      </c>
      <c r="DN50" s="1" t="s">
        <v>123</v>
      </c>
      <c r="EQ50" s="1" t="s">
        <v>177</v>
      </c>
      <c r="ER50" t="s">
        <v>178</v>
      </c>
      <c r="ES50">
        <v>1</v>
      </c>
      <c r="ET50" t="s">
        <v>747</v>
      </c>
      <c r="EU50" t="s">
        <v>162</v>
      </c>
      <c r="EV50" t="s">
        <v>162</v>
      </c>
      <c r="EW50" t="s">
        <v>151</v>
      </c>
      <c r="EX50" t="s">
        <v>178</v>
      </c>
      <c r="EY50" t="s">
        <v>885</v>
      </c>
      <c r="EZ50" t="s">
        <v>886</v>
      </c>
      <c r="FA50" t="s">
        <v>173</v>
      </c>
      <c r="FQ50" s="1" t="s">
        <v>123</v>
      </c>
      <c r="FR50" t="s">
        <v>132</v>
      </c>
      <c r="GY50" t="s">
        <v>887</v>
      </c>
      <c r="GZ50" t="s">
        <v>532</v>
      </c>
      <c r="HA50" t="s">
        <v>532</v>
      </c>
      <c r="HB50" t="s">
        <v>140</v>
      </c>
      <c r="HC50">
        <v>1981</v>
      </c>
      <c r="HD50" t="str">
        <f>VLOOKUP(AnalizaCzyste[[#This Row],[Rok urodzenia]],KategorieWiekowe[],2,1)</f>
        <v>36-45 lat</v>
      </c>
      <c r="HE50" t="s">
        <v>141</v>
      </c>
    </row>
    <row r="51" spans="1:216" hidden="1" x14ac:dyDescent="0.45">
      <c r="A51">
        <v>87</v>
      </c>
      <c r="B51">
        <f>_xlfn.IFNA(VLOOKUP(AnalizaCzyste[[#This Row],[Zakończono wypełnianie]],Zakończone[],2,0),"BRAK")</f>
        <v>52</v>
      </c>
      <c r="C51">
        <f>COUNTA(P51:HI51)</f>
        <v>47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>
        <v>1975</v>
      </c>
      <c r="AK51" t="s">
        <v>126</v>
      </c>
      <c r="AL51" t="s">
        <v>890</v>
      </c>
      <c r="AM51" t="s">
        <v>150</v>
      </c>
      <c r="AN51" t="s">
        <v>162</v>
      </c>
      <c r="AO51" t="s">
        <v>128</v>
      </c>
      <c r="AP51" t="s">
        <v>169</v>
      </c>
      <c r="AQ51" t="s">
        <v>169</v>
      </c>
      <c r="AR51" t="s">
        <v>883</v>
      </c>
      <c r="AS51" t="s">
        <v>194</v>
      </c>
      <c r="AT51" t="s">
        <v>194</v>
      </c>
      <c r="AU51" t="s">
        <v>891</v>
      </c>
      <c r="AV51" t="s">
        <v>532</v>
      </c>
      <c r="AW51" t="s">
        <v>532</v>
      </c>
      <c r="AX51" t="s">
        <v>892</v>
      </c>
      <c r="AZ51" s="1" t="s">
        <v>159</v>
      </c>
      <c r="BA51">
        <v>1</v>
      </c>
      <c r="BB51" t="s">
        <v>893</v>
      </c>
      <c r="BC51">
        <v>2002</v>
      </c>
      <c r="BD51" t="s">
        <v>126</v>
      </c>
      <c r="BE51" t="s">
        <v>801</v>
      </c>
      <c r="BF51" t="s">
        <v>150</v>
      </c>
      <c r="BG51" t="s">
        <v>150</v>
      </c>
      <c r="BH51" t="s">
        <v>150</v>
      </c>
      <c r="BI51" t="s">
        <v>236</v>
      </c>
      <c r="BJ51" t="s">
        <v>128</v>
      </c>
      <c r="BK51">
        <v>3</v>
      </c>
      <c r="BM51" t="s">
        <v>157</v>
      </c>
      <c r="BP51" t="s">
        <v>173</v>
      </c>
      <c r="CT51" s="1" t="s">
        <v>123</v>
      </c>
      <c r="DD51" s="1" t="s">
        <v>123</v>
      </c>
      <c r="DN51" s="1" t="s">
        <v>123</v>
      </c>
      <c r="EQ51" s="1" t="s">
        <v>123</v>
      </c>
      <c r="FQ51" s="1" t="s">
        <v>123</v>
      </c>
      <c r="FR51" t="s">
        <v>132</v>
      </c>
      <c r="GY51" t="s">
        <v>532</v>
      </c>
      <c r="GZ51" t="s">
        <v>532</v>
      </c>
      <c r="HA51" t="s">
        <v>532</v>
      </c>
      <c r="HB51" t="s">
        <v>186</v>
      </c>
      <c r="HC51">
        <v>1950</v>
      </c>
      <c r="HD51" t="str">
        <f>VLOOKUP(AnalizaCzyste[[#This Row],[Rok urodzenia]],KategorieWiekowe[],2,1)</f>
        <v>powyżej 65 lat</v>
      </c>
      <c r="HE51" t="s">
        <v>141</v>
      </c>
    </row>
    <row r="52" spans="1:216" hidden="1" x14ac:dyDescent="0.45">
      <c r="A52">
        <v>88</v>
      </c>
      <c r="B52">
        <f>_xlfn.IFNA(VLOOKUP(AnalizaCzyste[[#This Row],[Zakończono wypełnianie]],Zakończone[],2,0),"BRAK")</f>
        <v>53</v>
      </c>
      <c r="C52">
        <f>COUNTA(P52:HI52)</f>
        <v>48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>
        <v>1975</v>
      </c>
      <c r="AK52" t="s">
        <v>126</v>
      </c>
      <c r="AL52" t="s">
        <v>897</v>
      </c>
      <c r="AM52" t="s">
        <v>150</v>
      </c>
      <c r="AN52" t="s">
        <v>162</v>
      </c>
      <c r="AO52" t="s">
        <v>150</v>
      </c>
      <c r="AP52" t="s">
        <v>162</v>
      </c>
      <c r="AQ52" t="s">
        <v>162</v>
      </c>
      <c r="AR52" t="s">
        <v>898</v>
      </c>
      <c r="AS52" t="s">
        <v>153</v>
      </c>
      <c r="AT52" t="s">
        <v>153</v>
      </c>
      <c r="AV52" t="s">
        <v>532</v>
      </c>
      <c r="AW52" t="s">
        <v>532</v>
      </c>
      <c r="AX52" t="s">
        <v>157</v>
      </c>
      <c r="AZ52" s="1" t="s">
        <v>159</v>
      </c>
      <c r="BA52">
        <v>1</v>
      </c>
      <c r="BB52" t="s">
        <v>191</v>
      </c>
      <c r="BC52">
        <v>2011</v>
      </c>
      <c r="BD52" t="s">
        <v>126</v>
      </c>
      <c r="BE52" t="s">
        <v>127</v>
      </c>
      <c r="BF52" t="s">
        <v>162</v>
      </c>
      <c r="BG52" t="s">
        <v>150</v>
      </c>
      <c r="BH52" t="s">
        <v>236</v>
      </c>
      <c r="BI52" t="s">
        <v>132</v>
      </c>
      <c r="BJ52" t="s">
        <v>132</v>
      </c>
      <c r="BK52" t="s">
        <v>900</v>
      </c>
      <c r="BL52" t="s">
        <v>901</v>
      </c>
      <c r="BM52" t="s">
        <v>157</v>
      </c>
      <c r="BN52" t="s">
        <v>878</v>
      </c>
      <c r="BP52" t="s">
        <v>173</v>
      </c>
      <c r="CT52" s="1" t="s">
        <v>123</v>
      </c>
      <c r="DD52" s="1" t="s">
        <v>123</v>
      </c>
      <c r="DN52" s="1" t="s">
        <v>123</v>
      </c>
      <c r="EQ52" s="1" t="s">
        <v>123</v>
      </c>
      <c r="FQ52" s="1" t="s">
        <v>123</v>
      </c>
      <c r="FR52" t="s">
        <v>132</v>
      </c>
      <c r="GY52" t="s">
        <v>532</v>
      </c>
      <c r="GZ52" t="s">
        <v>532</v>
      </c>
      <c r="HA52" t="s">
        <v>532</v>
      </c>
      <c r="HB52" t="s">
        <v>140</v>
      </c>
      <c r="HC52">
        <v>1950</v>
      </c>
      <c r="HD52" t="str">
        <f>VLOOKUP(AnalizaCzyste[[#This Row],[Rok urodzenia]],KategorieWiekowe[],2,1)</f>
        <v>powyżej 65 lat</v>
      </c>
      <c r="HE52" t="s">
        <v>141</v>
      </c>
    </row>
    <row r="53" spans="1:216" hidden="1" x14ac:dyDescent="0.45">
      <c r="A53">
        <v>89</v>
      </c>
      <c r="B53">
        <f>_xlfn.IFNA(VLOOKUP(AnalizaCzyste[[#This Row],[Zakończono wypełnianie]],Zakończone[],2,0),"BRAK")</f>
        <v>54</v>
      </c>
      <c r="C53">
        <f>COUNTA(P53:HI53)</f>
        <v>37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>
        <v>2009</v>
      </c>
      <c r="AK53" t="s">
        <v>126</v>
      </c>
      <c r="AL53" t="s">
        <v>906</v>
      </c>
      <c r="AM53" t="s">
        <v>151</v>
      </c>
      <c r="AN53" t="s">
        <v>151</v>
      </c>
      <c r="AO53" t="s">
        <v>150</v>
      </c>
      <c r="AP53" t="s">
        <v>128</v>
      </c>
      <c r="AQ53" t="s">
        <v>162</v>
      </c>
      <c r="AR53" t="s">
        <v>907</v>
      </c>
      <c r="AS53" t="s">
        <v>131</v>
      </c>
      <c r="AT53" t="s">
        <v>759</v>
      </c>
      <c r="AU53" t="s">
        <v>908</v>
      </c>
      <c r="AV53" t="s">
        <v>908</v>
      </c>
      <c r="AW53" t="s">
        <v>909</v>
      </c>
      <c r="AX53" t="s">
        <v>172</v>
      </c>
      <c r="AZ53" s="1" t="s">
        <v>123</v>
      </c>
      <c r="CT53" s="1" t="s">
        <v>123</v>
      </c>
      <c r="DD53" s="1" t="s">
        <v>123</v>
      </c>
      <c r="DN53" s="1" t="s">
        <v>123</v>
      </c>
      <c r="EQ53" s="1" t="s">
        <v>123</v>
      </c>
      <c r="ER53" t="s">
        <v>180</v>
      </c>
      <c r="ES53" t="s">
        <v>132</v>
      </c>
      <c r="FQ53" s="1" t="s">
        <v>123</v>
      </c>
      <c r="FR53" t="s">
        <v>132</v>
      </c>
      <c r="FT53" t="s">
        <v>132</v>
      </c>
      <c r="GY53" t="s">
        <v>910</v>
      </c>
      <c r="GZ53" t="s">
        <v>911</v>
      </c>
      <c r="HA53" t="s">
        <v>912</v>
      </c>
      <c r="HB53" t="s">
        <v>186</v>
      </c>
      <c r="HC53">
        <v>1983</v>
      </c>
      <c r="HD53" t="str">
        <f>VLOOKUP(AnalizaCzyste[[#This Row],[Rok urodzenia]],KategorieWiekowe[],2,1)</f>
        <v>36-45 lat</v>
      </c>
      <c r="HE53" t="s">
        <v>141</v>
      </c>
    </row>
    <row r="54" spans="1:216" hidden="1" x14ac:dyDescent="0.45">
      <c r="A54">
        <v>91</v>
      </c>
      <c r="B54">
        <f>_xlfn.IFNA(VLOOKUP(AnalizaCzyste[[#This Row],[Zakończono wypełnianie]],Zakończone[],2,0),"BRAK")</f>
        <v>55</v>
      </c>
      <c r="C54">
        <f>COUNTA(P54:HI54)</f>
        <v>79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>
        <v>1980</v>
      </c>
      <c r="AK54" t="s">
        <v>148</v>
      </c>
      <c r="AL54" t="s">
        <v>919</v>
      </c>
      <c r="AM54" t="s">
        <v>169</v>
      </c>
      <c r="AN54" t="s">
        <v>169</v>
      </c>
      <c r="AO54" t="s">
        <v>150</v>
      </c>
      <c r="AP54" t="s">
        <v>128</v>
      </c>
      <c r="AQ54" t="s">
        <v>128</v>
      </c>
      <c r="AR54" t="s">
        <v>920</v>
      </c>
      <c r="AS54" t="s">
        <v>302</v>
      </c>
      <c r="AT54" t="s">
        <v>302</v>
      </c>
      <c r="AU54" t="s">
        <v>921</v>
      </c>
      <c r="AV54" t="s">
        <v>922</v>
      </c>
      <c r="AW54" t="s">
        <v>923</v>
      </c>
      <c r="AX54" t="s">
        <v>157</v>
      </c>
      <c r="AZ54" s="1" t="s">
        <v>159</v>
      </c>
      <c r="BA54">
        <v>2</v>
      </c>
      <c r="BB54" t="s">
        <v>223</v>
      </c>
      <c r="BC54">
        <v>2009</v>
      </c>
      <c r="BD54" t="s">
        <v>148</v>
      </c>
      <c r="BE54" t="s">
        <v>743</v>
      </c>
      <c r="BF54" t="s">
        <v>169</v>
      </c>
      <c r="BG54" t="s">
        <v>169</v>
      </c>
      <c r="BH54" t="s">
        <v>169</v>
      </c>
      <c r="BI54" t="s">
        <v>128</v>
      </c>
      <c r="BJ54" t="s">
        <v>128</v>
      </c>
      <c r="BK54" t="s">
        <v>925</v>
      </c>
      <c r="BL54" t="s">
        <v>926</v>
      </c>
      <c r="BM54" t="s">
        <v>157</v>
      </c>
      <c r="BO54" t="s">
        <v>927</v>
      </c>
      <c r="BP54" t="s">
        <v>173</v>
      </c>
      <c r="CT54" s="1" t="s">
        <v>387</v>
      </c>
      <c r="CU54" t="s">
        <v>223</v>
      </c>
      <c r="CV54" t="s">
        <v>928</v>
      </c>
      <c r="CW54" t="s">
        <v>169</v>
      </c>
      <c r="CX54" t="s">
        <v>162</v>
      </c>
      <c r="CY54" t="s">
        <v>128</v>
      </c>
      <c r="CZ54" t="s">
        <v>169</v>
      </c>
      <c r="DA54" t="s">
        <v>169</v>
      </c>
      <c r="DB54" t="s">
        <v>169</v>
      </c>
      <c r="DC54" t="s">
        <v>929</v>
      </c>
      <c r="DD54" s="1" t="s">
        <v>214</v>
      </c>
      <c r="DE54" t="s">
        <v>223</v>
      </c>
      <c r="DF54" t="s">
        <v>928</v>
      </c>
      <c r="DG54" t="s">
        <v>169</v>
      </c>
      <c r="DH54" t="s">
        <v>162</v>
      </c>
      <c r="DI54" t="s">
        <v>128</v>
      </c>
      <c r="DJ54" t="s">
        <v>169</v>
      </c>
      <c r="DK54" t="s">
        <v>169</v>
      </c>
      <c r="DL54" t="s">
        <v>150</v>
      </c>
      <c r="DM54" t="s">
        <v>930</v>
      </c>
      <c r="DN54" s="1" t="s">
        <v>123</v>
      </c>
      <c r="EQ54" s="1" t="s">
        <v>177</v>
      </c>
      <c r="ER54" t="s">
        <v>180</v>
      </c>
      <c r="ES54">
        <v>1</v>
      </c>
      <c r="ET54" t="s">
        <v>223</v>
      </c>
      <c r="EU54" t="s">
        <v>169</v>
      </c>
      <c r="EV54" t="s">
        <v>169</v>
      </c>
      <c r="EW54" t="s">
        <v>236</v>
      </c>
      <c r="EX54" t="s">
        <v>180</v>
      </c>
      <c r="EY54" t="s">
        <v>931</v>
      </c>
      <c r="EZ54" t="s">
        <v>932</v>
      </c>
      <c r="FA54" t="s">
        <v>173</v>
      </c>
      <c r="FQ54" s="1" t="s">
        <v>123</v>
      </c>
      <c r="FR54" t="s">
        <v>132</v>
      </c>
      <c r="FT54" t="s">
        <v>132</v>
      </c>
      <c r="GY54" t="s">
        <v>933</v>
      </c>
      <c r="GZ54" t="s">
        <v>934</v>
      </c>
      <c r="HA54" t="s">
        <v>935</v>
      </c>
      <c r="HB54" t="s">
        <v>140</v>
      </c>
      <c r="HC54">
        <v>1957</v>
      </c>
      <c r="HD54" t="str">
        <f>VLOOKUP(AnalizaCzyste[[#This Row],[Rok urodzenia]],KategorieWiekowe[],2,1)</f>
        <v>56-65 lat</v>
      </c>
      <c r="HE54" t="s">
        <v>141</v>
      </c>
      <c r="HG54" t="s">
        <v>936</v>
      </c>
    </row>
    <row r="55" spans="1:216" hidden="1" x14ac:dyDescent="0.45">
      <c r="A55">
        <v>93</v>
      </c>
      <c r="B55">
        <f>_xlfn.IFNA(VLOOKUP(AnalizaCzyste[[#This Row],[Zakończono wypełnianie]],Zakończone[],2,0),"BRAK")</f>
        <v>56</v>
      </c>
      <c r="C55">
        <f>COUNTA(P55:HI55)</f>
        <v>48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>
        <v>2004</v>
      </c>
      <c r="AK55" t="s">
        <v>148</v>
      </c>
      <c r="AL55" t="s">
        <v>942</v>
      </c>
      <c r="AM55" t="s">
        <v>150</v>
      </c>
      <c r="AN55" t="s">
        <v>150</v>
      </c>
      <c r="AO55" t="s">
        <v>150</v>
      </c>
      <c r="AP55" t="s">
        <v>150</v>
      </c>
      <c r="AQ55" t="s">
        <v>169</v>
      </c>
      <c r="AR55" t="s">
        <v>237</v>
      </c>
      <c r="AS55" t="s">
        <v>302</v>
      </c>
      <c r="AT55" t="s">
        <v>943</v>
      </c>
      <c r="AU55" t="s">
        <v>944</v>
      </c>
      <c r="AV55" t="s">
        <v>945</v>
      </c>
      <c r="AW55" t="s">
        <v>946</v>
      </c>
      <c r="AX55" t="s">
        <v>157</v>
      </c>
      <c r="AZ55" s="1" t="s">
        <v>123</v>
      </c>
      <c r="CT55" s="1" t="s">
        <v>123</v>
      </c>
      <c r="DD55" s="1" t="s">
        <v>123</v>
      </c>
      <c r="DN55" s="1" t="s">
        <v>123</v>
      </c>
      <c r="EQ55" s="1" t="s">
        <v>177</v>
      </c>
      <c r="ER55" t="s">
        <v>178</v>
      </c>
      <c r="ES55">
        <v>1</v>
      </c>
      <c r="ET55" t="s">
        <v>747</v>
      </c>
      <c r="EU55" t="s">
        <v>169</v>
      </c>
      <c r="EV55" t="s">
        <v>169</v>
      </c>
      <c r="EW55" t="s">
        <v>169</v>
      </c>
      <c r="EX55" t="s">
        <v>178</v>
      </c>
      <c r="EY55" t="s">
        <v>947</v>
      </c>
      <c r="EZ55" t="s">
        <v>948</v>
      </c>
      <c r="FA55" t="s">
        <v>173</v>
      </c>
      <c r="FQ55" s="1" t="s">
        <v>123</v>
      </c>
      <c r="FR55" t="s">
        <v>132</v>
      </c>
      <c r="FT55" t="s">
        <v>132</v>
      </c>
      <c r="GY55" t="s">
        <v>949</v>
      </c>
      <c r="GZ55" t="s">
        <v>950</v>
      </c>
      <c r="HA55" t="s">
        <v>951</v>
      </c>
      <c r="HB55" t="s">
        <v>186</v>
      </c>
      <c r="HC55">
        <v>1984</v>
      </c>
      <c r="HD55" t="str">
        <f>VLOOKUP(AnalizaCzyste[[#This Row],[Rok urodzenia]],KategorieWiekowe[],2,1)</f>
        <v>36-45 lat</v>
      </c>
      <c r="HE55" t="s">
        <v>141</v>
      </c>
      <c r="HF55" t="s">
        <v>952</v>
      </c>
      <c r="HG55" t="s">
        <v>953</v>
      </c>
      <c r="HH55" t="s">
        <v>954</v>
      </c>
    </row>
    <row r="56" spans="1:216" hidden="1" x14ac:dyDescent="0.45">
      <c r="A56">
        <v>94</v>
      </c>
      <c r="B56">
        <f>_xlfn.IFNA(VLOOKUP(AnalizaCzyste[[#This Row],[Zakończono wypełnianie]],Zakończone[],2,0),"BRAK")</f>
        <v>57</v>
      </c>
      <c r="C56">
        <f>COUNTA(P56:HI56)</f>
        <v>34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Z56" s="1" t="s">
        <v>123</v>
      </c>
      <c r="CT56" s="1" t="s">
        <v>123</v>
      </c>
      <c r="DD56" s="1" t="s">
        <v>123</v>
      </c>
      <c r="DN56" s="1" t="s">
        <v>123</v>
      </c>
      <c r="EQ56" s="1" t="s">
        <v>123</v>
      </c>
      <c r="ER56" t="s">
        <v>180</v>
      </c>
      <c r="ES56" t="s">
        <v>132</v>
      </c>
      <c r="FQ56" s="1" t="s">
        <v>123</v>
      </c>
      <c r="FR56" t="s">
        <v>132</v>
      </c>
      <c r="GY56" t="s">
        <v>826</v>
      </c>
      <c r="GZ56" t="s">
        <v>824</v>
      </c>
      <c r="HA56" t="s">
        <v>820</v>
      </c>
      <c r="HB56" t="s">
        <v>140</v>
      </c>
      <c r="HC56">
        <v>1993</v>
      </c>
      <c r="HD56" t="str">
        <f>VLOOKUP(AnalizaCzyste[[#This Row],[Rok urodzenia]],KategorieWiekowe[],2,1)</f>
        <v>26-35 lat</v>
      </c>
      <c r="HE56" t="s">
        <v>483</v>
      </c>
    </row>
    <row r="57" spans="1:216" hidden="1" x14ac:dyDescent="0.45">
      <c r="A57">
        <v>96</v>
      </c>
      <c r="B57">
        <f>_xlfn.IFNA(VLOOKUP(AnalizaCzyste[[#This Row],[Zakończono wypełnianie]],Zakończone[],2,0),"BRAK")</f>
        <v>59</v>
      </c>
      <c r="C57">
        <f>COUNTA(P57:HI57)</f>
        <v>38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>
        <v>2000</v>
      </c>
      <c r="AK57" t="s">
        <v>148</v>
      </c>
      <c r="AL57" t="s">
        <v>969</v>
      </c>
      <c r="AM57" t="s">
        <v>151</v>
      </c>
      <c r="AN57" t="s">
        <v>151</v>
      </c>
      <c r="AO57" t="s">
        <v>162</v>
      </c>
      <c r="AP57" t="s">
        <v>162</v>
      </c>
      <c r="AQ57" t="s">
        <v>150</v>
      </c>
      <c r="AR57">
        <v>0</v>
      </c>
      <c r="AS57" t="s">
        <v>153</v>
      </c>
      <c r="AT57" t="s">
        <v>226</v>
      </c>
      <c r="AU57" t="s">
        <v>802</v>
      </c>
      <c r="AV57" t="s">
        <v>824</v>
      </c>
      <c r="AW57" t="s">
        <v>780</v>
      </c>
      <c r="AX57" t="s">
        <v>230</v>
      </c>
      <c r="AY57" t="s">
        <v>970</v>
      </c>
      <c r="AZ57" s="1" t="s">
        <v>123</v>
      </c>
      <c r="CT57" s="1" t="s">
        <v>123</v>
      </c>
      <c r="DD57" s="1" t="s">
        <v>123</v>
      </c>
      <c r="DN57" s="1" t="s">
        <v>123</v>
      </c>
      <c r="EQ57" s="1" t="s">
        <v>123</v>
      </c>
      <c r="FQ57" s="1" t="s">
        <v>123</v>
      </c>
      <c r="FR57" t="s">
        <v>132</v>
      </c>
      <c r="FT57" t="s">
        <v>132</v>
      </c>
      <c r="GY57" t="s">
        <v>786</v>
      </c>
      <c r="GZ57" t="s">
        <v>787</v>
      </c>
      <c r="HA57" t="s">
        <v>807</v>
      </c>
      <c r="HB57" t="s">
        <v>186</v>
      </c>
      <c r="HC57">
        <v>1968</v>
      </c>
      <c r="HD57" t="str">
        <f>VLOOKUP(AnalizaCzyste[[#This Row],[Rok urodzenia]],KategorieWiekowe[],2,1)</f>
        <v>46-55 lat</v>
      </c>
      <c r="HE57" t="s">
        <v>398</v>
      </c>
      <c r="HF57" t="s">
        <v>971</v>
      </c>
      <c r="HG57" t="s">
        <v>972</v>
      </c>
    </row>
    <row r="58" spans="1:216" hidden="1" x14ac:dyDescent="0.45">
      <c r="A58">
        <v>97</v>
      </c>
      <c r="B58">
        <f>_xlfn.IFNA(VLOOKUP(AnalizaCzyste[[#This Row],[Zakończono wypełnianie]],Zakończone[],2,0),"BRAK")</f>
        <v>60</v>
      </c>
      <c r="C58">
        <f>COUNTA(P58:HI58)</f>
        <v>39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>
        <v>1996</v>
      </c>
      <c r="AK58" t="s">
        <v>148</v>
      </c>
      <c r="AL58" t="s">
        <v>601</v>
      </c>
      <c r="AM58" t="s">
        <v>128</v>
      </c>
      <c r="AN58" t="s">
        <v>151</v>
      </c>
      <c r="AO58" t="s">
        <v>169</v>
      </c>
      <c r="AP58" t="s">
        <v>129</v>
      </c>
      <c r="AQ58" t="s">
        <v>129</v>
      </c>
      <c r="AR58" t="s">
        <v>976</v>
      </c>
      <c r="AS58" t="s">
        <v>131</v>
      </c>
      <c r="AT58" t="s">
        <v>131</v>
      </c>
      <c r="AU58" t="s">
        <v>802</v>
      </c>
      <c r="AV58" t="s">
        <v>824</v>
      </c>
      <c r="AW58" t="s">
        <v>977</v>
      </c>
      <c r="AX58" t="s">
        <v>230</v>
      </c>
      <c r="AZ58" s="1" t="s">
        <v>123</v>
      </c>
      <c r="CT58" s="1" t="s">
        <v>123</v>
      </c>
      <c r="DD58" s="1" t="s">
        <v>123</v>
      </c>
      <c r="DN58" s="1" t="s">
        <v>123</v>
      </c>
      <c r="EQ58" s="1" t="s">
        <v>123</v>
      </c>
      <c r="ER58" t="s">
        <v>178</v>
      </c>
      <c r="ES58" t="s">
        <v>132</v>
      </c>
      <c r="FQ58" s="1" t="s">
        <v>123</v>
      </c>
      <c r="FR58" t="s">
        <v>132</v>
      </c>
      <c r="FT58" t="s">
        <v>132</v>
      </c>
      <c r="GY58" t="s">
        <v>978</v>
      </c>
      <c r="GZ58" t="s">
        <v>819</v>
      </c>
      <c r="HA58" t="s">
        <v>979</v>
      </c>
      <c r="HB58" t="s">
        <v>140</v>
      </c>
      <c r="HC58">
        <v>1962</v>
      </c>
      <c r="HD58" t="str">
        <f>VLOOKUP(AnalizaCzyste[[#This Row],[Rok urodzenia]],KategorieWiekowe[],2,1)</f>
        <v>56-65 lat</v>
      </c>
      <c r="HE58" t="s">
        <v>220</v>
      </c>
      <c r="HG58" t="s">
        <v>980</v>
      </c>
      <c r="HH58" t="s">
        <v>386</v>
      </c>
    </row>
    <row r="59" spans="1:216" hidden="1" x14ac:dyDescent="0.45">
      <c r="A59">
        <v>99</v>
      </c>
      <c r="B59">
        <f>_xlfn.IFNA(VLOOKUP(AnalizaCzyste[[#This Row],[Zakończono wypełnianie]],Zakończone[],2,0),"BRAK")</f>
        <v>61</v>
      </c>
      <c r="C59">
        <f>COUNTA(P59:HI59)</f>
        <v>33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>
        <v>2015</v>
      </c>
      <c r="AK59" t="s">
        <v>148</v>
      </c>
      <c r="AL59" t="s">
        <v>988</v>
      </c>
      <c r="AM59" t="s">
        <v>169</v>
      </c>
      <c r="AN59" t="s">
        <v>150</v>
      </c>
      <c r="AO59" t="s">
        <v>151</v>
      </c>
      <c r="AP59" t="s">
        <v>151</v>
      </c>
      <c r="AQ59" t="s">
        <v>151</v>
      </c>
      <c r="AR59" t="s">
        <v>883</v>
      </c>
      <c r="AS59" t="s">
        <v>131</v>
      </c>
      <c r="AT59" t="s">
        <v>302</v>
      </c>
      <c r="AV59" t="s">
        <v>989</v>
      </c>
      <c r="AW59" t="s">
        <v>990</v>
      </c>
      <c r="AX59" t="s">
        <v>157</v>
      </c>
      <c r="AZ59" s="1" t="s">
        <v>123</v>
      </c>
      <c r="CT59" s="1" t="s">
        <v>123</v>
      </c>
      <c r="DD59" s="1" t="s">
        <v>123</v>
      </c>
      <c r="DN59" s="1" t="s">
        <v>123</v>
      </c>
      <c r="EQ59" s="1" t="s">
        <v>123</v>
      </c>
      <c r="FQ59" s="1" t="s">
        <v>123</v>
      </c>
      <c r="FR59" t="s">
        <v>132</v>
      </c>
      <c r="GY59" t="s">
        <v>786</v>
      </c>
      <c r="GZ59" t="s">
        <v>991</v>
      </c>
      <c r="HA59" t="s">
        <v>820</v>
      </c>
      <c r="HB59" t="s">
        <v>140</v>
      </c>
      <c r="HC59">
        <v>1991</v>
      </c>
      <c r="HD59" t="str">
        <f>VLOOKUP(AnalizaCzyste[[#This Row],[Rok urodzenia]],KategorieWiekowe[],2,1)</f>
        <v>26-35 lat</v>
      </c>
      <c r="HE59" t="s">
        <v>220</v>
      </c>
    </row>
    <row r="60" spans="1:216" hidden="1" x14ac:dyDescent="0.45">
      <c r="A60">
        <v>100</v>
      </c>
      <c r="B60">
        <f>_xlfn.IFNA(VLOOKUP(AnalizaCzyste[[#This Row],[Zakończono wypełnianie]],Zakończone[],2,0),"BRAK")</f>
        <v>62</v>
      </c>
      <c r="C60">
        <f>COUNTA(P60:HI60)</f>
        <v>39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>
        <v>2010</v>
      </c>
      <c r="AK60" t="s">
        <v>148</v>
      </c>
      <c r="AL60" t="s">
        <v>429</v>
      </c>
      <c r="AM60" t="s">
        <v>169</v>
      </c>
      <c r="AN60" t="s">
        <v>169</v>
      </c>
      <c r="AO60" t="s">
        <v>150</v>
      </c>
      <c r="AP60" t="s">
        <v>236</v>
      </c>
      <c r="AQ60" t="s">
        <v>128</v>
      </c>
      <c r="AR60" t="s">
        <v>883</v>
      </c>
      <c r="AS60" t="s">
        <v>152</v>
      </c>
      <c r="AT60" t="s">
        <v>131</v>
      </c>
      <c r="AU60" t="s">
        <v>996</v>
      </c>
      <c r="AV60" t="s">
        <v>794</v>
      </c>
      <c r="AW60" t="s">
        <v>780</v>
      </c>
      <c r="AX60" t="s">
        <v>230</v>
      </c>
      <c r="AZ60" s="1" t="s">
        <v>123</v>
      </c>
      <c r="CT60" s="1" t="s">
        <v>123</v>
      </c>
      <c r="DD60" s="1" t="s">
        <v>123</v>
      </c>
      <c r="DN60" s="1" t="s">
        <v>123</v>
      </c>
      <c r="EQ60" s="1" t="s">
        <v>123</v>
      </c>
      <c r="ER60" t="s">
        <v>180</v>
      </c>
      <c r="ES60" t="s">
        <v>132</v>
      </c>
      <c r="FQ60" s="1" t="s">
        <v>123</v>
      </c>
      <c r="FR60" t="s">
        <v>132</v>
      </c>
      <c r="FT60" t="s">
        <v>132</v>
      </c>
      <c r="GY60" t="s">
        <v>786</v>
      </c>
      <c r="GZ60" t="s">
        <v>819</v>
      </c>
      <c r="HA60" t="s">
        <v>820</v>
      </c>
      <c r="HB60" t="s">
        <v>186</v>
      </c>
      <c r="HC60">
        <v>1986</v>
      </c>
      <c r="HD60" t="str">
        <f>VLOOKUP(AnalizaCzyste[[#This Row],[Rok urodzenia]],KategorieWiekowe[],2,1)</f>
        <v>26-35 lat</v>
      </c>
      <c r="HE60" t="s">
        <v>483</v>
      </c>
      <c r="HG60" t="s">
        <v>386</v>
      </c>
      <c r="HH60" t="s">
        <v>386</v>
      </c>
    </row>
    <row r="61" spans="1:216" hidden="1" x14ac:dyDescent="0.45">
      <c r="A61">
        <v>102</v>
      </c>
      <c r="B61">
        <f>_xlfn.IFNA(VLOOKUP(AnalizaCzyste[[#This Row],[Zakończono wypełnianie]],Zakończone[],2,0),"BRAK")</f>
        <v>63</v>
      </c>
      <c r="C61">
        <f>COUNTA(P61:HI61)</f>
        <v>46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>
        <v>1996</v>
      </c>
      <c r="AK61" t="s">
        <v>148</v>
      </c>
      <c r="AL61" t="s">
        <v>1003</v>
      </c>
      <c r="AM61" t="s">
        <v>150</v>
      </c>
      <c r="AN61" t="s">
        <v>150</v>
      </c>
      <c r="AO61" t="s">
        <v>162</v>
      </c>
      <c r="AP61" t="s">
        <v>129</v>
      </c>
      <c r="AQ61" t="s">
        <v>236</v>
      </c>
      <c r="AR61">
        <v>1</v>
      </c>
      <c r="AS61" t="s">
        <v>131</v>
      </c>
      <c r="AT61" t="s">
        <v>153</v>
      </c>
      <c r="AU61" t="s">
        <v>1004</v>
      </c>
      <c r="AV61" t="s">
        <v>1005</v>
      </c>
      <c r="AW61" t="s">
        <v>532</v>
      </c>
      <c r="AX61" t="s">
        <v>157</v>
      </c>
      <c r="AY61" t="s">
        <v>1006</v>
      </c>
      <c r="AZ61" s="1" t="s">
        <v>123</v>
      </c>
      <c r="CT61" s="1" t="s">
        <v>123</v>
      </c>
      <c r="DD61" s="1" t="s">
        <v>123</v>
      </c>
      <c r="DN61" s="1" t="s">
        <v>123</v>
      </c>
      <c r="EQ61" s="1" t="s">
        <v>177</v>
      </c>
      <c r="ER61" t="s">
        <v>178</v>
      </c>
      <c r="ES61" t="s">
        <v>132</v>
      </c>
      <c r="ET61" t="s">
        <v>1002</v>
      </c>
      <c r="EU61" t="s">
        <v>236</v>
      </c>
      <c r="EV61" t="s">
        <v>236</v>
      </c>
      <c r="EW61" t="s">
        <v>151</v>
      </c>
      <c r="EX61" t="s">
        <v>178</v>
      </c>
      <c r="EY61" t="s">
        <v>1007</v>
      </c>
      <c r="EZ61" t="s">
        <v>1008</v>
      </c>
      <c r="FA61" t="s">
        <v>173</v>
      </c>
      <c r="FQ61" s="1" t="s">
        <v>123</v>
      </c>
      <c r="FR61" t="s">
        <v>132</v>
      </c>
      <c r="FT61" t="s">
        <v>132</v>
      </c>
      <c r="GY61" t="s">
        <v>1009</v>
      </c>
      <c r="GZ61" t="s">
        <v>1007</v>
      </c>
      <c r="HA61" t="s">
        <v>1009</v>
      </c>
      <c r="HB61" t="s">
        <v>186</v>
      </c>
      <c r="HC61">
        <v>1966</v>
      </c>
      <c r="HD61" t="str">
        <f>VLOOKUP(AnalizaCzyste[[#This Row],[Rok urodzenia]],KategorieWiekowe[],2,1)</f>
        <v>46-55 lat</v>
      </c>
      <c r="HE61" t="s">
        <v>141</v>
      </c>
    </row>
    <row r="62" spans="1:216" hidden="1" x14ac:dyDescent="0.45">
      <c r="A62">
        <v>105</v>
      </c>
      <c r="B62">
        <f>_xlfn.IFNA(VLOOKUP(AnalizaCzyste[[#This Row],[Zakończono wypełnianie]],Zakończone[],2,0),"BRAK")</f>
        <v>64</v>
      </c>
      <c r="C62">
        <f>COUNTA(P62:HI62)</f>
        <v>37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>
        <v>2003</v>
      </c>
      <c r="AK62" t="s">
        <v>148</v>
      </c>
      <c r="AL62" t="s">
        <v>1017</v>
      </c>
      <c r="AM62" t="s">
        <v>128</v>
      </c>
      <c r="AN62" t="s">
        <v>128</v>
      </c>
      <c r="AO62" t="s">
        <v>128</v>
      </c>
      <c r="AP62" t="s">
        <v>236</v>
      </c>
      <c r="AQ62" t="s">
        <v>132</v>
      </c>
      <c r="AR62" t="s">
        <v>1018</v>
      </c>
      <c r="AS62" t="s">
        <v>131</v>
      </c>
      <c r="AT62" t="s">
        <v>131</v>
      </c>
      <c r="AV62" t="s">
        <v>1019</v>
      </c>
      <c r="AW62" t="s">
        <v>1020</v>
      </c>
      <c r="AX62" t="s">
        <v>157</v>
      </c>
      <c r="AZ62" s="1" t="s">
        <v>123</v>
      </c>
      <c r="CT62" s="1" t="s">
        <v>123</v>
      </c>
      <c r="DD62" s="1" t="s">
        <v>123</v>
      </c>
      <c r="DN62" s="1" t="s">
        <v>123</v>
      </c>
      <c r="EQ62" s="1" t="s">
        <v>123</v>
      </c>
      <c r="ER62" t="s">
        <v>180</v>
      </c>
      <c r="ES62" t="s">
        <v>132</v>
      </c>
      <c r="FQ62" s="1" t="s">
        <v>123</v>
      </c>
      <c r="FR62" t="s">
        <v>132</v>
      </c>
      <c r="FT62" t="s">
        <v>132</v>
      </c>
      <c r="GY62" t="s">
        <v>276</v>
      </c>
      <c r="GZ62" t="s">
        <v>1021</v>
      </c>
      <c r="HA62" t="s">
        <v>1022</v>
      </c>
      <c r="HB62" t="s">
        <v>140</v>
      </c>
      <c r="HC62">
        <v>1980</v>
      </c>
      <c r="HD62" t="str">
        <f>VLOOKUP(AnalizaCzyste[[#This Row],[Rok urodzenia]],KategorieWiekowe[],2,1)</f>
        <v>36-45 lat</v>
      </c>
      <c r="HE62" t="s">
        <v>483</v>
      </c>
      <c r="HG62" t="s">
        <v>1023</v>
      </c>
    </row>
    <row r="63" spans="1:216" hidden="1" x14ac:dyDescent="0.45">
      <c r="A63">
        <v>110</v>
      </c>
      <c r="B63">
        <f>_xlfn.IFNA(VLOOKUP(AnalizaCzyste[[#This Row],[Zakończono wypełnianie]],Zakończone[],2,0),"BRAK")</f>
        <v>65</v>
      </c>
      <c r="C63">
        <f>COUNTA(P63:HI63)</f>
        <v>37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2322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>
        <v>2007</v>
      </c>
      <c r="AK63" t="s">
        <v>126</v>
      </c>
      <c r="AL63" t="s">
        <v>1039</v>
      </c>
      <c r="AM63" t="s">
        <v>128</v>
      </c>
      <c r="AN63" t="s">
        <v>151</v>
      </c>
      <c r="AO63" t="s">
        <v>236</v>
      </c>
      <c r="AP63" t="s">
        <v>129</v>
      </c>
      <c r="AQ63" t="s">
        <v>129</v>
      </c>
      <c r="AR63">
        <v>5</v>
      </c>
      <c r="AS63" t="s">
        <v>302</v>
      </c>
      <c r="AT63" t="s">
        <v>302</v>
      </c>
      <c r="AV63" t="s">
        <v>1040</v>
      </c>
      <c r="AW63" t="s">
        <v>1041</v>
      </c>
      <c r="AX63" t="s">
        <v>892</v>
      </c>
      <c r="AY63" t="s">
        <v>1042</v>
      </c>
      <c r="AZ63" s="1" t="s">
        <v>123</v>
      </c>
      <c r="CT63" s="1" t="s">
        <v>123</v>
      </c>
      <c r="DD63" s="1" t="s">
        <v>123</v>
      </c>
      <c r="DN63" s="1" t="s">
        <v>123</v>
      </c>
      <c r="EQ63" s="1" t="s">
        <v>123</v>
      </c>
      <c r="ER63" t="s">
        <v>180</v>
      </c>
      <c r="ES63" t="s">
        <v>132</v>
      </c>
      <c r="FQ63" s="1" t="s">
        <v>123</v>
      </c>
      <c r="FR63" t="s">
        <v>132</v>
      </c>
      <c r="FT63" t="s">
        <v>132</v>
      </c>
      <c r="GY63" t="s">
        <v>1043</v>
      </c>
      <c r="GZ63" t="s">
        <v>1044</v>
      </c>
      <c r="HA63" t="s">
        <v>1045</v>
      </c>
      <c r="HB63" t="s">
        <v>186</v>
      </c>
      <c r="HC63">
        <v>1982</v>
      </c>
      <c r="HD63" t="str">
        <f>VLOOKUP(AnalizaCzyste[[#This Row],[Rok urodzenia]],KategorieWiekowe[],2,1)</f>
        <v>36-45 lat</v>
      </c>
      <c r="HE63" t="s">
        <v>246</v>
      </c>
    </row>
    <row r="64" spans="1:216" hidden="1" x14ac:dyDescent="0.45">
      <c r="A64">
        <v>111</v>
      </c>
      <c r="B64">
        <f>_xlfn.IFNA(VLOOKUP(AnalizaCzyste[[#This Row],[Zakończono wypełnianie]],Zakończone[],2,0),"BRAK")</f>
        <v>66</v>
      </c>
      <c r="C64">
        <f>COUNTA(P64:HI64)</f>
        <v>39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>
        <v>2009</v>
      </c>
      <c r="AK64" t="s">
        <v>148</v>
      </c>
      <c r="AL64" t="s">
        <v>1050</v>
      </c>
      <c r="AM64" t="s">
        <v>150</v>
      </c>
      <c r="AN64" t="s">
        <v>162</v>
      </c>
      <c r="AO64" t="s">
        <v>169</v>
      </c>
      <c r="AP64" t="s">
        <v>162</v>
      </c>
      <c r="AQ64" t="s">
        <v>150</v>
      </c>
      <c r="AR64" t="s">
        <v>1051</v>
      </c>
      <c r="AS64" t="s">
        <v>302</v>
      </c>
      <c r="AT64" t="s">
        <v>153</v>
      </c>
      <c r="AU64" t="s">
        <v>1052</v>
      </c>
      <c r="AV64" t="s">
        <v>1053</v>
      </c>
      <c r="AW64" t="s">
        <v>1054</v>
      </c>
      <c r="AX64" t="s">
        <v>230</v>
      </c>
      <c r="AY64" t="s">
        <v>1050</v>
      </c>
      <c r="AZ64" s="1" t="s">
        <v>123</v>
      </c>
      <c r="CT64" s="1" t="s">
        <v>123</v>
      </c>
      <c r="DD64" s="1" t="s">
        <v>123</v>
      </c>
      <c r="DN64" s="1" t="s">
        <v>123</v>
      </c>
      <c r="EQ64" s="1" t="s">
        <v>123</v>
      </c>
      <c r="ER64" t="s">
        <v>180</v>
      </c>
      <c r="ES64" t="s">
        <v>132</v>
      </c>
      <c r="FQ64" s="1" t="s">
        <v>123</v>
      </c>
      <c r="FR64" t="s">
        <v>132</v>
      </c>
      <c r="FT64" t="s">
        <v>132</v>
      </c>
      <c r="GY64" t="s">
        <v>1055</v>
      </c>
      <c r="GZ64" t="s">
        <v>1056</v>
      </c>
      <c r="HA64" t="s">
        <v>1057</v>
      </c>
      <c r="HB64" t="s">
        <v>186</v>
      </c>
      <c r="HC64">
        <v>1978</v>
      </c>
      <c r="HD64" t="str">
        <f>VLOOKUP(AnalizaCzyste[[#This Row],[Rok urodzenia]],KategorieWiekowe[],2,1)</f>
        <v>36-45 lat</v>
      </c>
      <c r="HE64" t="s">
        <v>141</v>
      </c>
      <c r="HG64" t="s">
        <v>1058</v>
      </c>
    </row>
    <row r="65" spans="1:216" hidden="1" x14ac:dyDescent="0.45">
      <c r="A65">
        <v>113</v>
      </c>
      <c r="B65">
        <f>_xlfn.IFNA(VLOOKUP(AnalizaCzyste[[#This Row],[Zakończono wypełnianie]],Zakończone[],2,0),"BRAK")</f>
        <v>67</v>
      </c>
      <c r="C65">
        <f>COUNTA(P65:HI65)</f>
        <v>34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>
        <v>2019</v>
      </c>
      <c r="AK65" t="s">
        <v>148</v>
      </c>
      <c r="AL65" t="s">
        <v>1069</v>
      </c>
      <c r="AM65" t="s">
        <v>128</v>
      </c>
      <c r="AN65" t="s">
        <v>151</v>
      </c>
      <c r="AO65" t="s">
        <v>128</v>
      </c>
      <c r="AP65" t="s">
        <v>129</v>
      </c>
      <c r="AQ65" t="s">
        <v>132</v>
      </c>
      <c r="AR65" t="s">
        <v>1070</v>
      </c>
      <c r="AS65" t="s">
        <v>153</v>
      </c>
      <c r="AT65" t="s">
        <v>132</v>
      </c>
      <c r="AV65" t="s">
        <v>1071</v>
      </c>
      <c r="AW65" t="s">
        <v>1072</v>
      </c>
      <c r="AX65" t="s">
        <v>892</v>
      </c>
      <c r="AZ65" s="1" t="s">
        <v>123</v>
      </c>
      <c r="CT65" s="1" t="s">
        <v>123</v>
      </c>
      <c r="DD65" s="1" t="s">
        <v>123</v>
      </c>
      <c r="DN65" s="1" t="s">
        <v>123</v>
      </c>
      <c r="EQ65" s="1" t="s">
        <v>123</v>
      </c>
      <c r="FQ65" s="1" t="s">
        <v>123</v>
      </c>
      <c r="FR65" t="s">
        <v>132</v>
      </c>
      <c r="GY65" t="s">
        <v>1073</v>
      </c>
      <c r="GZ65" t="s">
        <v>1074</v>
      </c>
      <c r="HA65" t="s">
        <v>1075</v>
      </c>
      <c r="HB65" t="s">
        <v>140</v>
      </c>
      <c r="HC65">
        <v>1991</v>
      </c>
      <c r="HD65" t="str">
        <f>VLOOKUP(AnalizaCzyste[[#This Row],[Rok urodzenia]],KategorieWiekowe[],2,1)</f>
        <v>26-35 lat</v>
      </c>
      <c r="HE65" t="s">
        <v>398</v>
      </c>
      <c r="HH65" t="s">
        <v>1076</v>
      </c>
    </row>
    <row r="66" spans="1:216" hidden="1" x14ac:dyDescent="0.45">
      <c r="A66">
        <v>114</v>
      </c>
      <c r="B66">
        <f>_xlfn.IFNA(VLOOKUP(AnalizaCzyste[[#This Row],[Zakończono wypełnianie]],Zakończone[],2,0),"BRAK")</f>
        <v>68</v>
      </c>
      <c r="C66">
        <f>COUNTA(P66:HI66)</f>
        <v>43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>
        <v>2007</v>
      </c>
      <c r="AK66" t="s">
        <v>148</v>
      </c>
      <c r="AL66" t="s">
        <v>969</v>
      </c>
      <c r="AM66" t="s">
        <v>151</v>
      </c>
      <c r="AN66" t="s">
        <v>151</v>
      </c>
      <c r="AO66" t="s">
        <v>150</v>
      </c>
      <c r="AP66" t="s">
        <v>162</v>
      </c>
      <c r="AQ66" t="s">
        <v>150</v>
      </c>
      <c r="AR66" t="s">
        <v>237</v>
      </c>
      <c r="AS66" t="s">
        <v>131</v>
      </c>
      <c r="AT66" t="s">
        <v>302</v>
      </c>
      <c r="AV66" t="s">
        <v>1080</v>
      </c>
      <c r="AW66" t="s">
        <v>1081</v>
      </c>
      <c r="AX66" t="s">
        <v>230</v>
      </c>
      <c r="AZ66" s="1" t="s">
        <v>123</v>
      </c>
      <c r="CT66" s="1" t="s">
        <v>123</v>
      </c>
      <c r="DD66" s="1" t="s">
        <v>123</v>
      </c>
      <c r="DN66" s="1" t="s">
        <v>123</v>
      </c>
      <c r="EQ66" s="1" t="s">
        <v>123</v>
      </c>
      <c r="ER66" t="s">
        <v>178</v>
      </c>
      <c r="ES66" t="s">
        <v>132</v>
      </c>
      <c r="ET66" t="s">
        <v>1082</v>
      </c>
      <c r="EU66" t="s">
        <v>151</v>
      </c>
      <c r="EV66" t="s">
        <v>151</v>
      </c>
      <c r="EW66" t="s">
        <v>151</v>
      </c>
      <c r="EX66" t="s">
        <v>178</v>
      </c>
      <c r="EZ66" t="s">
        <v>1083</v>
      </c>
      <c r="FA66" t="s">
        <v>173</v>
      </c>
      <c r="FQ66" s="1" t="s">
        <v>123</v>
      </c>
      <c r="FR66" t="s">
        <v>132</v>
      </c>
      <c r="FT66" t="s">
        <v>132</v>
      </c>
      <c r="GY66" t="s">
        <v>1084</v>
      </c>
      <c r="GZ66" t="s">
        <v>1085</v>
      </c>
      <c r="HA66" t="s">
        <v>1086</v>
      </c>
      <c r="HB66" t="s">
        <v>140</v>
      </c>
      <c r="HC66">
        <v>1982</v>
      </c>
      <c r="HD66" t="str">
        <f>VLOOKUP(AnalizaCzyste[[#This Row],[Rok urodzenia]],KategorieWiekowe[],2,1)</f>
        <v>36-45 lat</v>
      </c>
      <c r="HE66" t="s">
        <v>141</v>
      </c>
    </row>
    <row r="67" spans="1:216" hidden="1" x14ac:dyDescent="0.45">
      <c r="A67">
        <v>115</v>
      </c>
      <c r="B67">
        <f>_xlfn.IFNA(VLOOKUP(AnalizaCzyste[[#This Row],[Zakończono wypełnianie]],Zakończone[],2,0),"BRAK")</f>
        <v>69</v>
      </c>
      <c r="C67">
        <f>COUNTA(P67:HI67)</f>
        <v>34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>
        <v>2004</v>
      </c>
      <c r="AK67" t="s">
        <v>126</v>
      </c>
      <c r="AL67" t="s">
        <v>844</v>
      </c>
      <c r="AM67" t="s">
        <v>162</v>
      </c>
      <c r="AN67" t="s">
        <v>162</v>
      </c>
      <c r="AO67" t="s">
        <v>150</v>
      </c>
      <c r="AP67" t="s">
        <v>151</v>
      </c>
      <c r="AQ67" t="s">
        <v>150</v>
      </c>
      <c r="AR67" t="s">
        <v>237</v>
      </c>
      <c r="AS67" t="s">
        <v>302</v>
      </c>
      <c r="AT67" t="s">
        <v>226</v>
      </c>
      <c r="AU67" t="s">
        <v>1091</v>
      </c>
      <c r="AV67" t="s">
        <v>1092</v>
      </c>
      <c r="AW67" t="s">
        <v>1093</v>
      </c>
      <c r="AX67" t="s">
        <v>157</v>
      </c>
      <c r="AZ67" s="1" t="s">
        <v>123</v>
      </c>
      <c r="CT67" s="1" t="s">
        <v>123</v>
      </c>
      <c r="DD67" s="1" t="s">
        <v>123</v>
      </c>
      <c r="DN67" s="1" t="s">
        <v>123</v>
      </c>
      <c r="EQ67" s="1" t="s">
        <v>123</v>
      </c>
      <c r="FQ67" s="1" t="s">
        <v>123</v>
      </c>
      <c r="FR67" t="s">
        <v>132</v>
      </c>
      <c r="GY67" t="s">
        <v>1094</v>
      </c>
      <c r="GZ67" t="s">
        <v>1095</v>
      </c>
      <c r="HA67" t="s">
        <v>1096</v>
      </c>
      <c r="HB67" t="s">
        <v>140</v>
      </c>
      <c r="HC67">
        <v>1976</v>
      </c>
      <c r="HD67" t="str">
        <f>VLOOKUP(AnalizaCzyste[[#This Row],[Rok urodzenia]],KategorieWiekowe[],2,1)</f>
        <v>36-45 lat</v>
      </c>
      <c r="HE67" t="s">
        <v>141</v>
      </c>
    </row>
    <row r="68" spans="1:216" hidden="1" x14ac:dyDescent="0.45">
      <c r="A68">
        <v>117</v>
      </c>
      <c r="B68">
        <f>_xlfn.IFNA(VLOOKUP(AnalizaCzyste[[#This Row],[Zakończono wypełnianie]],Zakończone[],2,0),"BRAK")</f>
        <v>70</v>
      </c>
      <c r="C68">
        <f>COUNTA(P68:HI68)</f>
        <v>32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>
        <v>2018</v>
      </c>
      <c r="AK68" t="s">
        <v>126</v>
      </c>
      <c r="AL68" t="s">
        <v>844</v>
      </c>
      <c r="AM68" t="s">
        <v>150</v>
      </c>
      <c r="AN68" t="s">
        <v>151</v>
      </c>
      <c r="AO68" t="s">
        <v>162</v>
      </c>
      <c r="AP68" t="s">
        <v>150</v>
      </c>
      <c r="AQ68" t="s">
        <v>132</v>
      </c>
      <c r="AR68">
        <v>1</v>
      </c>
      <c r="AS68" t="s">
        <v>153</v>
      </c>
      <c r="AT68" t="s">
        <v>132</v>
      </c>
      <c r="AV68" t="s">
        <v>1101</v>
      </c>
      <c r="AW68" t="s">
        <v>1102</v>
      </c>
      <c r="AX68" t="s">
        <v>157</v>
      </c>
      <c r="AZ68" s="1" t="s">
        <v>123</v>
      </c>
      <c r="CT68" s="1" t="s">
        <v>123</v>
      </c>
      <c r="DD68" s="1" t="s">
        <v>123</v>
      </c>
      <c r="DN68" s="1" t="s">
        <v>123</v>
      </c>
      <c r="EQ68" s="1" t="s">
        <v>123</v>
      </c>
      <c r="FQ68" s="1" t="s">
        <v>123</v>
      </c>
      <c r="GY68" t="s">
        <v>1103</v>
      </c>
      <c r="GZ68" t="s">
        <v>1104</v>
      </c>
      <c r="HA68" t="s">
        <v>1105</v>
      </c>
      <c r="HB68" t="s">
        <v>140</v>
      </c>
      <c r="HC68">
        <v>1991</v>
      </c>
      <c r="HD68" t="str">
        <f>VLOOKUP(AnalizaCzyste[[#This Row],[Rok urodzenia]],KategorieWiekowe[],2,1)</f>
        <v>26-35 lat</v>
      </c>
      <c r="HE68" t="s">
        <v>141</v>
      </c>
    </row>
    <row r="69" spans="1:216" hidden="1" x14ac:dyDescent="0.45">
      <c r="A69">
        <v>122</v>
      </c>
      <c r="B69">
        <f>_xlfn.IFNA(VLOOKUP(AnalizaCzyste[[#This Row],[Zakończono wypełnianie]],Zakończone[],2,0),"BRAK")</f>
        <v>71</v>
      </c>
      <c r="C69">
        <f>COUNTA(P69:HI69)</f>
        <v>34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>
        <v>2015</v>
      </c>
      <c r="AK69" t="s">
        <v>126</v>
      </c>
      <c r="AL69" t="s">
        <v>1134</v>
      </c>
      <c r="AM69" t="s">
        <v>128</v>
      </c>
      <c r="AN69" t="s">
        <v>151</v>
      </c>
      <c r="AO69" t="s">
        <v>169</v>
      </c>
      <c r="AP69" t="s">
        <v>162</v>
      </c>
      <c r="AQ69" t="s">
        <v>150</v>
      </c>
      <c r="AR69">
        <v>1</v>
      </c>
      <c r="AS69" t="s">
        <v>302</v>
      </c>
      <c r="AT69" t="s">
        <v>226</v>
      </c>
      <c r="AU69" t="s">
        <v>1135</v>
      </c>
      <c r="AV69" t="s">
        <v>1136</v>
      </c>
      <c r="AW69" t="s">
        <v>1137</v>
      </c>
      <c r="AX69" t="s">
        <v>172</v>
      </c>
      <c r="AZ69" s="1" t="s">
        <v>123</v>
      </c>
      <c r="CT69" s="1" t="s">
        <v>123</v>
      </c>
      <c r="DD69" s="1" t="s">
        <v>123</v>
      </c>
      <c r="DN69" s="1" t="s">
        <v>123</v>
      </c>
      <c r="EQ69" s="1" t="s">
        <v>123</v>
      </c>
      <c r="FQ69" s="1" t="s">
        <v>123</v>
      </c>
      <c r="GY69" t="s">
        <v>1138</v>
      </c>
      <c r="GZ69" t="s">
        <v>1139</v>
      </c>
      <c r="HA69" t="s">
        <v>1140</v>
      </c>
      <c r="HB69" t="s">
        <v>186</v>
      </c>
      <c r="HC69">
        <v>1991</v>
      </c>
      <c r="HD69" t="str">
        <f>VLOOKUP(AnalizaCzyste[[#This Row],[Rok urodzenia]],KategorieWiekowe[],2,1)</f>
        <v>26-35 lat</v>
      </c>
      <c r="HE69" t="s">
        <v>141</v>
      </c>
      <c r="HG69" t="s">
        <v>1141</v>
      </c>
    </row>
    <row r="70" spans="1:216" hidden="1" x14ac:dyDescent="0.45">
      <c r="A70">
        <v>123</v>
      </c>
      <c r="B70">
        <f>_xlfn.IFNA(VLOOKUP(AnalizaCzyste[[#This Row],[Zakończono wypełnianie]],Zakończone[],2,0),"BRAK")</f>
        <v>72</v>
      </c>
      <c r="C70">
        <f>COUNTA(P70:HI70)</f>
        <v>34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>
        <v>2016</v>
      </c>
      <c r="AK70" t="s">
        <v>126</v>
      </c>
      <c r="AL70" t="s">
        <v>1146</v>
      </c>
      <c r="AM70" t="s">
        <v>150</v>
      </c>
      <c r="AN70" t="s">
        <v>150</v>
      </c>
      <c r="AO70" t="s">
        <v>169</v>
      </c>
      <c r="AP70" t="s">
        <v>169</v>
      </c>
      <c r="AQ70" t="s">
        <v>169</v>
      </c>
      <c r="AR70">
        <v>3</v>
      </c>
      <c r="AS70" t="s">
        <v>302</v>
      </c>
      <c r="AT70" t="s">
        <v>943</v>
      </c>
      <c r="AV70" t="s">
        <v>1147</v>
      </c>
      <c r="AW70" t="s">
        <v>1148</v>
      </c>
      <c r="AX70" t="s">
        <v>892</v>
      </c>
      <c r="AZ70" s="1" t="s">
        <v>123</v>
      </c>
      <c r="CT70" s="1" t="s">
        <v>123</v>
      </c>
      <c r="DD70" s="1" t="s">
        <v>123</v>
      </c>
      <c r="DN70" s="1" t="s">
        <v>123</v>
      </c>
      <c r="EQ70" s="1" t="s">
        <v>123</v>
      </c>
      <c r="ER70" t="s">
        <v>178</v>
      </c>
      <c r="ES70">
        <v>1</v>
      </c>
      <c r="FQ70" s="1" t="s">
        <v>123</v>
      </c>
      <c r="GY70" t="s">
        <v>1149</v>
      </c>
      <c r="GZ70" t="s">
        <v>1149</v>
      </c>
      <c r="HA70" t="s">
        <v>1150</v>
      </c>
      <c r="HB70" t="s">
        <v>186</v>
      </c>
      <c r="HC70">
        <v>1986</v>
      </c>
      <c r="HD70" t="str">
        <f>VLOOKUP(AnalizaCzyste[[#This Row],[Rok urodzenia]],KategorieWiekowe[],2,1)</f>
        <v>26-35 lat</v>
      </c>
      <c r="HE70" t="s">
        <v>398</v>
      </c>
    </row>
    <row r="71" spans="1:216" hidden="1" x14ac:dyDescent="0.45">
      <c r="A71">
        <v>124</v>
      </c>
      <c r="B71">
        <f>_xlfn.IFNA(VLOOKUP(AnalizaCzyste[[#This Row],[Zakończono wypełnianie]],Zakończone[],2,0),"BRAK")</f>
        <v>73</v>
      </c>
      <c r="C71">
        <f>COUNTA(P71:HI71)</f>
        <v>36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>
        <v>2018</v>
      </c>
      <c r="AK71" t="s">
        <v>126</v>
      </c>
      <c r="AL71" t="s">
        <v>969</v>
      </c>
      <c r="AM71" t="s">
        <v>150</v>
      </c>
      <c r="AN71" t="s">
        <v>150</v>
      </c>
      <c r="AO71" t="s">
        <v>162</v>
      </c>
      <c r="AP71" t="s">
        <v>128</v>
      </c>
      <c r="AQ71" t="s">
        <v>151</v>
      </c>
      <c r="AR71" t="s">
        <v>530</v>
      </c>
      <c r="AS71" t="s">
        <v>131</v>
      </c>
      <c r="AT71" t="s">
        <v>302</v>
      </c>
      <c r="AU71" t="s">
        <v>1155</v>
      </c>
      <c r="AV71" t="s">
        <v>1156</v>
      </c>
      <c r="AW71" t="s">
        <v>1157</v>
      </c>
      <c r="AX71" t="s">
        <v>230</v>
      </c>
      <c r="AY71" t="s">
        <v>1158</v>
      </c>
      <c r="AZ71" s="1" t="s">
        <v>123</v>
      </c>
      <c r="CT71" s="1" t="s">
        <v>123</v>
      </c>
      <c r="DD71" s="1" t="s">
        <v>123</v>
      </c>
      <c r="DN71" s="1" t="s">
        <v>123</v>
      </c>
      <c r="EQ71" s="1" t="s">
        <v>123</v>
      </c>
      <c r="FQ71" s="1" t="s">
        <v>123</v>
      </c>
      <c r="GY71" t="s">
        <v>1159</v>
      </c>
      <c r="GZ71" t="s">
        <v>1160</v>
      </c>
      <c r="HA71" t="s">
        <v>1161</v>
      </c>
      <c r="HB71" t="s">
        <v>140</v>
      </c>
      <c r="HC71">
        <v>1991</v>
      </c>
      <c r="HD71" t="str">
        <f>VLOOKUP(AnalizaCzyste[[#This Row],[Rok urodzenia]],KategorieWiekowe[],2,1)</f>
        <v>26-35 lat</v>
      </c>
      <c r="HE71" t="s">
        <v>483</v>
      </c>
      <c r="HG71" t="s">
        <v>1162</v>
      </c>
      <c r="HH71" t="s">
        <v>142</v>
      </c>
    </row>
    <row r="72" spans="1:216" hidden="1" x14ac:dyDescent="0.45">
      <c r="A72">
        <v>125</v>
      </c>
      <c r="B72">
        <f>_xlfn.IFNA(VLOOKUP(AnalizaCzyste[[#This Row],[Zakończono wypełnianie]],Zakończone[],2,0),"BRAK")</f>
        <v>74</v>
      </c>
      <c r="C72">
        <f>COUNTA(P72:HI72)</f>
        <v>81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>
        <v>1978</v>
      </c>
      <c r="AK72" t="s">
        <v>148</v>
      </c>
      <c r="AL72" t="s">
        <v>1167</v>
      </c>
      <c r="AM72" t="s">
        <v>169</v>
      </c>
      <c r="AN72" t="s">
        <v>169</v>
      </c>
      <c r="AO72" t="s">
        <v>169</v>
      </c>
      <c r="AP72" t="s">
        <v>150</v>
      </c>
      <c r="AQ72" t="s">
        <v>150</v>
      </c>
      <c r="AR72" t="s">
        <v>1168</v>
      </c>
      <c r="AS72" t="s">
        <v>132</v>
      </c>
      <c r="AT72" t="s">
        <v>132</v>
      </c>
      <c r="AU72" t="s">
        <v>1169</v>
      </c>
      <c r="AV72" t="s">
        <v>1170</v>
      </c>
      <c r="AW72" t="s">
        <v>132</v>
      </c>
      <c r="AY72" t="s">
        <v>1171</v>
      </c>
      <c r="AZ72" s="1" t="s">
        <v>159</v>
      </c>
      <c r="BA72">
        <v>1</v>
      </c>
      <c r="BB72" t="s">
        <v>1290</v>
      </c>
      <c r="BC72">
        <v>2020</v>
      </c>
      <c r="BD72" t="s">
        <v>148</v>
      </c>
      <c r="BE72" t="s">
        <v>1050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1173</v>
      </c>
      <c r="BL72" t="s">
        <v>1174</v>
      </c>
      <c r="BM72" t="s">
        <v>230</v>
      </c>
      <c r="BO72" t="s">
        <v>1175</v>
      </c>
      <c r="BP72" t="s">
        <v>173</v>
      </c>
      <c r="CT72" s="1" t="s">
        <v>123</v>
      </c>
      <c r="DD72" s="1" t="s">
        <v>214</v>
      </c>
      <c r="DE72" t="s">
        <v>191</v>
      </c>
      <c r="DF72" t="s">
        <v>308</v>
      </c>
      <c r="DG72" t="s">
        <v>169</v>
      </c>
      <c r="DH72" t="s">
        <v>162</v>
      </c>
      <c r="DI72" t="s">
        <v>150</v>
      </c>
      <c r="DJ72" t="s">
        <v>169</v>
      </c>
      <c r="DK72" t="s">
        <v>150</v>
      </c>
      <c r="DL72" t="s">
        <v>150</v>
      </c>
      <c r="DM72" t="s">
        <v>1177</v>
      </c>
      <c r="DN72" s="1" t="s">
        <v>174</v>
      </c>
      <c r="DQ72" t="s">
        <v>1178</v>
      </c>
      <c r="DS72" t="s">
        <v>747</v>
      </c>
      <c r="DT72" t="s">
        <v>150</v>
      </c>
      <c r="DU72" t="s">
        <v>150</v>
      </c>
      <c r="DV72" t="s">
        <v>150</v>
      </c>
      <c r="DW72" t="s">
        <v>150</v>
      </c>
      <c r="DX72" t="s">
        <v>162</v>
      </c>
      <c r="DY72" t="s">
        <v>162</v>
      </c>
      <c r="DZ72" t="s">
        <v>162</v>
      </c>
      <c r="EA72">
        <v>25</v>
      </c>
      <c r="EB72">
        <v>10</v>
      </c>
      <c r="EC72">
        <v>0</v>
      </c>
      <c r="ED72">
        <v>10</v>
      </c>
      <c r="EE72">
        <v>25</v>
      </c>
      <c r="EF72">
        <v>15</v>
      </c>
      <c r="EG72">
        <v>15</v>
      </c>
      <c r="EI72">
        <v>10</v>
      </c>
      <c r="EJ72">
        <v>10</v>
      </c>
      <c r="EK72">
        <v>0</v>
      </c>
      <c r="EL72">
        <v>10</v>
      </c>
      <c r="EM72">
        <v>50</v>
      </c>
      <c r="EN72">
        <v>10</v>
      </c>
      <c r="EO72">
        <v>10</v>
      </c>
      <c r="EQ72" s="1" t="s">
        <v>123</v>
      </c>
      <c r="FQ72" s="1" t="s">
        <v>123</v>
      </c>
      <c r="GY72" t="s">
        <v>1179</v>
      </c>
      <c r="GZ72" t="s">
        <v>1180</v>
      </c>
      <c r="HA72" t="s">
        <v>1181</v>
      </c>
      <c r="HB72" t="s">
        <v>186</v>
      </c>
      <c r="HC72" s="20" t="s">
        <v>1473</v>
      </c>
      <c r="HD72" s="20" t="e">
        <f>VLOOKUP(AnalizaCzyste[[#This Row],[Rok urodzenia]],KategorieWiekowe[],2,1)</f>
        <v>#N/A</v>
      </c>
      <c r="HE72" t="s">
        <v>141</v>
      </c>
      <c r="HG72" t="s">
        <v>1183</v>
      </c>
    </row>
    <row r="73" spans="1:216" hidden="1" x14ac:dyDescent="0.45">
      <c r="A73">
        <v>126</v>
      </c>
      <c r="B73">
        <f>_xlfn.IFNA(VLOOKUP(AnalizaCzyste[[#This Row],[Zakończono wypełnianie]],Zakończone[],2,0),"BRAK")</f>
        <v>75</v>
      </c>
      <c r="C73">
        <f>COUNTA(P73:HI73)</f>
        <v>33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>
        <v>2018</v>
      </c>
      <c r="AK73" t="s">
        <v>126</v>
      </c>
      <c r="AL73" t="s">
        <v>1186</v>
      </c>
      <c r="AM73" t="s">
        <v>151</v>
      </c>
      <c r="AN73" t="s">
        <v>162</v>
      </c>
      <c r="AO73" t="s">
        <v>169</v>
      </c>
      <c r="AP73" t="s">
        <v>150</v>
      </c>
      <c r="AQ73" t="s">
        <v>132</v>
      </c>
      <c r="AR73" t="s">
        <v>959</v>
      </c>
      <c r="AS73" t="s">
        <v>302</v>
      </c>
      <c r="AT73" t="s">
        <v>226</v>
      </c>
      <c r="AU73" t="s">
        <v>1187</v>
      </c>
      <c r="AV73" t="s">
        <v>1188</v>
      </c>
      <c r="AW73" t="s">
        <v>1189</v>
      </c>
      <c r="AX73" t="s">
        <v>172</v>
      </c>
      <c r="AZ73" s="1" t="s">
        <v>123</v>
      </c>
      <c r="CT73" s="1" t="s">
        <v>123</v>
      </c>
      <c r="DD73" s="1" t="s">
        <v>123</v>
      </c>
      <c r="DN73" s="1" t="s">
        <v>123</v>
      </c>
      <c r="EQ73" s="1" t="s">
        <v>123</v>
      </c>
      <c r="FQ73" s="1" t="s">
        <v>123</v>
      </c>
      <c r="GY73" t="s">
        <v>276</v>
      </c>
      <c r="GZ73" t="s">
        <v>1190</v>
      </c>
      <c r="HA73" t="s">
        <v>1191</v>
      </c>
      <c r="HB73" t="s">
        <v>186</v>
      </c>
      <c r="HC73">
        <v>1991</v>
      </c>
      <c r="HD73" t="str">
        <f>VLOOKUP(AnalizaCzyste[[#This Row],[Rok urodzenia]],KategorieWiekowe[],2,1)</f>
        <v>26-35 lat</v>
      </c>
      <c r="HE73" t="s">
        <v>141</v>
      </c>
    </row>
    <row r="74" spans="1:216" hidden="1" x14ac:dyDescent="0.45">
      <c r="A74">
        <v>127</v>
      </c>
      <c r="B74">
        <f>_xlfn.IFNA(VLOOKUP(AnalizaCzyste[[#This Row],[Zakończono wypełnianie]],Zakończone[],2,0),"BRAK")</f>
        <v>76</v>
      </c>
      <c r="C74">
        <f>COUNTA(P74:HI74)</f>
        <v>44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>
        <v>1998</v>
      </c>
      <c r="AK74" t="s">
        <v>148</v>
      </c>
      <c r="AL74" t="s">
        <v>1195</v>
      </c>
      <c r="AM74" t="s">
        <v>162</v>
      </c>
      <c r="AN74" t="s">
        <v>151</v>
      </c>
      <c r="AO74" t="s">
        <v>151</v>
      </c>
      <c r="AP74" t="s">
        <v>236</v>
      </c>
      <c r="AQ74" t="s">
        <v>151</v>
      </c>
      <c r="AR74">
        <v>0</v>
      </c>
      <c r="AS74" t="s">
        <v>131</v>
      </c>
      <c r="AT74" t="s">
        <v>302</v>
      </c>
      <c r="AU74" t="s">
        <v>1196</v>
      </c>
      <c r="AV74" t="s">
        <v>1196</v>
      </c>
      <c r="AW74" t="s">
        <v>1197</v>
      </c>
      <c r="AX74" t="s">
        <v>157</v>
      </c>
      <c r="AZ74" s="1" t="s">
        <v>123</v>
      </c>
      <c r="CT74" s="1" t="s">
        <v>123</v>
      </c>
      <c r="DD74" s="1" t="s">
        <v>123</v>
      </c>
      <c r="DN74" s="1" t="s">
        <v>123</v>
      </c>
      <c r="EQ74" s="1" t="s">
        <v>177</v>
      </c>
      <c r="ER74" t="s">
        <v>180</v>
      </c>
      <c r="ES74" t="s">
        <v>132</v>
      </c>
      <c r="ET74" t="s">
        <v>132</v>
      </c>
      <c r="EU74" t="s">
        <v>151</v>
      </c>
      <c r="EV74" t="s">
        <v>151</v>
      </c>
      <c r="EW74" t="s">
        <v>151</v>
      </c>
      <c r="EX74" t="s">
        <v>178</v>
      </c>
      <c r="EY74" t="s">
        <v>132</v>
      </c>
      <c r="EZ74" t="s">
        <v>132</v>
      </c>
      <c r="FA74" t="s">
        <v>173</v>
      </c>
      <c r="FQ74" s="1" t="s">
        <v>123</v>
      </c>
      <c r="GY74" t="s">
        <v>1198</v>
      </c>
      <c r="GZ74" t="s">
        <v>1199</v>
      </c>
      <c r="HA74" t="s">
        <v>1198</v>
      </c>
      <c r="HB74" t="s">
        <v>186</v>
      </c>
      <c r="HC74">
        <v>1974</v>
      </c>
      <c r="HD74" t="str">
        <f>VLOOKUP(AnalizaCzyste[[#This Row],[Rok urodzenia]],KategorieWiekowe[],2,1)</f>
        <v>46-55 lat</v>
      </c>
      <c r="HE74" t="s">
        <v>141</v>
      </c>
      <c r="HF74" t="s">
        <v>313</v>
      </c>
    </row>
    <row r="75" spans="1:216" hidden="1" x14ac:dyDescent="0.45">
      <c r="A75">
        <v>128</v>
      </c>
      <c r="B75">
        <f>_xlfn.IFNA(VLOOKUP(AnalizaCzyste[[#This Row],[Zakończono wypełnianie]],Zakończone[],2,0),"BRAK")</f>
        <v>77</v>
      </c>
      <c r="C75">
        <f>COUNTA(P75:HI75)</f>
        <v>45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Z75" s="1" t="s">
        <v>123</v>
      </c>
      <c r="CT75" s="1" t="s">
        <v>123</v>
      </c>
      <c r="DD75" s="1" t="s">
        <v>214</v>
      </c>
      <c r="DE75" t="s">
        <v>191</v>
      </c>
      <c r="DF75" t="s">
        <v>308</v>
      </c>
      <c r="DG75" t="s">
        <v>162</v>
      </c>
      <c r="DH75" t="s">
        <v>162</v>
      </c>
      <c r="DI75" t="s">
        <v>150</v>
      </c>
      <c r="DJ75" t="s">
        <v>150</v>
      </c>
      <c r="DK75" t="s">
        <v>150</v>
      </c>
      <c r="DL75" t="s">
        <v>169</v>
      </c>
      <c r="DM75" t="s">
        <v>1203</v>
      </c>
      <c r="DN75" s="1" t="s">
        <v>123</v>
      </c>
      <c r="EQ75" s="1" t="s">
        <v>177</v>
      </c>
      <c r="ER75" t="s">
        <v>178</v>
      </c>
      <c r="ES75">
        <v>2</v>
      </c>
      <c r="ET75" t="s">
        <v>191</v>
      </c>
      <c r="EU75" t="s">
        <v>169</v>
      </c>
      <c r="EV75" t="s">
        <v>169</v>
      </c>
      <c r="EW75" t="s">
        <v>169</v>
      </c>
      <c r="EX75" t="s">
        <v>178</v>
      </c>
      <c r="EY75" t="s">
        <v>1204</v>
      </c>
      <c r="EZ75" t="s">
        <v>1205</v>
      </c>
      <c r="FA75" t="s">
        <v>1206</v>
      </c>
      <c r="FB75" t="s">
        <v>223</v>
      </c>
      <c r="FC75" t="s">
        <v>128</v>
      </c>
      <c r="FD75" t="s">
        <v>236</v>
      </c>
      <c r="FE75" t="s">
        <v>129</v>
      </c>
      <c r="FF75" t="s">
        <v>178</v>
      </c>
      <c r="FG75" t="s">
        <v>960</v>
      </c>
      <c r="FH75" t="s">
        <v>1207</v>
      </c>
      <c r="FI75" t="s">
        <v>173</v>
      </c>
      <c r="FQ75" s="1" t="s">
        <v>123</v>
      </c>
      <c r="GY75" t="s">
        <v>1208</v>
      </c>
      <c r="GZ75" t="s">
        <v>1209</v>
      </c>
      <c r="HA75" t="s">
        <v>1210</v>
      </c>
      <c r="HB75" t="s">
        <v>186</v>
      </c>
      <c r="HC75">
        <v>1987</v>
      </c>
      <c r="HD75" t="str">
        <f>VLOOKUP(AnalizaCzyste[[#This Row],[Rok urodzenia]],KategorieWiekowe[],2,1)</f>
        <v>26-35 lat</v>
      </c>
      <c r="HE75" t="s">
        <v>141</v>
      </c>
      <c r="HG75" t="s">
        <v>191</v>
      </c>
    </row>
    <row r="76" spans="1:216" x14ac:dyDescent="0.45">
      <c r="A76">
        <v>129</v>
      </c>
      <c r="B76">
        <f>_xlfn.IFNA(VLOOKUP(AnalizaCzyste[[#This Row],[Zakończono wypełnianie]],Zakończone[],2,0),"BRAK")</f>
        <v>78</v>
      </c>
      <c r="C76">
        <f>COUNTA(P76:HI76)</f>
        <v>33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>
        <v>1998</v>
      </c>
      <c r="AK76" t="s">
        <v>148</v>
      </c>
      <c r="AL76" t="s">
        <v>1215</v>
      </c>
      <c r="AM76" t="s">
        <v>150</v>
      </c>
      <c r="AN76" t="s">
        <v>150</v>
      </c>
      <c r="AO76" t="s">
        <v>151</v>
      </c>
      <c r="AP76" t="s">
        <v>129</v>
      </c>
      <c r="AQ76" t="s">
        <v>128</v>
      </c>
      <c r="AR76" t="s">
        <v>1216</v>
      </c>
      <c r="AS76" t="s">
        <v>131</v>
      </c>
      <c r="AT76" t="s">
        <v>131</v>
      </c>
      <c r="AU76" t="s">
        <v>1217</v>
      </c>
      <c r="AV76" t="s">
        <v>1218</v>
      </c>
      <c r="AW76" t="s">
        <v>1219</v>
      </c>
      <c r="AY76" t="s">
        <v>1220</v>
      </c>
      <c r="AZ76" s="1" t="s">
        <v>123</v>
      </c>
      <c r="CT76" s="1" t="s">
        <v>123</v>
      </c>
      <c r="DD76" s="1" t="s">
        <v>123</v>
      </c>
      <c r="DN76" s="1" t="s">
        <v>123</v>
      </c>
      <c r="EQ76" s="1" t="s">
        <v>123</v>
      </c>
      <c r="FQ76" s="1" t="s">
        <v>123</v>
      </c>
      <c r="GY76" t="s">
        <v>1221</v>
      </c>
      <c r="GZ76" t="s">
        <v>1222</v>
      </c>
      <c r="HA76" t="s">
        <v>1223</v>
      </c>
      <c r="HB76" t="s">
        <v>186</v>
      </c>
      <c r="HC76">
        <v>1973</v>
      </c>
      <c r="HD76" t="str">
        <f>VLOOKUP(AnalizaCzyste[[#This Row],[Rok urodzenia]],KategorieWiekowe[],2,1)</f>
        <v>46-55 lat</v>
      </c>
      <c r="HE76" t="s">
        <v>141</v>
      </c>
    </row>
    <row r="77" spans="1:216" hidden="1" x14ac:dyDescent="0.45">
      <c r="A77">
        <v>130</v>
      </c>
      <c r="B77">
        <f>_xlfn.IFNA(VLOOKUP(AnalizaCzyste[[#This Row],[Zakończono wypełnianie]],Zakończone[],2,0),"BRAK")</f>
        <v>79</v>
      </c>
      <c r="C77">
        <f>COUNTA(P77:HI77)</f>
        <v>83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>
        <v>1985</v>
      </c>
      <c r="AK77" t="s">
        <v>148</v>
      </c>
      <c r="AL77" t="s">
        <v>391</v>
      </c>
      <c r="AM77" t="s">
        <v>150</v>
      </c>
      <c r="AN77" t="s">
        <v>150</v>
      </c>
      <c r="AO77" t="s">
        <v>169</v>
      </c>
      <c r="AP77" t="s">
        <v>236</v>
      </c>
      <c r="AQ77" t="s">
        <v>236</v>
      </c>
      <c r="AR77">
        <v>0</v>
      </c>
      <c r="AS77" t="s">
        <v>152</v>
      </c>
      <c r="AT77" t="s">
        <v>152</v>
      </c>
      <c r="AU77" t="s">
        <v>1228</v>
      </c>
      <c r="AV77" t="s">
        <v>1229</v>
      </c>
      <c r="AW77" t="s">
        <v>1229</v>
      </c>
      <c r="AX77" t="s">
        <v>157</v>
      </c>
      <c r="AZ77" s="1" t="s">
        <v>159</v>
      </c>
      <c r="BA77">
        <v>2</v>
      </c>
      <c r="BB77" t="s">
        <v>1230</v>
      </c>
      <c r="BC77">
        <v>2005</v>
      </c>
      <c r="BD77" t="s">
        <v>148</v>
      </c>
      <c r="BE77" t="s">
        <v>1231</v>
      </c>
      <c r="BF77" t="s">
        <v>169</v>
      </c>
      <c r="BG77" t="s">
        <v>169</v>
      </c>
      <c r="BH77" t="s">
        <v>169</v>
      </c>
      <c r="BI77" t="s">
        <v>236</v>
      </c>
      <c r="BJ77" t="s">
        <v>236</v>
      </c>
      <c r="BK77">
        <v>0</v>
      </c>
      <c r="BL77" t="s">
        <v>1232</v>
      </c>
      <c r="BM77" t="s">
        <v>157</v>
      </c>
      <c r="BP77" t="s">
        <v>166</v>
      </c>
      <c r="BQ77" t="s">
        <v>1233</v>
      </c>
      <c r="BR77">
        <v>2008</v>
      </c>
      <c r="BS77" t="s">
        <v>148</v>
      </c>
      <c r="BT77" t="s">
        <v>1234</v>
      </c>
      <c r="BU77" t="s">
        <v>169</v>
      </c>
      <c r="BV77" t="s">
        <v>169</v>
      </c>
      <c r="BW77" t="s">
        <v>169</v>
      </c>
      <c r="BX77" t="s">
        <v>128</v>
      </c>
      <c r="BY77" t="s">
        <v>162</v>
      </c>
      <c r="BZ77" t="s">
        <v>1235</v>
      </c>
      <c r="CA77" t="s">
        <v>1236</v>
      </c>
      <c r="CB77" t="s">
        <v>157</v>
      </c>
      <c r="CE77" t="s">
        <v>173</v>
      </c>
      <c r="CT77" s="1" t="s">
        <v>123</v>
      </c>
      <c r="DD77" s="1" t="s">
        <v>123</v>
      </c>
      <c r="DN77" s="1" t="s">
        <v>174</v>
      </c>
      <c r="DO77" t="s">
        <v>394</v>
      </c>
      <c r="DS77" t="s">
        <v>1230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169</v>
      </c>
      <c r="DZ77" t="s">
        <v>150</v>
      </c>
      <c r="EA77">
        <v>20</v>
      </c>
      <c r="EB77">
        <v>5</v>
      </c>
      <c r="EC77">
        <v>0</v>
      </c>
      <c r="ED77">
        <v>30</v>
      </c>
      <c r="EE77">
        <v>25</v>
      </c>
      <c r="EF77">
        <v>10</v>
      </c>
      <c r="EG77">
        <v>10</v>
      </c>
      <c r="EI77">
        <v>10</v>
      </c>
      <c r="EJ77">
        <v>5</v>
      </c>
      <c r="EK77">
        <v>0</v>
      </c>
      <c r="EL77">
        <v>25</v>
      </c>
      <c r="EM77">
        <v>25</v>
      </c>
      <c r="EN77">
        <v>5</v>
      </c>
      <c r="EO77">
        <v>30</v>
      </c>
      <c r="EQ77" s="1" t="s">
        <v>123</v>
      </c>
      <c r="FQ77" s="1" t="s">
        <v>123</v>
      </c>
      <c r="GY77" t="s">
        <v>1237</v>
      </c>
      <c r="GZ77" t="s">
        <v>1229</v>
      </c>
      <c r="HA77" t="s">
        <v>1229</v>
      </c>
      <c r="HB77" t="s">
        <v>140</v>
      </c>
      <c r="HC77">
        <v>1958</v>
      </c>
      <c r="HD77" t="str">
        <f>VLOOKUP(AnalizaCzyste[[#This Row],[Rok urodzenia]],KategorieWiekowe[],2,1)</f>
        <v>56-65 lat</v>
      </c>
      <c r="HE77" t="s">
        <v>141</v>
      </c>
    </row>
    <row r="78" spans="1:216" hidden="1" x14ac:dyDescent="0.45">
      <c r="A78">
        <v>131</v>
      </c>
      <c r="B78">
        <f>_xlfn.IFNA(VLOOKUP(AnalizaCzyste[[#This Row],[Zakończono wypełnianie]],Zakończone[],2,0),"BRAK")</f>
        <v>80</v>
      </c>
      <c r="C78">
        <f>COUNTA(P78:HI78)</f>
        <v>37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>
        <v>1997</v>
      </c>
      <c r="AK78" t="s">
        <v>148</v>
      </c>
      <c r="AL78" t="s">
        <v>161</v>
      </c>
      <c r="AM78" t="s">
        <v>128</v>
      </c>
      <c r="AN78" t="s">
        <v>128</v>
      </c>
      <c r="AO78" t="s">
        <v>162</v>
      </c>
      <c r="AP78" t="s">
        <v>162</v>
      </c>
      <c r="AQ78" t="s">
        <v>162</v>
      </c>
      <c r="AR78">
        <v>1</v>
      </c>
      <c r="AS78" t="s">
        <v>131</v>
      </c>
      <c r="AT78" t="s">
        <v>131</v>
      </c>
      <c r="AU78" t="s">
        <v>1241</v>
      </c>
      <c r="AV78" t="s">
        <v>1242</v>
      </c>
      <c r="AW78" t="s">
        <v>1243</v>
      </c>
      <c r="AX78" t="s">
        <v>157</v>
      </c>
      <c r="AY78" t="s">
        <v>1244</v>
      </c>
      <c r="AZ78" s="1" t="s">
        <v>123</v>
      </c>
      <c r="CT78" s="1" t="s">
        <v>123</v>
      </c>
      <c r="DD78" s="1" t="s">
        <v>123</v>
      </c>
      <c r="DN78" s="1" t="s">
        <v>123</v>
      </c>
      <c r="EQ78" s="1" t="s">
        <v>123</v>
      </c>
      <c r="ER78" t="s">
        <v>178</v>
      </c>
      <c r="ES78" t="s">
        <v>132</v>
      </c>
      <c r="FQ78" s="1" t="s">
        <v>123</v>
      </c>
      <c r="GY78" t="s">
        <v>1245</v>
      </c>
      <c r="GZ78" t="s">
        <v>1246</v>
      </c>
      <c r="HA78" t="s">
        <v>1247</v>
      </c>
      <c r="HB78" t="s">
        <v>186</v>
      </c>
      <c r="HC78">
        <v>1974</v>
      </c>
      <c r="HD78" t="str">
        <f>VLOOKUP(AnalizaCzyste[[#This Row],[Rok urodzenia]],KategorieWiekowe[],2,1)</f>
        <v>46-55 lat</v>
      </c>
      <c r="HE78" t="s">
        <v>398</v>
      </c>
      <c r="HG78" t="s">
        <v>1248</v>
      </c>
    </row>
    <row r="79" spans="1:216" hidden="1" x14ac:dyDescent="0.45">
      <c r="A79">
        <v>133</v>
      </c>
      <c r="B79">
        <f>_xlfn.IFNA(VLOOKUP(AnalizaCzyste[[#This Row],[Zakończono wypełnianie]],Zakończone[],2,0),"BRAK")</f>
        <v>81</v>
      </c>
      <c r="C79">
        <f>COUNTA(P79:HI79)</f>
        <v>43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>
        <v>2006</v>
      </c>
      <c r="AK79" t="s">
        <v>148</v>
      </c>
      <c r="AL79" t="s">
        <v>1050</v>
      </c>
      <c r="AM79" t="s">
        <v>162</v>
      </c>
      <c r="AN79" t="s">
        <v>162</v>
      </c>
      <c r="AO79" t="s">
        <v>169</v>
      </c>
      <c r="AP79" t="s">
        <v>236</v>
      </c>
      <c r="AQ79" t="s">
        <v>151</v>
      </c>
      <c r="AR79">
        <v>3</v>
      </c>
      <c r="AS79" t="s">
        <v>131</v>
      </c>
      <c r="AT79" t="s">
        <v>302</v>
      </c>
      <c r="AU79" t="s">
        <v>1254</v>
      </c>
      <c r="AV79" t="s">
        <v>1255</v>
      </c>
      <c r="AW79" t="s">
        <v>1256</v>
      </c>
      <c r="AX79" t="s">
        <v>157</v>
      </c>
      <c r="AY79" t="s">
        <v>1257</v>
      </c>
      <c r="AZ79" s="1" t="s">
        <v>123</v>
      </c>
      <c r="CT79" s="1" t="s">
        <v>123</v>
      </c>
      <c r="DD79" s="1" t="s">
        <v>214</v>
      </c>
      <c r="DE79" t="s">
        <v>191</v>
      </c>
      <c r="DF79" t="s">
        <v>308</v>
      </c>
      <c r="DG79" t="s">
        <v>169</v>
      </c>
      <c r="DH79" t="s">
        <v>150</v>
      </c>
      <c r="DI79" t="s">
        <v>150</v>
      </c>
      <c r="DJ79" t="s">
        <v>169</v>
      </c>
      <c r="DK79" t="s">
        <v>162</v>
      </c>
      <c r="DL79" t="s">
        <v>162</v>
      </c>
      <c r="DM79" t="s">
        <v>1258</v>
      </c>
      <c r="DN79" s="1" t="s">
        <v>123</v>
      </c>
      <c r="EQ79" s="1" t="s">
        <v>123</v>
      </c>
      <c r="FQ79" s="1" t="s">
        <v>123</v>
      </c>
      <c r="GY79" t="s">
        <v>1259</v>
      </c>
      <c r="GZ79" t="s">
        <v>1260</v>
      </c>
      <c r="HA79" t="s">
        <v>1261</v>
      </c>
      <c r="HB79" t="s">
        <v>186</v>
      </c>
      <c r="HC79">
        <v>1982</v>
      </c>
      <c r="HD79" t="str">
        <f>VLOOKUP(AnalizaCzyste[[#This Row],[Rok urodzenia]],KategorieWiekowe[],2,1)</f>
        <v>36-45 lat</v>
      </c>
      <c r="HE79" t="s">
        <v>141</v>
      </c>
    </row>
    <row r="80" spans="1:216" hidden="1" x14ac:dyDescent="0.45">
      <c r="A80">
        <v>135</v>
      </c>
      <c r="B80">
        <f>_xlfn.IFNA(VLOOKUP(AnalizaCzyste[[#This Row],[Zakończono wypełnianie]],Zakończone[],2,0),"BRAK")</f>
        <v>82</v>
      </c>
      <c r="C80">
        <f>COUNTA(P80:HI80)</f>
        <v>69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>
        <v>1982</v>
      </c>
      <c r="AK80" t="s">
        <v>126</v>
      </c>
      <c r="AL80" t="s">
        <v>1268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0</v>
      </c>
      <c r="AS80" t="s">
        <v>153</v>
      </c>
      <c r="AT80" t="s">
        <v>759</v>
      </c>
      <c r="AU80" t="s">
        <v>1269</v>
      </c>
      <c r="AV80" t="s">
        <v>1270</v>
      </c>
      <c r="AW80" t="s">
        <v>386</v>
      </c>
      <c r="AY80" t="s">
        <v>1271</v>
      </c>
      <c r="AZ80" s="1" t="s">
        <v>159</v>
      </c>
      <c r="BA80">
        <v>1</v>
      </c>
      <c r="BB80" t="s">
        <v>1290</v>
      </c>
      <c r="BC80">
        <v>2011</v>
      </c>
      <c r="BD80" t="s">
        <v>148</v>
      </c>
      <c r="BE80" t="s">
        <v>1050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1273</v>
      </c>
      <c r="BL80" t="s">
        <v>1274</v>
      </c>
      <c r="BM80" t="s">
        <v>157</v>
      </c>
      <c r="BO80" t="s">
        <v>1275</v>
      </c>
      <c r="BP80" t="s">
        <v>173</v>
      </c>
      <c r="CT80" s="1" t="s">
        <v>123</v>
      </c>
      <c r="DD80" s="1" t="s">
        <v>214</v>
      </c>
      <c r="DE80" t="s">
        <v>191</v>
      </c>
      <c r="DF80" t="s">
        <v>1276</v>
      </c>
      <c r="DG80" t="s">
        <v>169</v>
      </c>
      <c r="DH80" t="s">
        <v>169</v>
      </c>
      <c r="DI80" t="s">
        <v>169</v>
      </c>
      <c r="DJ80" t="s">
        <v>150</v>
      </c>
      <c r="DK80" t="s">
        <v>169</v>
      </c>
      <c r="DL80" t="s">
        <v>169</v>
      </c>
      <c r="DM80" t="s">
        <v>1277</v>
      </c>
      <c r="DN80" s="1" t="s">
        <v>123</v>
      </c>
      <c r="EQ80" s="1" t="s">
        <v>177</v>
      </c>
      <c r="ER80" t="s">
        <v>178</v>
      </c>
      <c r="ES80">
        <v>1</v>
      </c>
      <c r="ET80" t="s">
        <v>747</v>
      </c>
      <c r="EU80" t="s">
        <v>169</v>
      </c>
      <c r="EV80" t="s">
        <v>169</v>
      </c>
      <c r="EW80" t="s">
        <v>151</v>
      </c>
      <c r="EX80" t="s">
        <v>178</v>
      </c>
      <c r="EY80" t="s">
        <v>1278</v>
      </c>
      <c r="EZ80" t="s">
        <v>1279</v>
      </c>
      <c r="FA80" t="s">
        <v>173</v>
      </c>
      <c r="FQ80" s="1" t="s">
        <v>123</v>
      </c>
      <c r="GY80" t="s">
        <v>1280</v>
      </c>
      <c r="GZ80" t="s">
        <v>1281</v>
      </c>
      <c r="HA80" t="s">
        <v>1282</v>
      </c>
      <c r="HB80" t="s">
        <v>186</v>
      </c>
      <c r="HC80" s="42">
        <v>1956</v>
      </c>
      <c r="HD80" s="42" t="str">
        <f>VLOOKUP(AnalizaCzyste[[#This Row],[Rok urodzenia]],KategorieWiekowe[],2,1)</f>
        <v>56-65 lat</v>
      </c>
      <c r="HE80" t="s">
        <v>398</v>
      </c>
      <c r="HG80" t="s">
        <v>1284</v>
      </c>
      <c r="HH80" t="s">
        <v>1285</v>
      </c>
    </row>
    <row r="81" spans="1:217" hidden="1" x14ac:dyDescent="0.45">
      <c r="A81">
        <v>137</v>
      </c>
      <c r="B81">
        <f>_xlfn.IFNA(VLOOKUP(AnalizaCzyste[[#This Row],[Zakończono wypełnianie]],Zakończone[],2,0),"BRAK")</f>
        <v>83</v>
      </c>
      <c r="C81">
        <f>COUNTA(P81:HI81)</f>
        <v>45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>
        <v>2012</v>
      </c>
      <c r="AK81" t="s">
        <v>148</v>
      </c>
      <c r="AL81" t="s">
        <v>1050</v>
      </c>
      <c r="AM81" t="s">
        <v>162</v>
      </c>
      <c r="AN81" t="s">
        <v>151</v>
      </c>
      <c r="AO81" t="s">
        <v>162</v>
      </c>
      <c r="AP81" t="s">
        <v>151</v>
      </c>
      <c r="AQ81" t="s">
        <v>128</v>
      </c>
      <c r="AR81" t="s">
        <v>237</v>
      </c>
      <c r="AS81" t="s">
        <v>132</v>
      </c>
      <c r="AT81" t="s">
        <v>132</v>
      </c>
      <c r="AU81" t="s">
        <v>1291</v>
      </c>
      <c r="AV81" t="s">
        <v>1292</v>
      </c>
      <c r="AW81" t="s">
        <v>1293</v>
      </c>
      <c r="AX81" t="s">
        <v>892</v>
      </c>
      <c r="AZ81" s="1" t="s">
        <v>123</v>
      </c>
      <c r="CT81" s="1" t="s">
        <v>123</v>
      </c>
      <c r="DD81" s="1" t="s">
        <v>123</v>
      </c>
      <c r="DN81" s="1" t="s">
        <v>123</v>
      </c>
      <c r="EQ81" s="1" t="s">
        <v>177</v>
      </c>
      <c r="ER81" t="s">
        <v>178</v>
      </c>
      <c r="ES81" t="s">
        <v>132</v>
      </c>
      <c r="ET81" t="s">
        <v>191</v>
      </c>
      <c r="EU81" t="s">
        <v>162</v>
      </c>
      <c r="EV81" t="s">
        <v>151</v>
      </c>
      <c r="EW81" t="s">
        <v>128</v>
      </c>
      <c r="EX81" t="s">
        <v>178</v>
      </c>
      <c r="EY81" t="s">
        <v>1294</v>
      </c>
      <c r="EZ81" t="s">
        <v>1295</v>
      </c>
      <c r="FA81" t="s">
        <v>173</v>
      </c>
      <c r="FQ81" s="1" t="s">
        <v>123</v>
      </c>
      <c r="GY81" t="s">
        <v>1296</v>
      </c>
      <c r="GZ81" t="s">
        <v>1297</v>
      </c>
      <c r="HA81" t="s">
        <v>1298</v>
      </c>
      <c r="HB81" t="s">
        <v>186</v>
      </c>
      <c r="HC81">
        <v>1987</v>
      </c>
      <c r="HD81" t="str">
        <f>VLOOKUP(AnalizaCzyste[[#This Row],[Rok urodzenia]],KategorieWiekowe[],2,1)</f>
        <v>26-35 lat</v>
      </c>
      <c r="HE81" t="s">
        <v>246</v>
      </c>
      <c r="HG81" t="s">
        <v>1299</v>
      </c>
      <c r="HH81" t="s">
        <v>1300</v>
      </c>
    </row>
    <row r="82" spans="1:217" hidden="1" x14ac:dyDescent="0.45">
      <c r="A82">
        <v>139</v>
      </c>
      <c r="B82">
        <f>_xlfn.IFNA(VLOOKUP(AnalizaCzyste[[#This Row],[Zakończono wypełnianie]],Zakończone[],2,0),"BRAK")</f>
        <v>84</v>
      </c>
      <c r="C82">
        <f>COUNTA(P82:HI82)</f>
        <v>49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>
        <v>2015</v>
      </c>
      <c r="AK82" t="s">
        <v>126</v>
      </c>
      <c r="AL82" t="s">
        <v>1312</v>
      </c>
      <c r="AM82" t="s">
        <v>162</v>
      </c>
      <c r="AN82" t="s">
        <v>128</v>
      </c>
      <c r="AO82" t="s">
        <v>162</v>
      </c>
      <c r="AP82" t="s">
        <v>162</v>
      </c>
      <c r="AQ82" t="s">
        <v>162</v>
      </c>
      <c r="AR82" t="s">
        <v>237</v>
      </c>
      <c r="AS82" t="s">
        <v>302</v>
      </c>
      <c r="AT82" t="s">
        <v>153</v>
      </c>
      <c r="AU82" t="s">
        <v>1313</v>
      </c>
      <c r="AV82" t="s">
        <v>1314</v>
      </c>
      <c r="AW82" t="s">
        <v>1315</v>
      </c>
      <c r="AX82" t="s">
        <v>172</v>
      </c>
      <c r="AZ82" s="1" t="s">
        <v>123</v>
      </c>
      <c r="CT82" s="1" t="s">
        <v>123</v>
      </c>
      <c r="DD82" s="1" t="s">
        <v>123</v>
      </c>
      <c r="DN82" s="1" t="s">
        <v>123</v>
      </c>
      <c r="EQ82" s="1" t="s">
        <v>123</v>
      </c>
      <c r="FQ82" s="1" t="s">
        <v>123</v>
      </c>
      <c r="GY82" t="s">
        <v>1316</v>
      </c>
      <c r="GZ82" t="s">
        <v>1317</v>
      </c>
      <c r="HA82" t="s">
        <v>1318</v>
      </c>
      <c r="HB82" t="s">
        <v>186</v>
      </c>
      <c r="HC82">
        <v>1992</v>
      </c>
      <c r="HD82" t="str">
        <f>VLOOKUP(AnalizaCzyste[[#This Row],[Rok urodzenia]],KategorieWiekowe[],2,1)</f>
        <v>26-35 lat</v>
      </c>
      <c r="HE82" t="s">
        <v>398</v>
      </c>
      <c r="HG82" t="s">
        <v>1319</v>
      </c>
      <c r="HH82" t="s">
        <v>1320</v>
      </c>
    </row>
    <row r="83" spans="1:217" hidden="1" x14ac:dyDescent="0.45">
      <c r="A83">
        <v>141</v>
      </c>
      <c r="B83">
        <f>_xlfn.IFNA(VLOOKUP(AnalizaCzyste[[#This Row],[Zakończono wypełnianie]],Zakończone[],2,0),"BRAK")</f>
        <v>85</v>
      </c>
      <c r="C83">
        <f>COUNTA(P83:HI83)</f>
        <v>36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>
        <v>2018</v>
      </c>
      <c r="AK83" t="s">
        <v>126</v>
      </c>
      <c r="AL83" t="s">
        <v>1325</v>
      </c>
      <c r="AM83" t="s">
        <v>150</v>
      </c>
      <c r="AN83" t="s">
        <v>150</v>
      </c>
      <c r="AO83" t="s">
        <v>128</v>
      </c>
      <c r="AP83" t="s">
        <v>236</v>
      </c>
      <c r="AQ83" t="s">
        <v>128</v>
      </c>
      <c r="AR83">
        <v>1</v>
      </c>
      <c r="AS83" t="s">
        <v>302</v>
      </c>
      <c r="AT83" t="s">
        <v>226</v>
      </c>
      <c r="AU83" t="s">
        <v>1326</v>
      </c>
      <c r="AV83" t="s">
        <v>1327</v>
      </c>
      <c r="AW83" t="s">
        <v>1328</v>
      </c>
      <c r="AX83" t="s">
        <v>157</v>
      </c>
      <c r="AZ83" s="1" t="s">
        <v>123</v>
      </c>
      <c r="CT83" s="1" t="s">
        <v>123</v>
      </c>
      <c r="DD83" s="1" t="s">
        <v>123</v>
      </c>
      <c r="DN83" s="1" t="s">
        <v>123</v>
      </c>
      <c r="EQ83" s="1" t="s">
        <v>123</v>
      </c>
      <c r="ER83" t="s">
        <v>180</v>
      </c>
      <c r="FQ83" s="1" t="s">
        <v>123</v>
      </c>
      <c r="GY83" t="s">
        <v>1329</v>
      </c>
      <c r="GZ83" t="s">
        <v>1329</v>
      </c>
      <c r="HA83" t="s">
        <v>132</v>
      </c>
      <c r="HB83" t="s">
        <v>186</v>
      </c>
      <c r="HC83">
        <v>1991</v>
      </c>
      <c r="HD83" t="str">
        <f>VLOOKUP(AnalizaCzyste[[#This Row],[Rok urodzenia]],KategorieWiekowe[],2,1)</f>
        <v>26-35 lat</v>
      </c>
      <c r="HE83" t="s">
        <v>220</v>
      </c>
      <c r="HG83" t="s">
        <v>1330</v>
      </c>
      <c r="HH83" t="s">
        <v>532</v>
      </c>
    </row>
    <row r="84" spans="1:217" hidden="1" x14ac:dyDescent="0.45">
      <c r="A84">
        <v>145</v>
      </c>
      <c r="B84">
        <f>_xlfn.IFNA(VLOOKUP(AnalizaCzyste[[#This Row],[Zakończono wypełnianie]],Zakończone[],2,0),"BRAK")</f>
        <v>86</v>
      </c>
      <c r="C84">
        <f>COUNTA(P84:HI84)</f>
        <v>45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>
        <v>2007</v>
      </c>
      <c r="AK84" t="s">
        <v>126</v>
      </c>
      <c r="AL84" t="s">
        <v>1339</v>
      </c>
      <c r="AM84" t="s">
        <v>162</v>
      </c>
      <c r="AN84" t="s">
        <v>162</v>
      </c>
      <c r="AO84" t="s">
        <v>150</v>
      </c>
      <c r="AP84" t="s">
        <v>169</v>
      </c>
      <c r="AQ84" t="s">
        <v>169</v>
      </c>
      <c r="AR84" t="s">
        <v>1340</v>
      </c>
      <c r="AS84" t="s">
        <v>131</v>
      </c>
      <c r="AT84" t="s">
        <v>759</v>
      </c>
      <c r="AU84" t="s">
        <v>1341</v>
      </c>
      <c r="AV84" t="s">
        <v>1342</v>
      </c>
      <c r="AW84" t="s">
        <v>1343</v>
      </c>
      <c r="AX84" t="s">
        <v>157</v>
      </c>
      <c r="AY84" t="s">
        <v>1344</v>
      </c>
      <c r="AZ84" s="1" t="s">
        <v>123</v>
      </c>
      <c r="CT84" s="1" t="s">
        <v>123</v>
      </c>
      <c r="DD84" s="1" t="s">
        <v>123</v>
      </c>
      <c r="DN84" s="1" t="s">
        <v>123</v>
      </c>
      <c r="EQ84" s="1" t="s">
        <v>177</v>
      </c>
      <c r="ER84" t="s">
        <v>178</v>
      </c>
      <c r="ES84" t="s">
        <v>132</v>
      </c>
      <c r="ET84" t="s">
        <v>191</v>
      </c>
      <c r="EU84" t="s">
        <v>236</v>
      </c>
      <c r="EV84" t="s">
        <v>236</v>
      </c>
      <c r="EW84" t="s">
        <v>151</v>
      </c>
      <c r="EX84" t="s">
        <v>178</v>
      </c>
      <c r="EY84" t="s">
        <v>1345</v>
      </c>
      <c r="EZ84" t="s">
        <v>1346</v>
      </c>
      <c r="FA84" t="s">
        <v>173</v>
      </c>
      <c r="FQ84" s="1" t="s">
        <v>123</v>
      </c>
      <c r="GY84" t="s">
        <v>1347</v>
      </c>
      <c r="GZ84" t="s">
        <v>1348</v>
      </c>
      <c r="HA84" t="s">
        <v>1349</v>
      </c>
      <c r="HB84" t="s">
        <v>186</v>
      </c>
      <c r="HC84">
        <v>1982</v>
      </c>
      <c r="HD84" t="str">
        <f>VLOOKUP(AnalizaCzyste[[#This Row],[Rok urodzenia]],KategorieWiekowe[],2,1)</f>
        <v>36-45 lat</v>
      </c>
      <c r="HE84" t="s">
        <v>141</v>
      </c>
      <c r="HG84" t="s">
        <v>1350</v>
      </c>
    </row>
    <row r="85" spans="1:217" hidden="1" x14ac:dyDescent="0.45">
      <c r="A85">
        <v>149</v>
      </c>
      <c r="B85">
        <f>_xlfn.IFNA(VLOOKUP(AnalizaCzyste[[#This Row],[Zakończono wypełnianie]],Zakończone[],2,0),"BRAK")</f>
        <v>87</v>
      </c>
      <c r="C85">
        <f>COUNTA(P85:HI85)</f>
        <v>34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>
        <v>2010</v>
      </c>
      <c r="AK85" t="s">
        <v>148</v>
      </c>
      <c r="AL85" t="s">
        <v>1361</v>
      </c>
      <c r="AM85" t="s">
        <v>236</v>
      </c>
      <c r="AN85" t="s">
        <v>150</v>
      </c>
      <c r="AO85" t="s">
        <v>129</v>
      </c>
      <c r="AP85" t="s">
        <v>129</v>
      </c>
      <c r="AQ85" t="s">
        <v>129</v>
      </c>
      <c r="AR85" t="s">
        <v>1362</v>
      </c>
      <c r="AS85" t="s">
        <v>153</v>
      </c>
      <c r="AT85" t="s">
        <v>153</v>
      </c>
      <c r="AU85" t="s">
        <v>1363</v>
      </c>
      <c r="AV85" t="s">
        <v>1364</v>
      </c>
      <c r="AW85" t="s">
        <v>1365</v>
      </c>
      <c r="AX85" t="s">
        <v>157</v>
      </c>
      <c r="AZ85" s="1" t="s">
        <v>123</v>
      </c>
      <c r="CT85" s="1" t="s">
        <v>123</v>
      </c>
      <c r="DD85" s="1" t="s">
        <v>123</v>
      </c>
      <c r="DN85" s="1" t="s">
        <v>123</v>
      </c>
      <c r="EQ85" s="1" t="s">
        <v>123</v>
      </c>
      <c r="FQ85" s="1" t="s">
        <v>123</v>
      </c>
      <c r="GY85" t="s">
        <v>1366</v>
      </c>
      <c r="GZ85" t="s">
        <v>1367</v>
      </c>
      <c r="HA85" t="s">
        <v>532</v>
      </c>
      <c r="HB85" t="s">
        <v>140</v>
      </c>
      <c r="HC85">
        <v>1986</v>
      </c>
      <c r="HD85" t="str">
        <f>VLOOKUP(AnalizaCzyste[[#This Row],[Rok urodzenia]],KategorieWiekowe[],2,1)</f>
        <v>26-35 lat</v>
      </c>
      <c r="HE85" t="s">
        <v>398</v>
      </c>
      <c r="HG85" t="s">
        <v>1368</v>
      </c>
    </row>
    <row r="86" spans="1:217" hidden="1" x14ac:dyDescent="0.45">
      <c r="A86">
        <v>153</v>
      </c>
      <c r="B86">
        <f>_xlfn.IFNA(VLOOKUP(AnalizaCzyste[[#This Row],[Zakończono wypełnianie]],Zakończone[],2,0),"BRAK")</f>
        <v>88</v>
      </c>
      <c r="C86">
        <f>COUNTA(P86:HI86)</f>
        <v>35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>
        <v>2000</v>
      </c>
      <c r="AK86" t="s">
        <v>148</v>
      </c>
      <c r="AL86" t="s">
        <v>161</v>
      </c>
      <c r="AM86" t="s">
        <v>162</v>
      </c>
      <c r="AN86" t="s">
        <v>162</v>
      </c>
      <c r="AO86" t="s">
        <v>150</v>
      </c>
      <c r="AP86" t="s">
        <v>129</v>
      </c>
      <c r="AQ86" t="s">
        <v>128</v>
      </c>
      <c r="AR86">
        <v>5</v>
      </c>
      <c r="AS86" t="s">
        <v>302</v>
      </c>
      <c r="AT86" t="s">
        <v>302</v>
      </c>
      <c r="AU86" t="s">
        <v>1378</v>
      </c>
      <c r="AV86" t="s">
        <v>1379</v>
      </c>
      <c r="AW86" t="s">
        <v>1380</v>
      </c>
      <c r="AX86" t="s">
        <v>172</v>
      </c>
      <c r="AZ86" s="1" t="s">
        <v>123</v>
      </c>
      <c r="CT86" s="1" t="s">
        <v>123</v>
      </c>
      <c r="DD86" s="1" t="s">
        <v>123</v>
      </c>
      <c r="DN86" s="1" t="s">
        <v>123</v>
      </c>
      <c r="EQ86" s="1" t="s">
        <v>123</v>
      </c>
      <c r="FQ86" s="1" t="s">
        <v>123</v>
      </c>
      <c r="GY86" t="s">
        <v>1381</v>
      </c>
      <c r="GZ86" t="s">
        <v>1382</v>
      </c>
      <c r="HA86" t="s">
        <v>1383</v>
      </c>
      <c r="HB86" t="s">
        <v>140</v>
      </c>
      <c r="HC86">
        <v>1982</v>
      </c>
      <c r="HD86" t="str">
        <f>VLOOKUP(AnalizaCzyste[[#This Row],[Rok urodzenia]],KategorieWiekowe[],2,1)</f>
        <v>36-45 lat</v>
      </c>
      <c r="HE86" t="s">
        <v>246</v>
      </c>
      <c r="HG86" t="s">
        <v>386</v>
      </c>
      <c r="HH86" t="s">
        <v>386</v>
      </c>
    </row>
    <row r="87" spans="1:217" hidden="1" x14ac:dyDescent="0.45">
      <c r="A87">
        <v>156</v>
      </c>
      <c r="B87">
        <f>_xlfn.IFNA(VLOOKUP(AnalizaCzyste[[#This Row],[Zakończono wypełnianie]],Zakończone[],2,0),"BRAK")</f>
        <v>90</v>
      </c>
      <c r="C87">
        <f>COUNTA(P87:HI87)</f>
        <v>34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>
        <v>2012</v>
      </c>
      <c r="AK87" t="s">
        <v>126</v>
      </c>
      <c r="AL87" t="s">
        <v>1393</v>
      </c>
      <c r="AM87" t="s">
        <v>162</v>
      </c>
      <c r="AN87" t="s">
        <v>150</v>
      </c>
      <c r="AO87" t="s">
        <v>150</v>
      </c>
      <c r="AP87" t="s">
        <v>236</v>
      </c>
      <c r="AQ87" t="s">
        <v>236</v>
      </c>
      <c r="AR87" t="s">
        <v>1340</v>
      </c>
      <c r="AS87" t="s">
        <v>302</v>
      </c>
      <c r="AT87" t="s">
        <v>153</v>
      </c>
      <c r="AU87" t="s">
        <v>1394</v>
      </c>
      <c r="AV87" t="s">
        <v>1395</v>
      </c>
      <c r="AW87" t="s">
        <v>1396</v>
      </c>
      <c r="AY87" t="s">
        <v>1397</v>
      </c>
      <c r="AZ87" s="1" t="s">
        <v>123</v>
      </c>
      <c r="CT87" s="1" t="s">
        <v>123</v>
      </c>
      <c r="DD87" s="1" t="s">
        <v>123</v>
      </c>
      <c r="DN87" s="1" t="s">
        <v>123</v>
      </c>
      <c r="EQ87" s="1" t="s">
        <v>123</v>
      </c>
      <c r="FQ87" s="1" t="s">
        <v>123</v>
      </c>
      <c r="GY87" t="s">
        <v>1398</v>
      </c>
      <c r="GZ87" t="s">
        <v>1399</v>
      </c>
      <c r="HA87" t="s">
        <v>1400</v>
      </c>
      <c r="HB87" t="s">
        <v>140</v>
      </c>
      <c r="HC87">
        <v>1985</v>
      </c>
      <c r="HD87" t="str">
        <f>VLOOKUP(AnalizaCzyste[[#This Row],[Rok urodzenia]],KategorieWiekowe[],2,1)</f>
        <v>26-35 lat</v>
      </c>
      <c r="HE87" t="s">
        <v>141</v>
      </c>
      <c r="HG87" t="s">
        <v>1401</v>
      </c>
    </row>
    <row r="88" spans="1:217" hidden="1" x14ac:dyDescent="0.45">
      <c r="A88">
        <v>158</v>
      </c>
      <c r="B88">
        <f>_xlfn.IFNA(VLOOKUP(AnalizaCzyste[[#This Row],[Zakończono wypełnianie]],Zakończone[],2,0),"BRAK")</f>
        <v>91</v>
      </c>
      <c r="C88">
        <f>COUNTA(P88:HI88)</f>
        <v>34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>
        <v>2013</v>
      </c>
      <c r="AK88" t="s">
        <v>148</v>
      </c>
      <c r="AL88" t="s">
        <v>958</v>
      </c>
      <c r="AM88" t="s">
        <v>128</v>
      </c>
      <c r="AN88" t="s">
        <v>128</v>
      </c>
      <c r="AO88" t="s">
        <v>162</v>
      </c>
      <c r="AP88" t="s">
        <v>151</v>
      </c>
      <c r="AQ88" t="s">
        <v>151</v>
      </c>
      <c r="AR88">
        <v>3</v>
      </c>
      <c r="AS88" t="s">
        <v>131</v>
      </c>
      <c r="AT88" t="s">
        <v>153</v>
      </c>
      <c r="AU88" t="s">
        <v>1405</v>
      </c>
      <c r="AV88" t="s">
        <v>1406</v>
      </c>
      <c r="AW88" t="s">
        <v>1407</v>
      </c>
      <c r="AX88" t="s">
        <v>157</v>
      </c>
      <c r="AZ88" s="1" t="s">
        <v>123</v>
      </c>
      <c r="CT88" s="1" t="s">
        <v>123</v>
      </c>
      <c r="DD88" s="1" t="s">
        <v>123</v>
      </c>
      <c r="DN88" s="1" t="s">
        <v>123</v>
      </c>
      <c r="EQ88" s="1" t="s">
        <v>123</v>
      </c>
      <c r="FQ88" s="1" t="s">
        <v>123</v>
      </c>
      <c r="GY88" t="s">
        <v>1408</v>
      </c>
      <c r="GZ88" t="s">
        <v>1409</v>
      </c>
      <c r="HA88" t="s">
        <v>1410</v>
      </c>
      <c r="HB88" t="s">
        <v>140</v>
      </c>
      <c r="HC88">
        <v>1984</v>
      </c>
      <c r="HD88" t="str">
        <f>VLOOKUP(AnalizaCzyste[[#This Row],[Rok urodzenia]],KategorieWiekowe[],2,1)</f>
        <v>36-45 lat</v>
      </c>
      <c r="HE88" t="s">
        <v>398</v>
      </c>
      <c r="HG88" t="s">
        <v>1411</v>
      </c>
    </row>
    <row r="89" spans="1:217" hidden="1" x14ac:dyDescent="0.45">
      <c r="A89">
        <v>159</v>
      </c>
      <c r="B89">
        <f>_xlfn.IFNA(VLOOKUP(AnalizaCzyste[[#This Row],[Zakończono wypełnianie]],Zakończone[],2,0),"BRAK")</f>
        <v>92</v>
      </c>
      <c r="C89">
        <f>COUNTA(P89:HI89)</f>
        <v>35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>
        <v>2006</v>
      </c>
      <c r="AK89" t="s">
        <v>148</v>
      </c>
      <c r="AL89" t="s">
        <v>263</v>
      </c>
      <c r="AM89" t="s">
        <v>169</v>
      </c>
      <c r="AN89" t="s">
        <v>169</v>
      </c>
      <c r="AO89" t="s">
        <v>169</v>
      </c>
      <c r="AP89" t="s">
        <v>150</v>
      </c>
      <c r="AQ89" t="s">
        <v>169</v>
      </c>
      <c r="AR89" t="s">
        <v>1416</v>
      </c>
      <c r="AS89" t="s">
        <v>131</v>
      </c>
      <c r="AT89" t="s">
        <v>153</v>
      </c>
      <c r="AU89" t="s">
        <v>1417</v>
      </c>
      <c r="AV89" t="s">
        <v>1418</v>
      </c>
      <c r="AW89" t="s">
        <v>1419</v>
      </c>
      <c r="AY89" t="s">
        <v>1420</v>
      </c>
      <c r="AZ89" s="1" t="s">
        <v>123</v>
      </c>
      <c r="CT89" s="1" t="s">
        <v>123</v>
      </c>
      <c r="DD89" s="1" t="s">
        <v>123</v>
      </c>
      <c r="DN89" s="1" t="s">
        <v>123</v>
      </c>
      <c r="EQ89" s="1" t="s">
        <v>123</v>
      </c>
      <c r="FQ89" s="1" t="s">
        <v>123</v>
      </c>
      <c r="GY89" t="s">
        <v>1421</v>
      </c>
      <c r="GZ89" t="s">
        <v>1422</v>
      </c>
      <c r="HA89" t="s">
        <v>142</v>
      </c>
      <c r="HB89" t="s">
        <v>140</v>
      </c>
      <c r="HC89">
        <v>1983</v>
      </c>
      <c r="HD89" t="str">
        <f>VLOOKUP(AnalizaCzyste[[#This Row],[Rok urodzenia]],KategorieWiekowe[],2,1)</f>
        <v>36-45 lat</v>
      </c>
      <c r="HE89" t="s">
        <v>141</v>
      </c>
      <c r="HG89" t="s">
        <v>1423</v>
      </c>
      <c r="HH89" t="s">
        <v>132</v>
      </c>
    </row>
    <row r="90" spans="1:217" hidden="1" x14ac:dyDescent="0.45">
      <c r="A90">
        <v>162</v>
      </c>
      <c r="B90">
        <f>_xlfn.IFNA(VLOOKUP(AnalizaCzyste[[#This Row],[Zakończono wypełnianie]],Zakończone[],2,0),"BRAK")</f>
        <v>93</v>
      </c>
      <c r="C90">
        <f>COUNTA(P90:HI90)</f>
        <v>33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>
        <v>2006</v>
      </c>
      <c r="AK90" t="s">
        <v>126</v>
      </c>
      <c r="AL90" t="s">
        <v>192</v>
      </c>
      <c r="AM90" t="s">
        <v>150</v>
      </c>
      <c r="AN90" t="s">
        <v>150</v>
      </c>
      <c r="AO90" t="s">
        <v>169</v>
      </c>
      <c r="AP90" t="s">
        <v>150</v>
      </c>
      <c r="AQ90" t="s">
        <v>150</v>
      </c>
      <c r="AR90" t="s">
        <v>237</v>
      </c>
      <c r="AS90" t="s">
        <v>226</v>
      </c>
      <c r="AT90" t="s">
        <v>1428</v>
      </c>
      <c r="AU90" t="s">
        <v>1429</v>
      </c>
      <c r="AV90" t="s">
        <v>1430</v>
      </c>
      <c r="AW90" t="s">
        <v>1431</v>
      </c>
      <c r="AX90" t="s">
        <v>157</v>
      </c>
      <c r="AZ90" s="1" t="s">
        <v>123</v>
      </c>
      <c r="CT90" s="1" t="s">
        <v>123</v>
      </c>
      <c r="DD90" s="1" t="s">
        <v>123</v>
      </c>
      <c r="DN90" s="1" t="s">
        <v>123</v>
      </c>
      <c r="EQ90" s="1" t="s">
        <v>123</v>
      </c>
      <c r="FQ90" s="1" t="s">
        <v>123</v>
      </c>
      <c r="GY90" t="s">
        <v>1432</v>
      </c>
      <c r="GZ90" t="s">
        <v>1433</v>
      </c>
      <c r="HA90" t="s">
        <v>1434</v>
      </c>
      <c r="HB90" t="s">
        <v>186</v>
      </c>
      <c r="HC90">
        <v>1982</v>
      </c>
      <c r="HD90" t="str">
        <f>VLOOKUP(AnalizaCzyste[[#This Row],[Rok urodzenia]],KategorieWiekowe[],2,1)</f>
        <v>36-45 lat</v>
      </c>
      <c r="HE90" t="s">
        <v>141</v>
      </c>
    </row>
    <row r="91" spans="1:217" hidden="1" x14ac:dyDescent="0.45">
      <c r="A91">
        <v>164</v>
      </c>
      <c r="B91">
        <f>_xlfn.IFNA(VLOOKUP(AnalizaCzyste[[#This Row],[Zakończono wypełnianie]],Zakończone[],2,0),"BRAK")</f>
        <v>94</v>
      </c>
      <c r="C91">
        <f>COUNTA(P91:HI91)</f>
        <v>36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>
        <v>2019</v>
      </c>
      <c r="AK91" t="s">
        <v>148</v>
      </c>
      <c r="AL91" t="s">
        <v>1440</v>
      </c>
      <c r="AM91" t="s">
        <v>128</v>
      </c>
      <c r="AN91" t="s">
        <v>128</v>
      </c>
      <c r="AO91" t="s">
        <v>150</v>
      </c>
      <c r="AP91" t="s">
        <v>169</v>
      </c>
      <c r="AQ91" t="s">
        <v>169</v>
      </c>
      <c r="AR91" t="s">
        <v>1441</v>
      </c>
      <c r="AS91" t="s">
        <v>302</v>
      </c>
      <c r="AT91" t="s">
        <v>226</v>
      </c>
      <c r="AU91" t="s">
        <v>1442</v>
      </c>
      <c r="AV91" t="s">
        <v>1443</v>
      </c>
      <c r="AW91" t="s">
        <v>1444</v>
      </c>
      <c r="AX91" t="s">
        <v>230</v>
      </c>
      <c r="AZ91" s="1" t="s">
        <v>123</v>
      </c>
      <c r="CT91" s="1" t="s">
        <v>123</v>
      </c>
      <c r="DD91" s="1" t="s">
        <v>123</v>
      </c>
      <c r="DN91" s="1" t="s">
        <v>123</v>
      </c>
      <c r="EQ91" s="1" t="s">
        <v>123</v>
      </c>
      <c r="ER91" t="s">
        <v>178</v>
      </c>
      <c r="FQ91" s="1" t="s">
        <v>123</v>
      </c>
      <c r="GY91" t="s">
        <v>1445</v>
      </c>
      <c r="GZ91" t="s">
        <v>1446</v>
      </c>
      <c r="HA91" t="s">
        <v>1447</v>
      </c>
      <c r="HB91" t="s">
        <v>140</v>
      </c>
      <c r="HC91">
        <v>1990</v>
      </c>
      <c r="HD91" t="str">
        <f>VLOOKUP(AnalizaCzyste[[#This Row],[Rok urodzenia]],KategorieWiekowe[],2,1)</f>
        <v>26-35 lat</v>
      </c>
      <c r="HE91" t="s">
        <v>398</v>
      </c>
      <c r="HG91" t="s">
        <v>1448</v>
      </c>
      <c r="HH91" t="s">
        <v>1449</v>
      </c>
    </row>
    <row r="92" spans="1:217" hidden="1" x14ac:dyDescent="0.45">
      <c r="A92">
        <v>165</v>
      </c>
      <c r="B92">
        <f>_xlfn.IFNA(VLOOKUP(AnalizaCzyste[[#This Row],[Zakończono wypełnianie]],Zakończone[],2,0),"BRAK")</f>
        <v>95</v>
      </c>
      <c r="C92">
        <f>COUNTA(P92:HI92)</f>
        <v>35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>
        <v>2008</v>
      </c>
      <c r="AK92" t="s">
        <v>148</v>
      </c>
      <c r="AL92" t="s">
        <v>1452</v>
      </c>
      <c r="AM92" t="s">
        <v>128</v>
      </c>
      <c r="AN92" t="s">
        <v>236</v>
      </c>
      <c r="AO92" t="s">
        <v>129</v>
      </c>
      <c r="AP92" t="s">
        <v>129</v>
      </c>
      <c r="AQ92" t="s">
        <v>128</v>
      </c>
      <c r="AR92" t="s">
        <v>237</v>
      </c>
      <c r="AS92" t="s">
        <v>131</v>
      </c>
      <c r="AT92" t="s">
        <v>131</v>
      </c>
      <c r="AU92" t="s">
        <v>1453</v>
      </c>
      <c r="AV92" t="s">
        <v>1454</v>
      </c>
      <c r="AW92" t="s">
        <v>1005</v>
      </c>
      <c r="AX92" t="s">
        <v>157</v>
      </c>
      <c r="AZ92" s="1" t="s">
        <v>123</v>
      </c>
      <c r="CT92" s="1" t="s">
        <v>123</v>
      </c>
      <c r="DD92" s="1" t="s">
        <v>123</v>
      </c>
      <c r="DN92" s="1" t="s">
        <v>123</v>
      </c>
      <c r="EQ92" s="1" t="s">
        <v>123</v>
      </c>
      <c r="FQ92" s="1" t="s">
        <v>123</v>
      </c>
      <c r="GY92" t="s">
        <v>1455</v>
      </c>
      <c r="GZ92" t="s">
        <v>1456</v>
      </c>
      <c r="HA92" t="s">
        <v>1457</v>
      </c>
      <c r="HB92" t="s">
        <v>140</v>
      </c>
      <c r="HC92">
        <v>1984</v>
      </c>
      <c r="HD92" t="str">
        <f>VLOOKUP(AnalizaCzyste[[#This Row],[Rok urodzenia]],KategorieWiekowe[],2,1)</f>
        <v>36-45 lat</v>
      </c>
      <c r="HE92" t="s">
        <v>220</v>
      </c>
      <c r="HG92" t="s">
        <v>386</v>
      </c>
      <c r="HH92" t="s">
        <v>386</v>
      </c>
    </row>
    <row r="93" spans="1:217" hidden="1" x14ac:dyDescent="0.45">
      <c r="A93">
        <v>167</v>
      </c>
      <c r="B93">
        <f>_xlfn.IFNA(VLOOKUP(AnalizaCzyste[[#This Row],[Zakończono wypełnianie]],Zakończone[],2,0),"BRAK")</f>
        <v>96</v>
      </c>
      <c r="C93">
        <f>COUNTA(P93:HI93)</f>
        <v>34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>
        <v>2007</v>
      </c>
      <c r="AK93" t="s">
        <v>148</v>
      </c>
      <c r="AL93" t="s">
        <v>1462</v>
      </c>
      <c r="AM93" t="s">
        <v>162</v>
      </c>
      <c r="AN93" t="s">
        <v>151</v>
      </c>
      <c r="AO93" t="s">
        <v>151</v>
      </c>
      <c r="AP93" t="s">
        <v>150</v>
      </c>
      <c r="AQ93" t="s">
        <v>128</v>
      </c>
      <c r="AR93">
        <v>2</v>
      </c>
      <c r="AS93" t="s">
        <v>302</v>
      </c>
      <c r="AT93" t="s">
        <v>302</v>
      </c>
      <c r="AU93" t="s">
        <v>1463</v>
      </c>
      <c r="AV93" t="s">
        <v>1464</v>
      </c>
      <c r="AW93" t="s">
        <v>1465</v>
      </c>
      <c r="AX93" t="s">
        <v>157</v>
      </c>
      <c r="AZ93" s="1" t="s">
        <v>123</v>
      </c>
      <c r="CT93" s="1" t="s">
        <v>123</v>
      </c>
      <c r="DD93" s="1" t="s">
        <v>123</v>
      </c>
      <c r="DN93" s="1" t="s">
        <v>123</v>
      </c>
      <c r="EQ93" s="1" t="s">
        <v>123</v>
      </c>
      <c r="FQ93" s="1" t="s">
        <v>123</v>
      </c>
      <c r="GY93" t="s">
        <v>1466</v>
      </c>
      <c r="GZ93" t="s">
        <v>1467</v>
      </c>
      <c r="HA93" t="s">
        <v>1468</v>
      </c>
      <c r="HB93" t="s">
        <v>140</v>
      </c>
      <c r="HC93">
        <v>1982</v>
      </c>
      <c r="HD93" t="str">
        <f>VLOOKUP(AnalizaCzyste[[#This Row],[Rok urodzenia]],KategorieWiekowe[],2,1)</f>
        <v>36-45 lat</v>
      </c>
      <c r="HE93" t="s">
        <v>398</v>
      </c>
      <c r="HG93" t="s">
        <v>1469</v>
      </c>
    </row>
    <row r="94" spans="1:217" hidden="1" x14ac:dyDescent="0.45">
      <c r="A94">
        <v>169</v>
      </c>
      <c r="B94">
        <f>_xlfn.IFNA(VLOOKUP(AnalizaCzyste[[#This Row],[Zakończono wypełnianie]],Zakończone[],2,0),"BRAK")</f>
        <v>97</v>
      </c>
      <c r="C94">
        <f>COUNTA(P94:HI94)</f>
        <v>35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K94" t="s">
        <v>148</v>
      </c>
      <c r="AL94" t="s">
        <v>1474</v>
      </c>
      <c r="AM94" t="s">
        <v>169</v>
      </c>
      <c r="AN94" t="s">
        <v>169</v>
      </c>
      <c r="AO94" t="s">
        <v>151</v>
      </c>
      <c r="AP94" t="s">
        <v>162</v>
      </c>
      <c r="AQ94" t="s">
        <v>162</v>
      </c>
      <c r="AR94" t="s">
        <v>1475</v>
      </c>
      <c r="AS94" t="s">
        <v>132</v>
      </c>
      <c r="AT94" t="s">
        <v>132</v>
      </c>
      <c r="AU94" t="s">
        <v>1476</v>
      </c>
      <c r="AV94" t="s">
        <v>1477</v>
      </c>
      <c r="AW94" t="s">
        <v>1473</v>
      </c>
      <c r="AX94" t="s">
        <v>157</v>
      </c>
      <c r="AZ94" s="1" t="s">
        <v>123</v>
      </c>
      <c r="CT94" s="1" t="s">
        <v>123</v>
      </c>
      <c r="DD94" s="1" t="s">
        <v>123</v>
      </c>
      <c r="DN94" s="1" t="s">
        <v>123</v>
      </c>
      <c r="EQ94" s="1" t="s">
        <v>123</v>
      </c>
      <c r="FQ94" s="1" t="s">
        <v>123</v>
      </c>
      <c r="GY94" t="s">
        <v>1478</v>
      </c>
      <c r="GZ94" t="s">
        <v>1478</v>
      </c>
      <c r="HA94" t="s">
        <v>1473</v>
      </c>
      <c r="HB94" t="s">
        <v>140</v>
      </c>
      <c r="HC94" t="s">
        <v>1473</v>
      </c>
      <c r="HD94" t="e">
        <f>VLOOKUP(AnalizaCzyste[[#This Row],[Rok urodzenia]],KategorieWiekowe[],2,1)</f>
        <v>#N/A</v>
      </c>
      <c r="HE94" t="s">
        <v>398</v>
      </c>
      <c r="HG94" t="s">
        <v>1479</v>
      </c>
      <c r="HH94" t="s">
        <v>1473</v>
      </c>
      <c r="HI94" t="s">
        <v>1473</v>
      </c>
    </row>
    <row r="95" spans="1:217" hidden="1" x14ac:dyDescent="0.45">
      <c r="A95">
        <v>171</v>
      </c>
      <c r="B95">
        <f>_xlfn.IFNA(VLOOKUP(AnalizaCzyste[[#This Row],[Zakończono wypełnianie]],Zakończone[],2,0),"BRAK")</f>
        <v>98</v>
      </c>
      <c r="C95">
        <f>COUNTA(P95:HI95)</f>
        <v>32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>
        <v>2014</v>
      </c>
      <c r="AK95" t="s">
        <v>148</v>
      </c>
      <c r="AL95" t="s">
        <v>1483</v>
      </c>
      <c r="AM95" t="s">
        <v>151</v>
      </c>
      <c r="AN95" t="s">
        <v>128</v>
      </c>
      <c r="AO95" t="s">
        <v>128</v>
      </c>
      <c r="AP95" t="s">
        <v>151</v>
      </c>
      <c r="AQ95" t="s">
        <v>162</v>
      </c>
      <c r="AR95" t="s">
        <v>1484</v>
      </c>
      <c r="AS95" t="s">
        <v>153</v>
      </c>
      <c r="AT95" t="s">
        <v>153</v>
      </c>
      <c r="AV95" t="s">
        <v>1485</v>
      </c>
      <c r="AW95" t="s">
        <v>1486</v>
      </c>
      <c r="AX95" t="s">
        <v>172</v>
      </c>
      <c r="AZ95" s="1" t="s">
        <v>123</v>
      </c>
      <c r="CT95" s="1" t="s">
        <v>123</v>
      </c>
      <c r="DD95" s="1" t="s">
        <v>123</v>
      </c>
      <c r="DN95" s="1" t="s">
        <v>123</v>
      </c>
      <c r="EQ95" s="1" t="s">
        <v>123</v>
      </c>
      <c r="FQ95" s="1" t="s">
        <v>123</v>
      </c>
      <c r="GY95" t="s">
        <v>1487</v>
      </c>
      <c r="GZ95" t="s">
        <v>1488</v>
      </c>
      <c r="HA95" t="s">
        <v>1489</v>
      </c>
      <c r="HB95" t="s">
        <v>140</v>
      </c>
      <c r="HC95">
        <v>1991</v>
      </c>
      <c r="HD95" t="str">
        <f>VLOOKUP(AnalizaCzyste[[#This Row],[Rok urodzenia]],KategorieWiekowe[],2,1)</f>
        <v>26-35 lat</v>
      </c>
      <c r="HE95" t="s">
        <v>141</v>
      </c>
    </row>
    <row r="96" spans="1:217" hidden="1" x14ac:dyDescent="0.45">
      <c r="A96">
        <v>175</v>
      </c>
      <c r="B96">
        <f>_xlfn.IFNA(VLOOKUP(AnalizaCzyste[[#This Row],[Zakończono wypełnianie]],Zakończone[],2,0),"BRAK")</f>
        <v>99</v>
      </c>
      <c r="C96">
        <f>COUNTA(P96:HI96)</f>
        <v>33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>
        <v>2005</v>
      </c>
      <c r="AK96" t="s">
        <v>148</v>
      </c>
      <c r="AL96" t="s">
        <v>1495</v>
      </c>
      <c r="AM96" t="s">
        <v>150</v>
      </c>
      <c r="AN96" t="s">
        <v>169</v>
      </c>
      <c r="AO96" t="s">
        <v>169</v>
      </c>
      <c r="AP96" t="s">
        <v>169</v>
      </c>
      <c r="AQ96" t="s">
        <v>150</v>
      </c>
      <c r="AR96" t="s">
        <v>237</v>
      </c>
      <c r="AS96" t="s">
        <v>131</v>
      </c>
      <c r="AT96" t="s">
        <v>302</v>
      </c>
      <c r="AV96" t="s">
        <v>1496</v>
      </c>
      <c r="AW96" t="s">
        <v>386</v>
      </c>
      <c r="AX96" t="s">
        <v>230</v>
      </c>
      <c r="AZ96" s="1" t="s">
        <v>123</v>
      </c>
      <c r="CT96" s="1" t="s">
        <v>123</v>
      </c>
      <c r="DD96" s="1" t="s">
        <v>123</v>
      </c>
      <c r="DN96" s="1" t="s">
        <v>123</v>
      </c>
      <c r="EQ96" s="1" t="s">
        <v>123</v>
      </c>
      <c r="ER96" t="s">
        <v>178</v>
      </c>
      <c r="FQ96" s="1" t="s">
        <v>123</v>
      </c>
      <c r="GY96" t="s">
        <v>1497</v>
      </c>
      <c r="GZ96" t="s">
        <v>1497</v>
      </c>
      <c r="HA96" t="s">
        <v>1497</v>
      </c>
      <c r="HB96" t="s">
        <v>186</v>
      </c>
      <c r="HC96">
        <v>1981</v>
      </c>
      <c r="HD96" t="str">
        <f>VLOOKUP(AnalizaCzyste[[#This Row],[Rok urodzenia]],KategorieWiekowe[],2,1)</f>
        <v>36-45 lat</v>
      </c>
      <c r="HE96" t="s">
        <v>246</v>
      </c>
    </row>
    <row r="97" spans="1:217" hidden="1" x14ac:dyDescent="0.45">
      <c r="A97">
        <v>178</v>
      </c>
      <c r="B97">
        <f>_xlfn.IFNA(VLOOKUP(AnalizaCzyste[[#This Row],[Zakończono wypełnianie]],Zakończone[],2,0),"BRAK")</f>
        <v>100</v>
      </c>
      <c r="C97">
        <f>COUNTA(P97:HI97)</f>
        <v>33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>
        <v>2016</v>
      </c>
      <c r="AK97" t="s">
        <v>148</v>
      </c>
      <c r="AL97" t="s">
        <v>1504</v>
      </c>
      <c r="AM97" t="s">
        <v>150</v>
      </c>
      <c r="AN97" t="s">
        <v>151</v>
      </c>
      <c r="AO97" t="s">
        <v>162</v>
      </c>
      <c r="AP97" t="s">
        <v>150</v>
      </c>
      <c r="AQ97" t="s">
        <v>169</v>
      </c>
      <c r="AR97">
        <v>4</v>
      </c>
      <c r="AS97" t="s">
        <v>302</v>
      </c>
      <c r="AT97" t="s">
        <v>153</v>
      </c>
      <c r="AU97" t="s">
        <v>1505</v>
      </c>
      <c r="AV97" t="s">
        <v>1506</v>
      </c>
      <c r="AW97" t="s">
        <v>1507</v>
      </c>
      <c r="AX97" t="s">
        <v>157</v>
      </c>
      <c r="AZ97" s="1" t="s">
        <v>123</v>
      </c>
      <c r="CT97" s="1" t="s">
        <v>123</v>
      </c>
      <c r="DD97" s="1" t="s">
        <v>123</v>
      </c>
      <c r="DN97" s="1" t="s">
        <v>123</v>
      </c>
      <c r="EQ97" s="1" t="s">
        <v>123</v>
      </c>
      <c r="FQ97" s="1" t="s">
        <v>123</v>
      </c>
      <c r="GY97" t="s">
        <v>1508</v>
      </c>
      <c r="GZ97" t="s">
        <v>1509</v>
      </c>
      <c r="HA97" t="s">
        <v>1510</v>
      </c>
      <c r="HB97" t="s">
        <v>186</v>
      </c>
      <c r="HC97">
        <v>1991</v>
      </c>
      <c r="HD97" t="str">
        <f>VLOOKUP(AnalizaCzyste[[#This Row],[Rok urodzenia]],KategorieWiekowe[],2,1)</f>
        <v>26-35 lat</v>
      </c>
      <c r="HE97" t="s">
        <v>398</v>
      </c>
    </row>
    <row r="98" spans="1:217" hidden="1" x14ac:dyDescent="0.45">
      <c r="A98">
        <v>179</v>
      </c>
      <c r="B98">
        <f>_xlfn.IFNA(VLOOKUP(AnalizaCzyste[[#This Row],[Zakończono wypełnianie]],Zakończone[],2,0),"BRAK")</f>
        <v>101</v>
      </c>
      <c r="C98">
        <f>COUNTA(P98:HI98)</f>
        <v>44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>
        <v>1996</v>
      </c>
      <c r="AK98" t="s">
        <v>148</v>
      </c>
      <c r="AL98" t="s">
        <v>1515</v>
      </c>
      <c r="AM98" t="s">
        <v>162</v>
      </c>
      <c r="AN98" t="s">
        <v>151</v>
      </c>
      <c r="AO98" t="s">
        <v>162</v>
      </c>
      <c r="AP98" t="s">
        <v>162</v>
      </c>
      <c r="AQ98" t="s">
        <v>151</v>
      </c>
      <c r="AR98" t="s">
        <v>1516</v>
      </c>
      <c r="AS98" t="s">
        <v>194</v>
      </c>
      <c r="AT98" t="s">
        <v>194</v>
      </c>
      <c r="AU98" t="s">
        <v>1517</v>
      </c>
      <c r="AV98" t="s">
        <v>1518</v>
      </c>
      <c r="AW98" t="s">
        <v>1519</v>
      </c>
      <c r="AX98" t="s">
        <v>172</v>
      </c>
      <c r="AZ98" s="1" t="s">
        <v>123</v>
      </c>
      <c r="CT98" s="1" t="s">
        <v>123</v>
      </c>
      <c r="DD98" s="1" t="s">
        <v>123</v>
      </c>
      <c r="DN98" s="1" t="s">
        <v>123</v>
      </c>
      <c r="EQ98" s="1" t="s">
        <v>177</v>
      </c>
      <c r="ER98" t="s">
        <v>180</v>
      </c>
      <c r="ES98">
        <v>1</v>
      </c>
      <c r="ET98" t="s">
        <v>1520</v>
      </c>
      <c r="EU98" t="s">
        <v>150</v>
      </c>
      <c r="EV98" t="s">
        <v>162</v>
      </c>
      <c r="EW98" t="s">
        <v>162</v>
      </c>
      <c r="EX98" t="s">
        <v>178</v>
      </c>
      <c r="EY98" t="s">
        <v>1521</v>
      </c>
      <c r="EZ98" t="s">
        <v>1522</v>
      </c>
      <c r="FA98" t="s">
        <v>173</v>
      </c>
      <c r="FQ98" s="1" t="s">
        <v>123</v>
      </c>
      <c r="GY98" t="s">
        <v>1523</v>
      </c>
      <c r="GZ98" t="s">
        <v>1524</v>
      </c>
      <c r="HA98" t="s">
        <v>1525</v>
      </c>
      <c r="HB98" t="s">
        <v>186</v>
      </c>
      <c r="HC98">
        <v>1974</v>
      </c>
      <c r="HD98" t="str">
        <f>VLOOKUP(AnalizaCzyste[[#This Row],[Rok urodzenia]],KategorieWiekowe[],2,1)</f>
        <v>46-55 lat</v>
      </c>
      <c r="HE98" t="s">
        <v>398</v>
      </c>
      <c r="HG98" t="s">
        <v>1526</v>
      </c>
    </row>
    <row r="99" spans="1:217" hidden="1" x14ac:dyDescent="0.45">
      <c r="A99">
        <v>181</v>
      </c>
      <c r="B99">
        <f>_xlfn.IFNA(VLOOKUP(AnalizaCzyste[[#This Row],[Zakończono wypełnianie]],Zakończone[],2,0),"BRAK")</f>
        <v>102</v>
      </c>
      <c r="C99">
        <f>COUNTA(P99:HI99)</f>
        <v>35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Z99" s="1" t="s">
        <v>123</v>
      </c>
      <c r="CT99" s="1" t="s">
        <v>123</v>
      </c>
      <c r="DD99" s="1" t="s">
        <v>123</v>
      </c>
      <c r="DN99" s="1" t="s">
        <v>123</v>
      </c>
      <c r="EQ99" s="1" t="s">
        <v>123</v>
      </c>
      <c r="ER99" t="s">
        <v>178</v>
      </c>
      <c r="ES99" t="s">
        <v>132</v>
      </c>
      <c r="FQ99" s="1" t="s">
        <v>123</v>
      </c>
      <c r="GY99" t="s">
        <v>1535</v>
      </c>
      <c r="GZ99" t="s">
        <v>1536</v>
      </c>
      <c r="HA99" t="s">
        <v>1537</v>
      </c>
      <c r="HB99" t="s">
        <v>140</v>
      </c>
      <c r="HC99">
        <v>1991</v>
      </c>
      <c r="HD99" t="str">
        <f>VLOOKUP(AnalizaCzyste[[#This Row],[Rok urodzenia]],KategorieWiekowe[],2,1)</f>
        <v>26-35 lat</v>
      </c>
      <c r="HE99" t="s">
        <v>141</v>
      </c>
      <c r="HG99" t="s">
        <v>1538</v>
      </c>
      <c r="HH99" t="s">
        <v>1539</v>
      </c>
    </row>
    <row r="100" spans="1:217" hidden="1" x14ac:dyDescent="0.45">
      <c r="A100">
        <v>182</v>
      </c>
      <c r="B100">
        <f>_xlfn.IFNA(VLOOKUP(AnalizaCzyste[[#This Row],[Zakończono wypełnianie]],Zakończone[],2,0),"BRAK")</f>
        <v>103</v>
      </c>
      <c r="C100">
        <f>COUNTA(P100:HI100)</f>
        <v>35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>
        <v>2013</v>
      </c>
      <c r="AK100" t="s">
        <v>126</v>
      </c>
      <c r="AL100" t="s">
        <v>1544</v>
      </c>
      <c r="AM100" t="s">
        <v>236</v>
      </c>
      <c r="AN100" t="s">
        <v>236</v>
      </c>
      <c r="AO100" t="s">
        <v>162</v>
      </c>
      <c r="AP100" t="s">
        <v>236</v>
      </c>
      <c r="AQ100" t="s">
        <v>236</v>
      </c>
      <c r="AR100">
        <v>1</v>
      </c>
      <c r="AS100" t="s">
        <v>131</v>
      </c>
      <c r="AT100" t="s">
        <v>302</v>
      </c>
      <c r="AV100" t="s">
        <v>267</v>
      </c>
      <c r="AW100" t="s">
        <v>267</v>
      </c>
      <c r="AX100" t="s">
        <v>157</v>
      </c>
      <c r="AZ100" s="1" t="s">
        <v>123</v>
      </c>
      <c r="CT100" s="1" t="s">
        <v>123</v>
      </c>
      <c r="DD100" s="1" t="s">
        <v>123</v>
      </c>
      <c r="DN100" s="1" t="s">
        <v>123</v>
      </c>
      <c r="EQ100" s="1" t="s">
        <v>123</v>
      </c>
      <c r="FQ100" s="1" t="s">
        <v>123</v>
      </c>
      <c r="GY100" t="s">
        <v>267</v>
      </c>
      <c r="GZ100" t="s">
        <v>267</v>
      </c>
      <c r="HA100" t="s">
        <v>267</v>
      </c>
      <c r="HB100" t="s">
        <v>186</v>
      </c>
      <c r="HC100">
        <v>1989</v>
      </c>
      <c r="HD100" t="str">
        <f>VLOOKUP(AnalizaCzyste[[#This Row],[Rok urodzenia]],KategorieWiekowe[],2,1)</f>
        <v>26-35 lat</v>
      </c>
      <c r="HE100" t="s">
        <v>141</v>
      </c>
      <c r="HG100" t="s">
        <v>267</v>
      </c>
      <c r="HH100" t="s">
        <v>267</v>
      </c>
      <c r="HI100" t="s">
        <v>267</v>
      </c>
    </row>
    <row r="101" spans="1:217" hidden="1" x14ac:dyDescent="0.45">
      <c r="A101">
        <v>183</v>
      </c>
      <c r="B101">
        <f>_xlfn.IFNA(VLOOKUP(AnalizaCzyste[[#This Row],[Zakończono wypełnianie]],Zakończone[],2,0),"BRAK")</f>
        <v>104</v>
      </c>
      <c r="C101">
        <f>COUNTA(P101:HI101)</f>
        <v>34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>
        <v>2018</v>
      </c>
      <c r="AK101" t="s">
        <v>126</v>
      </c>
      <c r="AL101" t="s">
        <v>192</v>
      </c>
      <c r="AM101" t="s">
        <v>150</v>
      </c>
      <c r="AN101" t="s">
        <v>162</v>
      </c>
      <c r="AO101" t="s">
        <v>150</v>
      </c>
      <c r="AP101" t="s">
        <v>162</v>
      </c>
      <c r="AQ101" t="s">
        <v>169</v>
      </c>
      <c r="AR101" t="s">
        <v>237</v>
      </c>
      <c r="AS101" t="s">
        <v>153</v>
      </c>
      <c r="AT101" t="s">
        <v>209</v>
      </c>
      <c r="AU101" t="s">
        <v>1548</v>
      </c>
      <c r="AV101" t="s">
        <v>1549</v>
      </c>
      <c r="AW101" t="s">
        <v>1550</v>
      </c>
      <c r="AX101" t="s">
        <v>230</v>
      </c>
      <c r="AZ101" s="1" t="s">
        <v>123</v>
      </c>
      <c r="CT101" s="1" t="s">
        <v>123</v>
      </c>
      <c r="DD101" s="1" t="s">
        <v>123</v>
      </c>
      <c r="DN101" s="1" t="s">
        <v>123</v>
      </c>
      <c r="EQ101" s="1" t="s">
        <v>123</v>
      </c>
      <c r="FQ101" s="1" t="s">
        <v>123</v>
      </c>
      <c r="GY101" t="s">
        <v>1551</v>
      </c>
      <c r="GZ101" t="s">
        <v>1552</v>
      </c>
      <c r="HA101" t="s">
        <v>1553</v>
      </c>
      <c r="HB101" t="s">
        <v>186</v>
      </c>
      <c r="HC101">
        <v>1994</v>
      </c>
      <c r="HD101" t="str">
        <f>VLOOKUP(AnalizaCzyste[[#This Row],[Rok urodzenia]],KategorieWiekowe[],2,1)</f>
        <v>26-35 lat</v>
      </c>
      <c r="HE101" t="s">
        <v>483</v>
      </c>
      <c r="HG101" t="s">
        <v>1554</v>
      </c>
    </row>
    <row r="102" spans="1:217" hidden="1" x14ac:dyDescent="0.45">
      <c r="A102">
        <v>184</v>
      </c>
      <c r="B102">
        <f>_xlfn.IFNA(VLOOKUP(AnalizaCzyste[[#This Row],[Zakończono wypełnianie]],Zakończone[],2,0),"BRAK")</f>
        <v>105</v>
      </c>
      <c r="C102">
        <f>COUNTA(P102:HI102)</f>
        <v>35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>
        <v>1997</v>
      </c>
      <c r="AK102" t="s">
        <v>126</v>
      </c>
      <c r="AL102" t="s">
        <v>1558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1559</v>
      </c>
      <c r="AS102" t="s">
        <v>132</v>
      </c>
      <c r="AT102" t="s">
        <v>132</v>
      </c>
      <c r="AU102" t="s">
        <v>1560</v>
      </c>
      <c r="AV102" t="s">
        <v>1561</v>
      </c>
      <c r="AW102" t="s">
        <v>1562</v>
      </c>
      <c r="AX102" t="s">
        <v>172</v>
      </c>
      <c r="AZ102" s="1" t="s">
        <v>123</v>
      </c>
      <c r="CT102" s="1" t="s">
        <v>123</v>
      </c>
      <c r="DD102" s="1" t="s">
        <v>123</v>
      </c>
      <c r="DN102" s="1" t="s">
        <v>123</v>
      </c>
      <c r="EQ102" s="1" t="s">
        <v>123</v>
      </c>
      <c r="FQ102" s="1" t="s">
        <v>123</v>
      </c>
      <c r="GY102" t="s">
        <v>1563</v>
      </c>
      <c r="GZ102" t="s">
        <v>1564</v>
      </c>
      <c r="HA102" t="s">
        <v>1565</v>
      </c>
      <c r="HB102" t="s">
        <v>186</v>
      </c>
      <c r="HC102">
        <v>1972</v>
      </c>
      <c r="HD102" t="str">
        <f>VLOOKUP(AnalizaCzyste[[#This Row],[Rok urodzenia]],KategorieWiekowe[],2,1)</f>
        <v>46-55 lat</v>
      </c>
      <c r="HE102" t="s">
        <v>483</v>
      </c>
      <c r="HG102" t="s">
        <v>1566</v>
      </c>
      <c r="HH102" t="s">
        <v>142</v>
      </c>
    </row>
    <row r="103" spans="1:217" hidden="1" x14ac:dyDescent="0.45">
      <c r="A103">
        <v>187</v>
      </c>
      <c r="B103">
        <f>_xlfn.IFNA(VLOOKUP(AnalizaCzyste[[#This Row],[Zakończono wypełnianie]],Zakończone[],2,0),"BRAK")</f>
        <v>106</v>
      </c>
      <c r="C103">
        <f>COUNTA(P103:HI103)</f>
        <v>35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s="42">
        <v>2009</v>
      </c>
      <c r="AK103" t="s">
        <v>126</v>
      </c>
      <c r="AL103" t="s">
        <v>1578</v>
      </c>
      <c r="AM103" t="s">
        <v>162</v>
      </c>
      <c r="AN103" t="s">
        <v>162</v>
      </c>
      <c r="AO103" t="s">
        <v>151</v>
      </c>
      <c r="AP103" t="s">
        <v>162</v>
      </c>
      <c r="AQ103" t="s">
        <v>151</v>
      </c>
      <c r="AR103" t="s">
        <v>530</v>
      </c>
      <c r="AS103" t="s">
        <v>302</v>
      </c>
      <c r="AT103" t="s">
        <v>302</v>
      </c>
      <c r="AV103" t="s">
        <v>1579</v>
      </c>
      <c r="AW103" t="s">
        <v>1580</v>
      </c>
      <c r="AX103" t="s">
        <v>157</v>
      </c>
      <c r="AY103" t="s">
        <v>1581</v>
      </c>
      <c r="AZ103" s="1" t="s">
        <v>123</v>
      </c>
      <c r="CT103" s="1" t="s">
        <v>123</v>
      </c>
      <c r="DD103" s="1" t="s">
        <v>123</v>
      </c>
      <c r="DN103" s="1" t="s">
        <v>123</v>
      </c>
      <c r="EQ103" s="1" t="s">
        <v>123</v>
      </c>
      <c r="FQ103" s="1" t="s">
        <v>123</v>
      </c>
      <c r="GY103" t="s">
        <v>1582</v>
      </c>
      <c r="GZ103" t="s">
        <v>1583</v>
      </c>
      <c r="HA103" t="s">
        <v>1584</v>
      </c>
      <c r="HB103" t="s">
        <v>140</v>
      </c>
      <c r="HC103">
        <v>1985</v>
      </c>
      <c r="HD103" t="str">
        <f>VLOOKUP(AnalizaCzyste[[#This Row],[Rok urodzenia]],KategorieWiekowe[],2,1)</f>
        <v>26-35 lat</v>
      </c>
      <c r="HE103" t="s">
        <v>220</v>
      </c>
      <c r="HG103" t="s">
        <v>1585</v>
      </c>
      <c r="HH103" t="s">
        <v>1586</v>
      </c>
    </row>
    <row r="104" spans="1:217" hidden="1" x14ac:dyDescent="0.45">
      <c r="A104">
        <v>188</v>
      </c>
      <c r="B104">
        <f>_xlfn.IFNA(VLOOKUP(AnalizaCzyste[[#This Row],[Zakończono wypełnianie]],Zakończone[],2,0),"BRAK")</f>
        <v>107</v>
      </c>
      <c r="C104">
        <f>COUNTA(P104:HI104)</f>
        <v>68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>
        <v>1983</v>
      </c>
      <c r="AK104" t="s">
        <v>126</v>
      </c>
      <c r="AL104" t="s">
        <v>1590</v>
      </c>
      <c r="AM104" t="s">
        <v>150</v>
      </c>
      <c r="AN104" t="s">
        <v>150</v>
      </c>
      <c r="AO104" t="s">
        <v>236</v>
      </c>
      <c r="AP104" t="s">
        <v>129</v>
      </c>
      <c r="AQ104" t="s">
        <v>162</v>
      </c>
      <c r="AR104">
        <v>36</v>
      </c>
      <c r="AS104" t="s">
        <v>132</v>
      </c>
      <c r="AT104" t="s">
        <v>132</v>
      </c>
      <c r="AU104" t="s">
        <v>1591</v>
      </c>
      <c r="AV104" t="s">
        <v>1592</v>
      </c>
      <c r="AW104" t="s">
        <v>1593</v>
      </c>
      <c r="AX104" t="s">
        <v>172</v>
      </c>
      <c r="AZ104" s="1" t="s">
        <v>159</v>
      </c>
      <c r="BA104">
        <v>3</v>
      </c>
      <c r="BB104" t="s">
        <v>191</v>
      </c>
      <c r="BC104">
        <v>2019</v>
      </c>
      <c r="BD104" t="s">
        <v>126</v>
      </c>
      <c r="BE104" t="s">
        <v>1594</v>
      </c>
      <c r="BF104" t="s">
        <v>236</v>
      </c>
      <c r="BG104" t="s">
        <v>128</v>
      </c>
      <c r="BH104" t="s">
        <v>162</v>
      </c>
      <c r="BI104" t="s">
        <v>151</v>
      </c>
      <c r="BJ104" t="s">
        <v>132</v>
      </c>
      <c r="BK104" t="s">
        <v>1595</v>
      </c>
      <c r="BL104" t="s">
        <v>1596</v>
      </c>
      <c r="BM104" t="s">
        <v>157</v>
      </c>
      <c r="BP104" t="s">
        <v>173</v>
      </c>
      <c r="CT104" s="1" t="s">
        <v>123</v>
      </c>
      <c r="DD104" s="1" t="s">
        <v>123</v>
      </c>
      <c r="DN104" s="1" t="s">
        <v>123</v>
      </c>
      <c r="EQ104" s="1" t="s">
        <v>177</v>
      </c>
      <c r="ER104" t="s">
        <v>178</v>
      </c>
      <c r="ES104">
        <v>2</v>
      </c>
      <c r="ET104" t="s">
        <v>747</v>
      </c>
      <c r="EU104" t="s">
        <v>236</v>
      </c>
      <c r="EV104" t="s">
        <v>236</v>
      </c>
      <c r="EW104" t="s">
        <v>128</v>
      </c>
      <c r="EX104" t="s">
        <v>178</v>
      </c>
      <c r="EY104" t="s">
        <v>1597</v>
      </c>
      <c r="EZ104" t="s">
        <v>1598</v>
      </c>
      <c r="FA104" t="s">
        <v>1206</v>
      </c>
      <c r="FB104" t="s">
        <v>1599</v>
      </c>
      <c r="FC104" t="s">
        <v>129</v>
      </c>
      <c r="FD104" t="s">
        <v>129</v>
      </c>
      <c r="FE104" t="s">
        <v>236</v>
      </c>
      <c r="FF104" t="s">
        <v>178</v>
      </c>
      <c r="FG104" t="s">
        <v>1600</v>
      </c>
      <c r="FH104" t="s">
        <v>1601</v>
      </c>
      <c r="FI104" t="s">
        <v>173</v>
      </c>
      <c r="FQ104" s="1" t="s">
        <v>123</v>
      </c>
      <c r="GY104" t="s">
        <v>1602</v>
      </c>
      <c r="GZ104" t="s">
        <v>1603</v>
      </c>
      <c r="HA104" t="s">
        <v>1604</v>
      </c>
      <c r="HB104" t="s">
        <v>186</v>
      </c>
      <c r="HC104">
        <v>1959</v>
      </c>
      <c r="HD104" t="str">
        <f>VLOOKUP(AnalizaCzyste[[#This Row],[Rok urodzenia]],KategorieWiekowe[],2,1)</f>
        <v>56-65 lat</v>
      </c>
      <c r="HE104" t="s">
        <v>483</v>
      </c>
      <c r="HG104" t="s">
        <v>1605</v>
      </c>
      <c r="HH104" t="s">
        <v>1606</v>
      </c>
      <c r="HI104" t="s">
        <v>1607</v>
      </c>
    </row>
    <row r="105" spans="1:217" hidden="1" x14ac:dyDescent="0.45">
      <c r="A105">
        <v>189</v>
      </c>
      <c r="B105">
        <f>_xlfn.IFNA(VLOOKUP(AnalizaCzyste[[#This Row],[Zakończono wypełnianie]],Zakończone[],2,0),"BRAK")</f>
        <v>108</v>
      </c>
      <c r="C105">
        <f>COUNTA(P105:HI105)</f>
        <v>36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>
        <v>2009</v>
      </c>
      <c r="AK105" t="s">
        <v>148</v>
      </c>
      <c r="AL105" t="s">
        <v>554</v>
      </c>
      <c r="AM105" t="s">
        <v>162</v>
      </c>
      <c r="AN105" t="s">
        <v>162</v>
      </c>
      <c r="AO105" t="s">
        <v>162</v>
      </c>
      <c r="AP105" t="s">
        <v>162</v>
      </c>
      <c r="AQ105" t="s">
        <v>162</v>
      </c>
      <c r="AR105" t="s">
        <v>1610</v>
      </c>
      <c r="AS105" t="s">
        <v>302</v>
      </c>
      <c r="AT105" t="s">
        <v>153</v>
      </c>
      <c r="AV105" t="s">
        <v>1611</v>
      </c>
      <c r="AW105" t="s">
        <v>1612</v>
      </c>
      <c r="AY105" t="s">
        <v>1613</v>
      </c>
      <c r="AZ105" s="1" t="s">
        <v>123</v>
      </c>
      <c r="CT105" s="1" t="s">
        <v>123</v>
      </c>
      <c r="DD105" s="1" t="s">
        <v>123</v>
      </c>
      <c r="DN105" s="1" t="s">
        <v>123</v>
      </c>
      <c r="EQ105" s="1" t="s">
        <v>123</v>
      </c>
      <c r="ER105" t="s">
        <v>180</v>
      </c>
      <c r="ES105" t="s">
        <v>132</v>
      </c>
      <c r="FQ105" s="1" t="s">
        <v>123</v>
      </c>
      <c r="GY105" t="s">
        <v>1614</v>
      </c>
      <c r="GZ105" t="s">
        <v>1247</v>
      </c>
      <c r="HA105" t="s">
        <v>1247</v>
      </c>
      <c r="HB105" t="s">
        <v>140</v>
      </c>
      <c r="HC105">
        <v>1983</v>
      </c>
      <c r="HD105" t="str">
        <f>VLOOKUP(AnalizaCzyste[[#This Row],[Rok urodzenia]],KategorieWiekowe[],2,1)</f>
        <v>36-45 lat</v>
      </c>
      <c r="HE105" t="s">
        <v>220</v>
      </c>
      <c r="HG105" t="s">
        <v>1615</v>
      </c>
      <c r="HH105" t="s">
        <v>1615</v>
      </c>
    </row>
    <row r="106" spans="1:217" hidden="1" x14ac:dyDescent="0.45">
      <c r="A106">
        <v>191</v>
      </c>
      <c r="B106">
        <f>_xlfn.IFNA(VLOOKUP(AnalizaCzyste[[#This Row],[Zakończono wypełnianie]],Zakończone[],2,0),"BRAK")</f>
        <v>109</v>
      </c>
      <c r="C106">
        <f>COUNTA(P106:HI106)</f>
        <v>34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>
        <v>2000</v>
      </c>
      <c r="AK106" t="s">
        <v>148</v>
      </c>
      <c r="AL106" t="s">
        <v>1622</v>
      </c>
      <c r="AM106" t="s">
        <v>150</v>
      </c>
      <c r="AN106" t="s">
        <v>150</v>
      </c>
      <c r="AO106" t="s">
        <v>150</v>
      </c>
      <c r="AP106" t="s">
        <v>236</v>
      </c>
      <c r="AQ106" t="s">
        <v>162</v>
      </c>
      <c r="AR106" t="s">
        <v>1623</v>
      </c>
      <c r="AS106" t="s">
        <v>132</v>
      </c>
      <c r="AT106" t="s">
        <v>302</v>
      </c>
      <c r="AU106" t="s">
        <v>1624</v>
      </c>
      <c r="AV106" t="s">
        <v>1625</v>
      </c>
      <c r="AW106" t="s">
        <v>1626</v>
      </c>
      <c r="AX106" t="s">
        <v>172</v>
      </c>
      <c r="AZ106" s="1" t="s">
        <v>123</v>
      </c>
      <c r="CT106" s="1" t="s">
        <v>123</v>
      </c>
      <c r="DD106" s="1" t="s">
        <v>123</v>
      </c>
      <c r="DN106" s="1" t="s">
        <v>123</v>
      </c>
      <c r="EQ106" s="1" t="s">
        <v>123</v>
      </c>
      <c r="FQ106" s="1" t="s">
        <v>123</v>
      </c>
      <c r="GY106" t="s">
        <v>1627</v>
      </c>
      <c r="GZ106" t="s">
        <v>1628</v>
      </c>
      <c r="HA106" t="s">
        <v>1629</v>
      </c>
      <c r="HB106" t="s">
        <v>186</v>
      </c>
      <c r="HC106">
        <v>1948</v>
      </c>
      <c r="HD106" t="str">
        <f>VLOOKUP(AnalizaCzyste[[#This Row],[Rok urodzenia]],KategorieWiekowe[],2,1)</f>
        <v>powyżej 65 lat</v>
      </c>
      <c r="HE106" t="s">
        <v>1630</v>
      </c>
      <c r="HH106" t="s">
        <v>1631</v>
      </c>
    </row>
    <row r="107" spans="1:217" hidden="1" x14ac:dyDescent="0.45">
      <c r="A107">
        <v>193</v>
      </c>
      <c r="B107">
        <f>_xlfn.IFNA(VLOOKUP(AnalizaCzyste[[#This Row],[Zakończono wypełnianie]],Zakończone[],2,0),"BRAK")</f>
        <v>110</v>
      </c>
      <c r="C107">
        <f>COUNTA(P107:HI107)</f>
        <v>35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>
        <v>2001</v>
      </c>
      <c r="AK107" t="s">
        <v>148</v>
      </c>
      <c r="AL107" t="s">
        <v>1637</v>
      </c>
      <c r="AM107" t="s">
        <v>150</v>
      </c>
      <c r="AN107" t="s">
        <v>150</v>
      </c>
      <c r="AO107" t="s">
        <v>169</v>
      </c>
      <c r="AP107" t="s">
        <v>150</v>
      </c>
      <c r="AQ107" t="s">
        <v>169</v>
      </c>
      <c r="AR107" t="s">
        <v>1638</v>
      </c>
      <c r="AS107" t="s">
        <v>152</v>
      </c>
      <c r="AT107" t="s">
        <v>153</v>
      </c>
      <c r="AU107" t="s">
        <v>1639</v>
      </c>
      <c r="AV107" t="s">
        <v>1640</v>
      </c>
      <c r="AW107" t="s">
        <v>386</v>
      </c>
      <c r="AX107" t="s">
        <v>157</v>
      </c>
      <c r="AZ107" s="1" t="s">
        <v>123</v>
      </c>
      <c r="CT107" s="1" t="s">
        <v>123</v>
      </c>
      <c r="DD107" s="1" t="s">
        <v>123</v>
      </c>
      <c r="DN107" s="1" t="s">
        <v>123</v>
      </c>
      <c r="EQ107" s="1" t="s">
        <v>123</v>
      </c>
      <c r="FQ107" s="1" t="s">
        <v>123</v>
      </c>
      <c r="GY107" t="s">
        <v>1641</v>
      </c>
      <c r="GZ107" t="s">
        <v>1642</v>
      </c>
      <c r="HA107" t="s">
        <v>1643</v>
      </c>
      <c r="HB107" t="s">
        <v>140</v>
      </c>
      <c r="HC107">
        <v>1977</v>
      </c>
      <c r="HD107" t="str">
        <f>VLOOKUP(AnalizaCzyste[[#This Row],[Rok urodzenia]],KategorieWiekowe[],2,1)</f>
        <v>36-45 lat</v>
      </c>
      <c r="HE107" t="s">
        <v>141</v>
      </c>
      <c r="HF107" t="s">
        <v>1644</v>
      </c>
      <c r="HG107" t="s">
        <v>1645</v>
      </c>
    </row>
    <row r="108" spans="1:217" hidden="1" x14ac:dyDescent="0.45">
      <c r="A108">
        <v>195</v>
      </c>
      <c r="B108">
        <f>_xlfn.IFNA(VLOOKUP(AnalizaCzyste[[#This Row],[Zakończono wypełnianie]],Zakończone[],2,0),"BRAK")</f>
        <v>111</v>
      </c>
      <c r="C108">
        <f>COUNTA(P108:HI108)</f>
        <v>34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>
        <v>2016</v>
      </c>
      <c r="AK108" t="s">
        <v>126</v>
      </c>
      <c r="AL108" t="s">
        <v>1652</v>
      </c>
      <c r="AM108" t="s">
        <v>162</v>
      </c>
      <c r="AN108" t="s">
        <v>151</v>
      </c>
      <c r="AO108" t="s">
        <v>162</v>
      </c>
      <c r="AP108" t="s">
        <v>150</v>
      </c>
      <c r="AQ108" t="s">
        <v>236</v>
      </c>
      <c r="AR108" t="s">
        <v>530</v>
      </c>
      <c r="AS108" t="s">
        <v>153</v>
      </c>
      <c r="AT108" t="s">
        <v>153</v>
      </c>
      <c r="AU108" t="s">
        <v>1653</v>
      </c>
      <c r="AV108" t="s">
        <v>1654</v>
      </c>
      <c r="AW108" t="s">
        <v>1655</v>
      </c>
      <c r="AX108" t="s">
        <v>172</v>
      </c>
      <c r="AZ108" s="1" t="s">
        <v>123</v>
      </c>
      <c r="CT108" s="1" t="s">
        <v>123</v>
      </c>
      <c r="DD108" s="1" t="s">
        <v>123</v>
      </c>
      <c r="DN108" s="1" t="s">
        <v>123</v>
      </c>
      <c r="EQ108" s="1" t="s">
        <v>123</v>
      </c>
      <c r="ER108" t="s">
        <v>178</v>
      </c>
      <c r="FQ108" s="1" t="s">
        <v>123</v>
      </c>
      <c r="GY108" t="s">
        <v>1656</v>
      </c>
      <c r="GZ108" t="s">
        <v>1657</v>
      </c>
      <c r="HA108" t="s">
        <v>1658</v>
      </c>
      <c r="HB108" t="s">
        <v>140</v>
      </c>
      <c r="HC108">
        <v>1993</v>
      </c>
      <c r="HD108" t="str">
        <f>VLOOKUP(AnalizaCzyste[[#This Row],[Rok urodzenia]],KategorieWiekowe[],2,1)</f>
        <v>26-35 lat</v>
      </c>
      <c r="HE108" t="s">
        <v>220</v>
      </c>
    </row>
    <row r="109" spans="1:217" hidden="1" x14ac:dyDescent="0.45">
      <c r="A109">
        <v>196</v>
      </c>
      <c r="B109">
        <f>_xlfn.IFNA(VLOOKUP(AnalizaCzyste[[#This Row],[Zakończono wypełnianie]],Zakończone[],2,0),"BRAK")</f>
        <v>112</v>
      </c>
      <c r="C109">
        <f>COUNTA(P109:HI109)</f>
        <v>56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>
        <v>1991</v>
      </c>
      <c r="AK109" t="s">
        <v>126</v>
      </c>
      <c r="AL109" t="s">
        <v>1662</v>
      </c>
      <c r="AM109" t="s">
        <v>150</v>
      </c>
      <c r="AN109" t="s">
        <v>150</v>
      </c>
      <c r="AO109" t="s">
        <v>150</v>
      </c>
      <c r="AP109" t="s">
        <v>132</v>
      </c>
      <c r="AQ109" t="s">
        <v>132</v>
      </c>
      <c r="AR109" t="s">
        <v>718</v>
      </c>
      <c r="AS109" t="s">
        <v>132</v>
      </c>
      <c r="AT109" t="s">
        <v>132</v>
      </c>
      <c r="AU109" t="s">
        <v>1663</v>
      </c>
      <c r="AV109" t="s">
        <v>1664</v>
      </c>
      <c r="AW109" t="s">
        <v>1665</v>
      </c>
      <c r="AX109" t="s">
        <v>172</v>
      </c>
      <c r="AZ109" s="1" t="s">
        <v>159</v>
      </c>
      <c r="BA109">
        <v>1</v>
      </c>
      <c r="BB109" t="s">
        <v>191</v>
      </c>
      <c r="BC109">
        <v>2018</v>
      </c>
      <c r="BD109" t="s">
        <v>126</v>
      </c>
      <c r="BE109" t="s">
        <v>1666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>
        <v>1</v>
      </c>
      <c r="BM109" t="s">
        <v>172</v>
      </c>
      <c r="BP109" t="s">
        <v>173</v>
      </c>
      <c r="CT109" s="1" t="s">
        <v>123</v>
      </c>
      <c r="DD109" s="1" t="s">
        <v>123</v>
      </c>
      <c r="DN109" s="1" t="s">
        <v>123</v>
      </c>
      <c r="EQ109" s="1" t="s">
        <v>177</v>
      </c>
      <c r="ER109" t="s">
        <v>178</v>
      </c>
      <c r="ES109">
        <v>1</v>
      </c>
      <c r="ET109" t="s">
        <v>191</v>
      </c>
      <c r="EU109" t="s">
        <v>169</v>
      </c>
      <c r="EV109" t="s">
        <v>169</v>
      </c>
      <c r="EW109" t="s">
        <v>151</v>
      </c>
      <c r="EX109" t="s">
        <v>178</v>
      </c>
      <c r="EY109" t="s">
        <v>1667</v>
      </c>
      <c r="EZ109" t="s">
        <v>1668</v>
      </c>
      <c r="FA109" t="s">
        <v>173</v>
      </c>
      <c r="FQ109" s="1" t="s">
        <v>123</v>
      </c>
      <c r="GY109" t="s">
        <v>1669</v>
      </c>
      <c r="GZ109" t="s">
        <v>1670</v>
      </c>
      <c r="HA109" t="s">
        <v>1671</v>
      </c>
      <c r="HB109" t="s">
        <v>186</v>
      </c>
      <c r="HC109">
        <v>1966</v>
      </c>
      <c r="HD109" t="str">
        <f>VLOOKUP(AnalizaCzyste[[#This Row],[Rok urodzenia]],KategorieWiekowe[],2,1)</f>
        <v>46-55 lat</v>
      </c>
      <c r="HE109" t="s">
        <v>141</v>
      </c>
    </row>
    <row r="110" spans="1:217" hidden="1" x14ac:dyDescent="0.45">
      <c r="A110">
        <v>198</v>
      </c>
      <c r="B110">
        <f>_xlfn.IFNA(VLOOKUP(AnalizaCzyste[[#This Row],[Zakończono wypełnianie]],Zakończone[],2,0),"BRAK")</f>
        <v>113</v>
      </c>
      <c r="C110">
        <f>COUNTA(P110:HI110)</f>
        <v>33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>
        <v>2014</v>
      </c>
      <c r="AK110" t="s">
        <v>126</v>
      </c>
      <c r="AL110" t="s">
        <v>192</v>
      </c>
      <c r="AM110" t="s">
        <v>169</v>
      </c>
      <c r="AN110" t="s">
        <v>169</v>
      </c>
      <c r="AO110" t="s">
        <v>162</v>
      </c>
      <c r="AP110" t="s">
        <v>151</v>
      </c>
      <c r="AQ110" t="s">
        <v>151</v>
      </c>
      <c r="AR110" t="s">
        <v>237</v>
      </c>
      <c r="AS110" t="s">
        <v>226</v>
      </c>
      <c r="AT110" t="s">
        <v>1428</v>
      </c>
      <c r="AU110" t="s">
        <v>1677</v>
      </c>
      <c r="AV110" t="s">
        <v>1678</v>
      </c>
      <c r="AW110" t="s">
        <v>1679</v>
      </c>
      <c r="AX110" t="s">
        <v>157</v>
      </c>
      <c r="AZ110" s="1" t="s">
        <v>123</v>
      </c>
      <c r="CT110" s="1" t="s">
        <v>123</v>
      </c>
      <c r="DD110" s="1" t="s">
        <v>123</v>
      </c>
      <c r="DN110" s="1" t="s">
        <v>123</v>
      </c>
      <c r="EQ110" s="1" t="s">
        <v>123</v>
      </c>
      <c r="FQ110" s="1" t="s">
        <v>123</v>
      </c>
      <c r="GY110" t="s">
        <v>532</v>
      </c>
      <c r="GZ110" t="s">
        <v>1680</v>
      </c>
      <c r="HA110" t="s">
        <v>1681</v>
      </c>
      <c r="HB110" t="s">
        <v>186</v>
      </c>
      <c r="HC110">
        <v>1984</v>
      </c>
      <c r="HD110" t="str">
        <f>VLOOKUP(AnalizaCzyste[[#This Row],[Rok urodzenia]],KategorieWiekowe[],2,1)</f>
        <v>36-45 lat</v>
      </c>
      <c r="HE110" t="s">
        <v>398</v>
      </c>
    </row>
    <row r="111" spans="1:217" hidden="1" x14ac:dyDescent="0.45">
      <c r="A111">
        <v>205</v>
      </c>
      <c r="B111">
        <f>_xlfn.IFNA(VLOOKUP(AnalizaCzyste[[#This Row],[Zakończono wypełnianie]],Zakończone[],2,0),"BRAK")</f>
        <v>114</v>
      </c>
      <c r="C111">
        <f>COUNTA(P111:HI111)</f>
        <v>35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>
        <v>2012</v>
      </c>
      <c r="AK111" t="s">
        <v>148</v>
      </c>
      <c r="AL111" t="s">
        <v>1713</v>
      </c>
      <c r="AM111" t="s">
        <v>162</v>
      </c>
      <c r="AN111" t="s">
        <v>162</v>
      </c>
      <c r="AO111" t="s">
        <v>169</v>
      </c>
      <c r="AP111" t="s">
        <v>129</v>
      </c>
      <c r="AQ111" t="s">
        <v>129</v>
      </c>
      <c r="AR111" t="s">
        <v>1714</v>
      </c>
      <c r="AS111" t="s">
        <v>131</v>
      </c>
      <c r="AT111" t="s">
        <v>131</v>
      </c>
      <c r="AU111" t="s">
        <v>1715</v>
      </c>
      <c r="AV111" t="s">
        <v>1716</v>
      </c>
      <c r="AW111" t="s">
        <v>1717</v>
      </c>
      <c r="AX111" t="s">
        <v>157</v>
      </c>
      <c r="AZ111" s="1" t="s">
        <v>123</v>
      </c>
      <c r="CT111" s="1" t="s">
        <v>123</v>
      </c>
      <c r="DD111" s="1" t="s">
        <v>123</v>
      </c>
      <c r="DN111" s="1" t="s">
        <v>123</v>
      </c>
      <c r="EQ111" s="1" t="s">
        <v>123</v>
      </c>
      <c r="FQ111" s="1" t="s">
        <v>123</v>
      </c>
      <c r="GY111" t="s">
        <v>1718</v>
      </c>
      <c r="GZ111" t="s">
        <v>1719</v>
      </c>
      <c r="HA111" t="s">
        <v>1720</v>
      </c>
      <c r="HB111" t="s">
        <v>140</v>
      </c>
      <c r="HC111">
        <v>1985</v>
      </c>
      <c r="HD111" t="str">
        <f>VLOOKUP(AnalizaCzyste[[#This Row],[Rok urodzenia]],KategorieWiekowe[],2,1)</f>
        <v>26-35 lat</v>
      </c>
      <c r="HE111" t="s">
        <v>246</v>
      </c>
      <c r="HG111" t="s">
        <v>1721</v>
      </c>
      <c r="HH111" t="s">
        <v>532</v>
      </c>
    </row>
    <row r="112" spans="1:217" hidden="1" x14ac:dyDescent="0.45">
      <c r="A112">
        <v>211</v>
      </c>
      <c r="B112">
        <f>_xlfn.IFNA(VLOOKUP(AnalizaCzyste[[#This Row],[Zakończono wypełnianie]],Zakończone[],2,0),"BRAK")</f>
        <v>115</v>
      </c>
      <c r="C112">
        <f>COUNTA(P112:HI112)</f>
        <v>37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>
        <v>2001</v>
      </c>
      <c r="AK112" t="s">
        <v>126</v>
      </c>
      <c r="AL112" t="s">
        <v>1339</v>
      </c>
      <c r="AM112" t="s">
        <v>150</v>
      </c>
      <c r="AN112" t="s">
        <v>150</v>
      </c>
      <c r="AO112" t="s">
        <v>150</v>
      </c>
      <c r="AP112" t="s">
        <v>162</v>
      </c>
      <c r="AQ112" t="s">
        <v>162</v>
      </c>
      <c r="AR112" t="s">
        <v>1740</v>
      </c>
      <c r="AS112" t="s">
        <v>131</v>
      </c>
      <c r="AT112" t="s">
        <v>302</v>
      </c>
      <c r="AU112" t="s">
        <v>1741</v>
      </c>
      <c r="AV112" t="s">
        <v>1742</v>
      </c>
      <c r="AW112" t="s">
        <v>1743</v>
      </c>
      <c r="AX112" t="s">
        <v>157</v>
      </c>
      <c r="AY112" t="s">
        <v>1744</v>
      </c>
      <c r="AZ112" s="1" t="s">
        <v>123</v>
      </c>
      <c r="CT112" s="1" t="s">
        <v>123</v>
      </c>
      <c r="DD112" s="1" t="s">
        <v>123</v>
      </c>
      <c r="DN112" s="1" t="s">
        <v>123</v>
      </c>
      <c r="EQ112" s="1" t="s">
        <v>123</v>
      </c>
      <c r="FQ112" s="1" t="s">
        <v>123</v>
      </c>
      <c r="GY112" t="s">
        <v>1745</v>
      </c>
      <c r="GZ112" t="s">
        <v>1746</v>
      </c>
      <c r="HA112" t="s">
        <v>1747</v>
      </c>
      <c r="HB112" t="s">
        <v>186</v>
      </c>
      <c r="HC112">
        <v>1976</v>
      </c>
      <c r="HD112" t="str">
        <f>VLOOKUP(AnalizaCzyste[[#This Row],[Rok urodzenia]],KategorieWiekowe[],2,1)</f>
        <v>36-45 lat</v>
      </c>
      <c r="HE112" t="s">
        <v>141</v>
      </c>
      <c r="HG112" t="s">
        <v>1748</v>
      </c>
      <c r="HH112" t="s">
        <v>1749</v>
      </c>
      <c r="HI112" t="s">
        <v>1750</v>
      </c>
    </row>
    <row r="113" spans="1:217" hidden="1" x14ac:dyDescent="0.45">
      <c r="A113">
        <v>212</v>
      </c>
      <c r="B113">
        <f>_xlfn.IFNA(VLOOKUP(AnalizaCzyste[[#This Row],[Zakończono wypełnianie]],Zakończone[],2,0),"BRAK")</f>
        <v>116</v>
      </c>
      <c r="C113">
        <f>COUNTA(P113:HI113)</f>
        <v>32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>
        <v>2009</v>
      </c>
      <c r="AK113" t="s">
        <v>126</v>
      </c>
      <c r="AL113" t="s">
        <v>192</v>
      </c>
      <c r="AM113" t="s">
        <v>162</v>
      </c>
      <c r="AN113" t="s">
        <v>150</v>
      </c>
      <c r="AO113" t="s">
        <v>169</v>
      </c>
      <c r="AP113" t="s">
        <v>169</v>
      </c>
      <c r="AQ113" t="s">
        <v>169</v>
      </c>
      <c r="AR113" t="s">
        <v>530</v>
      </c>
      <c r="AS113" t="s">
        <v>226</v>
      </c>
      <c r="AT113" t="s">
        <v>759</v>
      </c>
      <c r="AV113" t="s">
        <v>1754</v>
      </c>
      <c r="AW113" t="s">
        <v>1755</v>
      </c>
      <c r="AY113" t="s">
        <v>1756</v>
      </c>
      <c r="AZ113" s="1" t="s">
        <v>123</v>
      </c>
      <c r="CT113" s="1" t="s">
        <v>123</v>
      </c>
      <c r="DD113" s="1" t="s">
        <v>123</v>
      </c>
      <c r="DN113" s="1" t="s">
        <v>123</v>
      </c>
      <c r="EQ113" s="1" t="s">
        <v>123</v>
      </c>
      <c r="FQ113" s="1" t="s">
        <v>123</v>
      </c>
      <c r="GY113" t="s">
        <v>1757</v>
      </c>
      <c r="GZ113" t="s">
        <v>1758</v>
      </c>
      <c r="HA113" t="s">
        <v>1759</v>
      </c>
      <c r="HB113" t="s">
        <v>186</v>
      </c>
      <c r="HC113">
        <v>1984</v>
      </c>
      <c r="HD113" t="str">
        <f>VLOOKUP(AnalizaCzyste[[#This Row],[Rok urodzenia]],KategorieWiekowe[],2,1)</f>
        <v>36-45 lat</v>
      </c>
      <c r="HE113" t="s">
        <v>141</v>
      </c>
    </row>
    <row r="114" spans="1:217" hidden="1" x14ac:dyDescent="0.45">
      <c r="A114">
        <v>214</v>
      </c>
      <c r="B114">
        <f>_xlfn.IFNA(VLOOKUP(AnalizaCzyste[[#This Row],[Zakończono wypełnianie]],Zakończone[],2,0),"BRAK")</f>
        <v>117</v>
      </c>
      <c r="C114">
        <f>COUNTA(P114:HI114)</f>
        <v>35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>
        <v>2002</v>
      </c>
      <c r="AK114" t="s">
        <v>126</v>
      </c>
      <c r="AL114" t="s">
        <v>1176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1765</v>
      </c>
      <c r="AS114" t="s">
        <v>302</v>
      </c>
      <c r="AT114" t="s">
        <v>226</v>
      </c>
      <c r="AV114" t="s">
        <v>1766</v>
      </c>
      <c r="AW114" t="s">
        <v>386</v>
      </c>
      <c r="AX114" t="s">
        <v>157</v>
      </c>
      <c r="AY114" t="s">
        <v>1767</v>
      </c>
      <c r="AZ114" s="1" t="s">
        <v>123</v>
      </c>
      <c r="CT114" s="1" t="s">
        <v>123</v>
      </c>
      <c r="DD114" s="1" t="s">
        <v>123</v>
      </c>
      <c r="DN114" s="1" t="s">
        <v>123</v>
      </c>
      <c r="EQ114" s="1" t="s">
        <v>123</v>
      </c>
      <c r="FQ114" s="1" t="s">
        <v>123</v>
      </c>
      <c r="GY114" t="s">
        <v>1768</v>
      </c>
      <c r="GZ114" t="s">
        <v>1769</v>
      </c>
      <c r="HA114" t="s">
        <v>1769</v>
      </c>
      <c r="HB114" t="s">
        <v>186</v>
      </c>
      <c r="HC114">
        <v>1977</v>
      </c>
      <c r="HD114" t="str">
        <f>VLOOKUP(AnalizaCzyste[[#This Row],[Rok urodzenia]],KategorieWiekowe[],2,1)</f>
        <v>36-45 lat</v>
      </c>
      <c r="HE114" t="s">
        <v>141</v>
      </c>
      <c r="HG114" t="s">
        <v>386</v>
      </c>
      <c r="HH114" t="s">
        <v>386</v>
      </c>
    </row>
    <row r="115" spans="1:217" hidden="1" x14ac:dyDescent="0.45">
      <c r="A115">
        <v>215</v>
      </c>
      <c r="B115">
        <f>_xlfn.IFNA(VLOOKUP(AnalizaCzyste[[#This Row],[Zakończono wypełnianie]],Zakończone[],2,0),"BRAK")</f>
        <v>118</v>
      </c>
      <c r="C115">
        <f>COUNTA(P115:HI115)</f>
        <v>34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>
        <v>2014</v>
      </c>
      <c r="AK115" t="s">
        <v>126</v>
      </c>
      <c r="AL115" t="s">
        <v>1186</v>
      </c>
      <c r="AM115" t="s">
        <v>162</v>
      </c>
      <c r="AN115" t="s">
        <v>150</v>
      </c>
      <c r="AO115" t="s">
        <v>162</v>
      </c>
      <c r="AP115" t="s">
        <v>162</v>
      </c>
      <c r="AQ115" t="s">
        <v>150</v>
      </c>
      <c r="AR115">
        <v>1</v>
      </c>
      <c r="AS115" t="s">
        <v>131</v>
      </c>
      <c r="AT115" t="s">
        <v>153</v>
      </c>
      <c r="AV115" t="s">
        <v>766</v>
      </c>
      <c r="AW115" t="s">
        <v>1772</v>
      </c>
      <c r="AX115" t="s">
        <v>172</v>
      </c>
      <c r="AZ115" s="1" t="s">
        <v>123</v>
      </c>
      <c r="CT115" s="1" t="s">
        <v>123</v>
      </c>
      <c r="DD115" s="1" t="s">
        <v>123</v>
      </c>
      <c r="DN115" s="1" t="s">
        <v>123</v>
      </c>
      <c r="EQ115" s="1" t="s">
        <v>123</v>
      </c>
      <c r="FQ115" s="1" t="s">
        <v>123</v>
      </c>
      <c r="GY115" t="s">
        <v>1773</v>
      </c>
      <c r="GZ115" t="s">
        <v>1774</v>
      </c>
      <c r="HA115" t="s">
        <v>1775</v>
      </c>
      <c r="HB115" t="s">
        <v>140</v>
      </c>
      <c r="HC115">
        <v>1990</v>
      </c>
      <c r="HD115" t="str">
        <f>VLOOKUP(AnalizaCzyste[[#This Row],[Rok urodzenia]],KategorieWiekowe[],2,1)</f>
        <v>26-35 lat</v>
      </c>
      <c r="HE115" t="s">
        <v>141</v>
      </c>
      <c r="HG115" t="s">
        <v>1776</v>
      </c>
      <c r="HH115" t="s">
        <v>1777</v>
      </c>
    </row>
    <row r="116" spans="1:217" hidden="1" x14ac:dyDescent="0.45">
      <c r="A116">
        <v>217</v>
      </c>
      <c r="B116">
        <f>_xlfn.IFNA(VLOOKUP(AnalizaCzyste[[#This Row],[Zakończono wypełnianie]],Zakończone[],2,0),"BRAK")</f>
        <v>119</v>
      </c>
      <c r="C116">
        <f>COUNTA(P116:HI116)</f>
        <v>34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>
        <v>2011</v>
      </c>
      <c r="AK116" t="s">
        <v>148</v>
      </c>
      <c r="AL116" t="s">
        <v>1784</v>
      </c>
      <c r="AM116" t="s">
        <v>150</v>
      </c>
      <c r="AN116" t="s">
        <v>162</v>
      </c>
      <c r="AO116" t="s">
        <v>169</v>
      </c>
      <c r="AP116" t="s">
        <v>150</v>
      </c>
      <c r="AQ116" t="s">
        <v>150</v>
      </c>
      <c r="AR116">
        <v>2</v>
      </c>
      <c r="AS116" t="s">
        <v>302</v>
      </c>
      <c r="AT116" t="s">
        <v>153</v>
      </c>
      <c r="AU116" t="s">
        <v>1785</v>
      </c>
      <c r="AV116" t="s">
        <v>1786</v>
      </c>
      <c r="AW116" t="s">
        <v>1787</v>
      </c>
      <c r="AX116" t="s">
        <v>157</v>
      </c>
      <c r="AZ116" s="1" t="s">
        <v>123</v>
      </c>
      <c r="CT116" s="1" t="s">
        <v>123</v>
      </c>
      <c r="DD116" s="1" t="s">
        <v>123</v>
      </c>
      <c r="DN116" s="1" t="s">
        <v>123</v>
      </c>
      <c r="EQ116" s="1" t="s">
        <v>123</v>
      </c>
      <c r="FQ116" s="1" t="s">
        <v>123</v>
      </c>
      <c r="GY116" t="s">
        <v>1788</v>
      </c>
      <c r="GZ116" t="s">
        <v>1789</v>
      </c>
      <c r="HA116" t="s">
        <v>1790</v>
      </c>
      <c r="HB116" t="s">
        <v>140</v>
      </c>
      <c r="HC116">
        <v>1986</v>
      </c>
      <c r="HD116" t="str">
        <f>VLOOKUP(AnalizaCzyste[[#This Row],[Rok urodzenia]],KategorieWiekowe[],2,1)</f>
        <v>26-35 lat</v>
      </c>
      <c r="HE116" t="s">
        <v>398</v>
      </c>
      <c r="HG116" t="s">
        <v>1791</v>
      </c>
    </row>
    <row r="117" spans="1:217" hidden="1" x14ac:dyDescent="0.45">
      <c r="A117">
        <v>218</v>
      </c>
      <c r="B117">
        <f>_xlfn.IFNA(VLOOKUP(AnalizaCzyste[[#This Row],[Zakończono wypełnianie]],Zakończone[],2,0),"BRAK")</f>
        <v>120</v>
      </c>
      <c r="C117">
        <f>COUNTA(P117:HI117)</f>
        <v>33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>
        <v>2016</v>
      </c>
      <c r="AK117" t="s">
        <v>126</v>
      </c>
      <c r="AL117" t="s">
        <v>1795</v>
      </c>
      <c r="AM117" t="s">
        <v>236</v>
      </c>
      <c r="AN117" t="s">
        <v>236</v>
      </c>
      <c r="AO117" t="s">
        <v>129</v>
      </c>
      <c r="AP117" t="s">
        <v>129</v>
      </c>
      <c r="AQ117" t="s">
        <v>129</v>
      </c>
      <c r="AR117">
        <v>34</v>
      </c>
      <c r="AS117" t="s">
        <v>152</v>
      </c>
      <c r="AT117" t="s">
        <v>152</v>
      </c>
      <c r="AU117" t="s">
        <v>1796</v>
      </c>
      <c r="AV117" t="s">
        <v>1797</v>
      </c>
      <c r="AW117" t="s">
        <v>1798</v>
      </c>
      <c r="AX117" t="s">
        <v>157</v>
      </c>
      <c r="AZ117" s="1" t="s">
        <v>123</v>
      </c>
      <c r="CT117" s="1" t="s">
        <v>123</v>
      </c>
      <c r="DD117" s="1" t="s">
        <v>123</v>
      </c>
      <c r="DN117" s="1" t="s">
        <v>123</v>
      </c>
      <c r="EQ117" s="1" t="s">
        <v>123</v>
      </c>
      <c r="FQ117" s="1" t="s">
        <v>123</v>
      </c>
      <c r="GY117" t="s">
        <v>1799</v>
      </c>
      <c r="GZ117" t="s">
        <v>1800</v>
      </c>
      <c r="HA117" t="s">
        <v>1801</v>
      </c>
      <c r="HB117" t="s">
        <v>140</v>
      </c>
      <c r="HC117" s="42">
        <v>1995</v>
      </c>
      <c r="HD117" t="str">
        <f>VLOOKUP(AnalizaCzyste[[#This Row],[Rok urodzenia]],KategorieWiekowe[],2,1)</f>
        <v>poniżej 26 lat</v>
      </c>
      <c r="HE117" t="s">
        <v>483</v>
      </c>
    </row>
    <row r="118" spans="1:217" hidden="1" x14ac:dyDescent="0.45">
      <c r="A118">
        <v>220</v>
      </c>
      <c r="B118">
        <f>_xlfn.IFNA(VLOOKUP(AnalizaCzyste[[#This Row],[Zakończono wypełnianie]],Zakończone[],2,0),"BRAK")</f>
        <v>121</v>
      </c>
      <c r="C118">
        <f>COUNTA(P118:HI118)</f>
        <v>36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>
        <v>2012</v>
      </c>
      <c r="AK118" t="s">
        <v>148</v>
      </c>
      <c r="AL118" t="s">
        <v>1810</v>
      </c>
      <c r="AM118" t="s">
        <v>150</v>
      </c>
      <c r="AN118" t="s">
        <v>162</v>
      </c>
      <c r="AO118" t="s">
        <v>150</v>
      </c>
      <c r="AP118" t="s">
        <v>162</v>
      </c>
      <c r="AQ118" t="s">
        <v>150</v>
      </c>
      <c r="AR118" t="s">
        <v>237</v>
      </c>
      <c r="AS118" t="s">
        <v>132</v>
      </c>
      <c r="AT118" t="s">
        <v>132</v>
      </c>
      <c r="AU118" t="s">
        <v>1811</v>
      </c>
      <c r="AV118" t="s">
        <v>1812</v>
      </c>
      <c r="AW118" t="s">
        <v>1813</v>
      </c>
      <c r="AX118" t="s">
        <v>230</v>
      </c>
      <c r="AY118" t="s">
        <v>1814</v>
      </c>
      <c r="AZ118" s="1" t="s">
        <v>123</v>
      </c>
      <c r="CT118" s="1" t="s">
        <v>123</v>
      </c>
      <c r="DD118" s="1" t="s">
        <v>123</v>
      </c>
      <c r="DN118" s="1" t="s">
        <v>123</v>
      </c>
      <c r="EQ118" s="1" t="s">
        <v>123</v>
      </c>
      <c r="FQ118" s="1" t="s">
        <v>123</v>
      </c>
      <c r="GY118" t="s">
        <v>1815</v>
      </c>
      <c r="GZ118" t="s">
        <v>1816</v>
      </c>
      <c r="HA118" t="s">
        <v>1817</v>
      </c>
      <c r="HB118" t="s">
        <v>140</v>
      </c>
      <c r="HC118">
        <v>1986</v>
      </c>
      <c r="HD118" t="str">
        <f>VLOOKUP(AnalizaCzyste[[#This Row],[Rok urodzenia]],KategorieWiekowe[],2,1)</f>
        <v>26-35 lat</v>
      </c>
      <c r="HE118" t="s">
        <v>246</v>
      </c>
      <c r="HG118" t="s">
        <v>1818</v>
      </c>
      <c r="HH118" t="s">
        <v>1819</v>
      </c>
    </row>
    <row r="119" spans="1:217" hidden="1" x14ac:dyDescent="0.45">
      <c r="A119">
        <v>223</v>
      </c>
      <c r="B119">
        <f>_xlfn.IFNA(VLOOKUP(AnalizaCzyste[[#This Row],[Zakończono wypełnianie]],Zakończone[],2,0),"BRAK")</f>
        <v>122</v>
      </c>
      <c r="C119">
        <f>COUNTA(P119:HI119)</f>
        <v>43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>
        <v>2005</v>
      </c>
      <c r="AK119" t="s">
        <v>148</v>
      </c>
      <c r="AL119" t="s">
        <v>1831</v>
      </c>
      <c r="AM119" t="s">
        <v>162</v>
      </c>
      <c r="AN119" t="s">
        <v>169</v>
      </c>
      <c r="AO119" t="s">
        <v>169</v>
      </c>
      <c r="AP119" t="s">
        <v>128</v>
      </c>
      <c r="AQ119" t="s">
        <v>162</v>
      </c>
      <c r="AR119" t="s">
        <v>237</v>
      </c>
      <c r="AS119" t="s">
        <v>302</v>
      </c>
      <c r="AT119" t="s">
        <v>153</v>
      </c>
      <c r="AU119" t="s">
        <v>1832</v>
      </c>
      <c r="AV119" t="s">
        <v>1833</v>
      </c>
      <c r="AW119" t="s">
        <v>1834</v>
      </c>
      <c r="AY119" t="s">
        <v>158</v>
      </c>
      <c r="AZ119" s="1" t="s">
        <v>123</v>
      </c>
      <c r="CT119" s="1" t="s">
        <v>123</v>
      </c>
      <c r="DD119" s="1" t="s">
        <v>214</v>
      </c>
      <c r="DE119" t="s">
        <v>191</v>
      </c>
      <c r="DF119" t="s">
        <v>2277</v>
      </c>
      <c r="DG119" t="s">
        <v>150</v>
      </c>
      <c r="DH119" t="s">
        <v>150</v>
      </c>
      <c r="DI119" t="s">
        <v>151</v>
      </c>
      <c r="DJ119" t="s">
        <v>150</v>
      </c>
      <c r="DK119" t="s">
        <v>169</v>
      </c>
      <c r="DL119" t="s">
        <v>169</v>
      </c>
      <c r="DM119" t="s">
        <v>1836</v>
      </c>
      <c r="DN119" s="1" t="s">
        <v>123</v>
      </c>
      <c r="EQ119" s="1" t="s">
        <v>123</v>
      </c>
      <c r="FQ119" s="1" t="s">
        <v>123</v>
      </c>
      <c r="GY119" t="s">
        <v>1837</v>
      </c>
      <c r="GZ119" t="s">
        <v>1838</v>
      </c>
      <c r="HA119" t="s">
        <v>1839</v>
      </c>
      <c r="HB119" t="s">
        <v>140</v>
      </c>
      <c r="HC119">
        <v>1981</v>
      </c>
      <c r="HD119" t="str">
        <f>VLOOKUP(AnalizaCzyste[[#This Row],[Rok urodzenia]],KategorieWiekowe[],2,1)</f>
        <v>36-45 lat</v>
      </c>
      <c r="HE119" t="s">
        <v>141</v>
      </c>
      <c r="HG119" t="s">
        <v>1840</v>
      </c>
    </row>
    <row r="120" spans="1:217" hidden="1" x14ac:dyDescent="0.45">
      <c r="A120">
        <v>227</v>
      </c>
      <c r="B120">
        <f>_xlfn.IFNA(VLOOKUP(AnalizaCzyste[[#This Row],[Zakończono wypełnianie]],Zakończone[],2,0),"BRAK")</f>
        <v>123</v>
      </c>
      <c r="C120">
        <f>COUNTA(P120:HI120)</f>
        <v>35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>
        <v>2018</v>
      </c>
      <c r="AK120" t="s">
        <v>148</v>
      </c>
      <c r="AL120" t="s">
        <v>461</v>
      </c>
      <c r="AM120" t="s">
        <v>162</v>
      </c>
      <c r="AN120" t="s">
        <v>162</v>
      </c>
      <c r="AO120" t="s">
        <v>150</v>
      </c>
      <c r="AP120" t="s">
        <v>169</v>
      </c>
      <c r="AQ120" t="s">
        <v>132</v>
      </c>
      <c r="AR120" t="s">
        <v>1848</v>
      </c>
      <c r="AS120" t="s">
        <v>302</v>
      </c>
      <c r="AT120" t="s">
        <v>132</v>
      </c>
      <c r="AU120" t="s">
        <v>1849</v>
      </c>
      <c r="AV120" t="s">
        <v>1850</v>
      </c>
      <c r="AW120" t="s">
        <v>1851</v>
      </c>
      <c r="AX120" t="s">
        <v>157</v>
      </c>
      <c r="AZ120" s="1" t="s">
        <v>123</v>
      </c>
      <c r="CT120" s="1" t="s">
        <v>123</v>
      </c>
      <c r="DD120" s="1" t="s">
        <v>123</v>
      </c>
      <c r="DN120" s="1" t="s">
        <v>123</v>
      </c>
      <c r="EQ120" s="1" t="s">
        <v>123</v>
      </c>
      <c r="FQ120" s="1" t="s">
        <v>123</v>
      </c>
      <c r="GY120" t="s">
        <v>1852</v>
      </c>
      <c r="GZ120" t="s">
        <v>1853</v>
      </c>
      <c r="HA120" t="s">
        <v>1854</v>
      </c>
      <c r="HB120" t="s">
        <v>140</v>
      </c>
      <c r="HC120">
        <v>1994</v>
      </c>
      <c r="HD120" t="str">
        <f>VLOOKUP(AnalizaCzyste[[#This Row],[Rok urodzenia]],KategorieWiekowe[],2,1)</f>
        <v>26-35 lat</v>
      </c>
      <c r="HE120" t="s">
        <v>141</v>
      </c>
      <c r="HF120" t="s">
        <v>1855</v>
      </c>
      <c r="HG120" t="s">
        <v>1856</v>
      </c>
    </row>
    <row r="121" spans="1:217" hidden="1" x14ac:dyDescent="0.45">
      <c r="A121">
        <v>231</v>
      </c>
      <c r="B121">
        <f>_xlfn.IFNA(VLOOKUP(AnalizaCzyste[[#This Row],[Zakończono wypełnianie]],Zakończone[],2,0),"BRAK")</f>
        <v>124</v>
      </c>
      <c r="C121">
        <f>COUNTA(P121:HI121)</f>
        <v>33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>
        <v>2015</v>
      </c>
      <c r="AK121" t="s">
        <v>148</v>
      </c>
      <c r="AL121" t="s">
        <v>1867</v>
      </c>
      <c r="AM121" t="s">
        <v>162</v>
      </c>
      <c r="AN121" t="s">
        <v>150</v>
      </c>
      <c r="AO121" t="s">
        <v>169</v>
      </c>
      <c r="AP121" t="s">
        <v>151</v>
      </c>
      <c r="AQ121" t="s">
        <v>162</v>
      </c>
      <c r="AR121" t="s">
        <v>1868</v>
      </c>
      <c r="AS121" t="s">
        <v>153</v>
      </c>
      <c r="AT121" t="s">
        <v>226</v>
      </c>
      <c r="AU121" t="s">
        <v>1869</v>
      </c>
      <c r="AV121" t="s">
        <v>1870</v>
      </c>
      <c r="AW121" t="s">
        <v>1871</v>
      </c>
      <c r="AX121" t="s">
        <v>172</v>
      </c>
      <c r="AZ121" s="1" t="s">
        <v>123</v>
      </c>
      <c r="CT121" s="1" t="s">
        <v>123</v>
      </c>
      <c r="DD121" s="1" t="s">
        <v>123</v>
      </c>
      <c r="DN121" s="1" t="s">
        <v>123</v>
      </c>
      <c r="EQ121" s="1" t="s">
        <v>123</v>
      </c>
      <c r="FQ121" s="1" t="s">
        <v>123</v>
      </c>
      <c r="GY121" t="s">
        <v>276</v>
      </c>
      <c r="GZ121" t="s">
        <v>1872</v>
      </c>
      <c r="HA121" t="s">
        <v>1873</v>
      </c>
      <c r="HB121" t="s">
        <v>186</v>
      </c>
      <c r="HC121">
        <v>1991</v>
      </c>
      <c r="HD121" t="str">
        <f>VLOOKUP(AnalizaCzyste[[#This Row],[Rok urodzenia]],KategorieWiekowe[],2,1)</f>
        <v>26-35 lat</v>
      </c>
      <c r="HE121" t="s">
        <v>398</v>
      </c>
    </row>
    <row r="122" spans="1:217" hidden="1" x14ac:dyDescent="0.45">
      <c r="A122">
        <v>233</v>
      </c>
      <c r="B122">
        <f>_xlfn.IFNA(VLOOKUP(AnalizaCzyste[[#This Row],[Zakończono wypełnianie]],Zakończone[],2,0),"BRAK")</f>
        <v>125</v>
      </c>
      <c r="C122">
        <f>COUNTA(P122:HI122)</f>
        <v>46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>
        <v>2011</v>
      </c>
      <c r="AK122" t="s">
        <v>126</v>
      </c>
      <c r="AL122" t="s">
        <v>1883</v>
      </c>
      <c r="AM122" t="s">
        <v>169</v>
      </c>
      <c r="AN122" t="s">
        <v>169</v>
      </c>
      <c r="AO122" t="s">
        <v>169</v>
      </c>
      <c r="AP122" t="s">
        <v>151</v>
      </c>
      <c r="AQ122" t="s">
        <v>150</v>
      </c>
      <c r="AR122" t="s">
        <v>1884</v>
      </c>
      <c r="AS122" t="s">
        <v>131</v>
      </c>
      <c r="AT122" t="s">
        <v>153</v>
      </c>
      <c r="AU122" t="s">
        <v>1885</v>
      </c>
      <c r="AV122" t="s">
        <v>1886</v>
      </c>
      <c r="AW122" t="s">
        <v>1887</v>
      </c>
      <c r="AX122" t="s">
        <v>157</v>
      </c>
      <c r="AY122" t="s">
        <v>1888</v>
      </c>
      <c r="AZ122" s="1" t="s">
        <v>123</v>
      </c>
      <c r="CT122" s="1" t="s">
        <v>123</v>
      </c>
      <c r="DD122" s="1" t="s">
        <v>123</v>
      </c>
      <c r="DN122" s="1" t="s">
        <v>123</v>
      </c>
      <c r="EQ122" s="1" t="s">
        <v>177</v>
      </c>
      <c r="ER122" t="s">
        <v>180</v>
      </c>
      <c r="ES122" t="s">
        <v>132</v>
      </c>
      <c r="ET122" t="s">
        <v>1889</v>
      </c>
      <c r="EU122" t="s">
        <v>132</v>
      </c>
      <c r="EV122" t="s">
        <v>132</v>
      </c>
      <c r="EW122" t="s">
        <v>132</v>
      </c>
      <c r="EX122" t="s">
        <v>180</v>
      </c>
      <c r="EY122" t="s">
        <v>1889</v>
      </c>
      <c r="EZ122" t="s">
        <v>1889</v>
      </c>
      <c r="FA122" t="s">
        <v>173</v>
      </c>
      <c r="FQ122" s="1" t="s">
        <v>123</v>
      </c>
      <c r="GY122" t="s">
        <v>1889</v>
      </c>
      <c r="GZ122" t="s">
        <v>1889</v>
      </c>
      <c r="HA122" t="s">
        <v>1889</v>
      </c>
      <c r="HB122" t="s">
        <v>140</v>
      </c>
      <c r="HC122">
        <v>1987</v>
      </c>
      <c r="HD122" t="str">
        <f>VLOOKUP(AnalizaCzyste[[#This Row],[Rok urodzenia]],KategorieWiekowe[],2,1)</f>
        <v>26-35 lat</v>
      </c>
      <c r="HE122" t="s">
        <v>220</v>
      </c>
      <c r="HG122" t="s">
        <v>1889</v>
      </c>
      <c r="HH122" t="s">
        <v>1889</v>
      </c>
    </row>
    <row r="123" spans="1:217" hidden="1" x14ac:dyDescent="0.45">
      <c r="A123">
        <v>234</v>
      </c>
      <c r="B123">
        <f>_xlfn.IFNA(VLOOKUP(AnalizaCzyste[[#This Row],[Zakończono wypełnianie]],Zakończone[],2,0),"BRAK")</f>
        <v>126</v>
      </c>
      <c r="C123">
        <f>COUNTA(P123:HI123)</f>
        <v>32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>
        <v>2016</v>
      </c>
      <c r="AK123" t="s">
        <v>126</v>
      </c>
      <c r="AL123" t="s">
        <v>1893</v>
      </c>
      <c r="AM123" t="s">
        <v>150</v>
      </c>
      <c r="AN123" t="s">
        <v>150</v>
      </c>
      <c r="AO123" t="s">
        <v>150</v>
      </c>
      <c r="AP123" t="s">
        <v>128</v>
      </c>
      <c r="AQ123" t="s">
        <v>150</v>
      </c>
      <c r="AR123" t="s">
        <v>530</v>
      </c>
      <c r="AS123" t="s">
        <v>302</v>
      </c>
      <c r="AT123" t="s">
        <v>226</v>
      </c>
      <c r="AV123" t="s">
        <v>1894</v>
      </c>
      <c r="AW123" t="s">
        <v>1895</v>
      </c>
      <c r="AX123" t="s">
        <v>157</v>
      </c>
      <c r="AZ123" s="1" t="s">
        <v>123</v>
      </c>
      <c r="CT123" s="1" t="s">
        <v>123</v>
      </c>
      <c r="DD123" s="1" t="s">
        <v>123</v>
      </c>
      <c r="DN123" s="1" t="s">
        <v>123</v>
      </c>
      <c r="EQ123" s="1" t="s">
        <v>123</v>
      </c>
      <c r="FQ123" s="1" t="s">
        <v>123</v>
      </c>
      <c r="GY123" t="s">
        <v>1896</v>
      </c>
      <c r="GZ123" t="s">
        <v>1897</v>
      </c>
      <c r="HA123" t="s">
        <v>1898</v>
      </c>
      <c r="HB123" t="s">
        <v>140</v>
      </c>
      <c r="HC123">
        <v>1991</v>
      </c>
      <c r="HD123" t="str">
        <f>VLOOKUP(AnalizaCzyste[[#This Row],[Rok urodzenia]],KategorieWiekowe[],2,1)</f>
        <v>26-35 lat</v>
      </c>
      <c r="HE123" t="s">
        <v>398</v>
      </c>
    </row>
    <row r="124" spans="1:217" hidden="1" x14ac:dyDescent="0.45">
      <c r="A124">
        <v>235</v>
      </c>
      <c r="B124">
        <f>_xlfn.IFNA(VLOOKUP(AnalizaCzyste[[#This Row],[Zakończono wypełnianie]],Zakończone[],2,0),"BRAK")</f>
        <v>127</v>
      </c>
      <c r="C124">
        <f>COUNTA(P124:HI124)</f>
        <v>35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>
        <v>2009</v>
      </c>
      <c r="AK124" t="s">
        <v>148</v>
      </c>
      <c r="AL124" t="s">
        <v>1666</v>
      </c>
      <c r="AM124" t="s">
        <v>162</v>
      </c>
      <c r="AN124" t="s">
        <v>151</v>
      </c>
      <c r="AO124" t="s">
        <v>236</v>
      </c>
      <c r="AP124" t="s">
        <v>236</v>
      </c>
      <c r="AQ124" t="s">
        <v>128</v>
      </c>
      <c r="AR124">
        <v>9</v>
      </c>
      <c r="AS124" t="s">
        <v>131</v>
      </c>
      <c r="AT124" t="s">
        <v>153</v>
      </c>
      <c r="AU124" t="s">
        <v>1902</v>
      </c>
      <c r="AV124" t="s">
        <v>1903</v>
      </c>
      <c r="AW124" t="s">
        <v>1904</v>
      </c>
      <c r="AY124" t="s">
        <v>1905</v>
      </c>
      <c r="AZ124" s="1" t="s">
        <v>123</v>
      </c>
      <c r="CT124" s="1" t="s">
        <v>123</v>
      </c>
      <c r="DD124" s="1" t="s">
        <v>123</v>
      </c>
      <c r="DN124" s="1" t="s">
        <v>123</v>
      </c>
      <c r="EQ124" s="1" t="s">
        <v>123</v>
      </c>
      <c r="FQ124" s="1" t="s">
        <v>123</v>
      </c>
      <c r="GY124" t="s">
        <v>1906</v>
      </c>
      <c r="GZ124" t="s">
        <v>1907</v>
      </c>
      <c r="HA124" t="s">
        <v>1908</v>
      </c>
      <c r="HB124" t="s">
        <v>140</v>
      </c>
      <c r="HC124">
        <v>1985</v>
      </c>
      <c r="HD124" t="str">
        <f>VLOOKUP(AnalizaCzyste[[#This Row],[Rok urodzenia]],KategorieWiekowe[],2,1)</f>
        <v>26-35 lat</v>
      </c>
      <c r="HE124" t="s">
        <v>141</v>
      </c>
      <c r="HG124" t="s">
        <v>142</v>
      </c>
      <c r="HH124" t="s">
        <v>1909</v>
      </c>
    </row>
    <row r="125" spans="1:217" hidden="1" x14ac:dyDescent="0.45">
      <c r="A125">
        <v>236</v>
      </c>
      <c r="B125">
        <f>_xlfn.IFNA(VLOOKUP(AnalizaCzyste[[#This Row],[Zakończono wypełnianie]],Zakończone[],2,0),"BRAK")</f>
        <v>128</v>
      </c>
      <c r="C125">
        <f>COUNTA(P125:HI125)</f>
        <v>36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>
        <v>2011</v>
      </c>
      <c r="AK125" t="s">
        <v>126</v>
      </c>
      <c r="AL125" t="s">
        <v>1914</v>
      </c>
      <c r="AM125" t="s">
        <v>150</v>
      </c>
      <c r="AN125" t="s">
        <v>162</v>
      </c>
      <c r="AO125" t="s">
        <v>150</v>
      </c>
      <c r="AP125" t="s">
        <v>151</v>
      </c>
      <c r="AQ125" t="s">
        <v>169</v>
      </c>
      <c r="AR125" t="s">
        <v>1362</v>
      </c>
      <c r="AS125" t="s">
        <v>131</v>
      </c>
      <c r="AT125" t="s">
        <v>759</v>
      </c>
      <c r="AU125" t="s">
        <v>1915</v>
      </c>
      <c r="AV125" t="s">
        <v>1916</v>
      </c>
      <c r="AW125" t="s">
        <v>1917</v>
      </c>
      <c r="AY125" t="s">
        <v>1918</v>
      </c>
      <c r="AZ125" s="1" t="s">
        <v>123</v>
      </c>
      <c r="CT125" s="1" t="s">
        <v>123</v>
      </c>
      <c r="DD125" s="1" t="s">
        <v>123</v>
      </c>
      <c r="DN125" s="1" t="s">
        <v>123</v>
      </c>
      <c r="EQ125" s="1" t="s">
        <v>123</v>
      </c>
      <c r="FQ125" s="1" t="s">
        <v>123</v>
      </c>
      <c r="GY125" t="s">
        <v>1919</v>
      </c>
      <c r="GZ125" t="s">
        <v>1920</v>
      </c>
      <c r="HA125" t="s">
        <v>1921</v>
      </c>
      <c r="HB125" t="s">
        <v>140</v>
      </c>
      <c r="HC125">
        <v>1987</v>
      </c>
      <c r="HD125" t="str">
        <f>VLOOKUP(AnalizaCzyste[[#This Row],[Rok urodzenia]],KategorieWiekowe[],2,1)</f>
        <v>26-35 lat</v>
      </c>
      <c r="HE125" t="s">
        <v>220</v>
      </c>
      <c r="HG125" t="s">
        <v>1922</v>
      </c>
      <c r="HH125" t="s">
        <v>1923</v>
      </c>
      <c r="HI125" t="s">
        <v>1924</v>
      </c>
    </row>
    <row r="126" spans="1:217" hidden="1" x14ac:dyDescent="0.45">
      <c r="A126">
        <v>238</v>
      </c>
      <c r="B126">
        <f>_xlfn.IFNA(VLOOKUP(AnalizaCzyste[[#This Row],[Zakończono wypełnianie]],Zakończone[],2,0),"BRAK")</f>
        <v>129</v>
      </c>
      <c r="C126">
        <f>COUNTA(P126:HI126)</f>
        <v>34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>
        <v>2007</v>
      </c>
      <c r="AK126" t="s">
        <v>126</v>
      </c>
      <c r="AL126" t="s">
        <v>1931</v>
      </c>
      <c r="AM126" t="s">
        <v>162</v>
      </c>
      <c r="AN126" t="s">
        <v>162</v>
      </c>
      <c r="AO126" t="s">
        <v>169</v>
      </c>
      <c r="AP126" t="s">
        <v>169</v>
      </c>
      <c r="AQ126" t="s">
        <v>169</v>
      </c>
      <c r="AR126" t="s">
        <v>1932</v>
      </c>
      <c r="AS126" t="s">
        <v>302</v>
      </c>
      <c r="AT126" t="s">
        <v>153</v>
      </c>
      <c r="AU126" t="s">
        <v>1933</v>
      </c>
      <c r="AV126" t="s">
        <v>1934</v>
      </c>
      <c r="AW126" t="s">
        <v>1935</v>
      </c>
      <c r="AY126" t="s">
        <v>1936</v>
      </c>
      <c r="AZ126" s="1" t="s">
        <v>123</v>
      </c>
      <c r="CT126" s="1" t="s">
        <v>123</v>
      </c>
      <c r="DD126" s="1" t="s">
        <v>123</v>
      </c>
      <c r="DN126" s="1" t="s">
        <v>123</v>
      </c>
      <c r="EQ126" s="1" t="s">
        <v>123</v>
      </c>
      <c r="FQ126" s="1" t="s">
        <v>123</v>
      </c>
      <c r="GY126" t="s">
        <v>1937</v>
      </c>
      <c r="GZ126" t="s">
        <v>1938</v>
      </c>
      <c r="HA126" t="s">
        <v>1939</v>
      </c>
      <c r="HB126" t="s">
        <v>186</v>
      </c>
      <c r="HC126" s="42">
        <v>1995</v>
      </c>
      <c r="HD126" t="str">
        <f>VLOOKUP(AnalizaCzyste[[#This Row],[Rok urodzenia]],KategorieWiekowe[],2,1)</f>
        <v>poniżej 26 lat</v>
      </c>
      <c r="HE126" t="s">
        <v>398</v>
      </c>
      <c r="HG126" t="s">
        <v>1940</v>
      </c>
    </row>
    <row r="127" spans="1:217" hidden="1" x14ac:dyDescent="0.45">
      <c r="A127">
        <v>243</v>
      </c>
      <c r="B127">
        <f>_xlfn.IFNA(VLOOKUP(AnalizaCzyste[[#This Row],[Zakończono wypełnianie]],Zakończone[],2,0),"BRAK")</f>
        <v>130</v>
      </c>
      <c r="C127">
        <f>COUNTA(P127:HI127)</f>
        <v>35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>
        <v>2012</v>
      </c>
      <c r="AK127" t="s">
        <v>148</v>
      </c>
      <c r="AL127" t="s">
        <v>161</v>
      </c>
      <c r="AM127" t="s">
        <v>128</v>
      </c>
      <c r="AN127" t="s">
        <v>162</v>
      </c>
      <c r="AO127" t="s">
        <v>128</v>
      </c>
      <c r="AP127" t="s">
        <v>128</v>
      </c>
      <c r="AQ127" t="s">
        <v>236</v>
      </c>
      <c r="AR127" t="s">
        <v>530</v>
      </c>
      <c r="AS127" t="s">
        <v>302</v>
      </c>
      <c r="AT127" t="s">
        <v>131</v>
      </c>
      <c r="AU127" t="s">
        <v>1955</v>
      </c>
      <c r="AV127" t="s">
        <v>1956</v>
      </c>
      <c r="AW127" t="s">
        <v>1957</v>
      </c>
      <c r="AX127" t="s">
        <v>157</v>
      </c>
      <c r="AZ127" s="1" t="s">
        <v>123</v>
      </c>
      <c r="CT127" s="1" t="s">
        <v>123</v>
      </c>
      <c r="DD127" s="1" t="s">
        <v>123</v>
      </c>
      <c r="DN127" s="1" t="s">
        <v>123</v>
      </c>
      <c r="EQ127" s="1" t="s">
        <v>123</v>
      </c>
      <c r="FQ127" s="1" t="s">
        <v>123</v>
      </c>
      <c r="GY127" t="s">
        <v>1958</v>
      </c>
      <c r="GZ127" t="s">
        <v>1959</v>
      </c>
      <c r="HA127" t="s">
        <v>1960</v>
      </c>
      <c r="HB127" t="s">
        <v>140</v>
      </c>
      <c r="HC127">
        <v>1986</v>
      </c>
      <c r="HD127" t="str">
        <f>VLOOKUP(AnalizaCzyste[[#This Row],[Rok urodzenia]],KategorieWiekowe[],2,1)</f>
        <v>26-35 lat</v>
      </c>
      <c r="HE127" t="s">
        <v>1630</v>
      </c>
      <c r="HG127" t="s">
        <v>1961</v>
      </c>
      <c r="HH127" t="s">
        <v>142</v>
      </c>
    </row>
    <row r="128" spans="1:217" hidden="1" x14ac:dyDescent="0.45">
      <c r="A128">
        <v>245</v>
      </c>
      <c r="B128">
        <f>_xlfn.IFNA(VLOOKUP(AnalizaCzyste[[#This Row],[Zakończono wypełnianie]],Zakończone[],2,0),"BRAK")</f>
        <v>131</v>
      </c>
      <c r="C128">
        <f>COUNTA(P128:HI128)</f>
        <v>34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>
        <v>2003</v>
      </c>
      <c r="AK128" t="s">
        <v>126</v>
      </c>
      <c r="AL128" t="s">
        <v>127</v>
      </c>
      <c r="AM128" t="s">
        <v>150</v>
      </c>
      <c r="AN128" t="s">
        <v>150</v>
      </c>
      <c r="AO128" t="s">
        <v>162</v>
      </c>
      <c r="AP128" t="s">
        <v>151</v>
      </c>
      <c r="AQ128" t="s">
        <v>151</v>
      </c>
      <c r="AR128" t="s">
        <v>237</v>
      </c>
      <c r="AS128" t="s">
        <v>152</v>
      </c>
      <c r="AT128" t="s">
        <v>131</v>
      </c>
      <c r="AU128" t="s">
        <v>1969</v>
      </c>
      <c r="AV128" t="s">
        <v>1970</v>
      </c>
      <c r="AW128" t="s">
        <v>1971</v>
      </c>
      <c r="AX128" t="s">
        <v>157</v>
      </c>
      <c r="AY128" t="s">
        <v>1972</v>
      </c>
      <c r="AZ128" s="1" t="s">
        <v>123</v>
      </c>
      <c r="CT128" s="1" t="s">
        <v>123</v>
      </c>
      <c r="DD128" s="1" t="s">
        <v>123</v>
      </c>
      <c r="DN128" s="1" t="s">
        <v>123</v>
      </c>
      <c r="EQ128" s="1" t="s">
        <v>123</v>
      </c>
      <c r="FQ128" s="1" t="s">
        <v>123</v>
      </c>
      <c r="GY128" t="s">
        <v>1973</v>
      </c>
      <c r="GZ128" t="s">
        <v>1363</v>
      </c>
      <c r="HA128" t="s">
        <v>1974</v>
      </c>
      <c r="HB128" t="s">
        <v>140</v>
      </c>
      <c r="HC128">
        <v>1979</v>
      </c>
      <c r="HD128" t="str">
        <f>VLOOKUP(AnalizaCzyste[[#This Row],[Rok urodzenia]],KategorieWiekowe[],2,1)</f>
        <v>36-45 lat</v>
      </c>
      <c r="HE128" t="s">
        <v>141</v>
      </c>
    </row>
    <row r="129" spans="1:217" hidden="1" x14ac:dyDescent="0.45">
      <c r="A129">
        <v>248</v>
      </c>
      <c r="B129">
        <f>_xlfn.IFNA(VLOOKUP(AnalizaCzyste[[#This Row],[Zakończono wypełnianie]],Zakończone[],2,0),"BRAK")</f>
        <v>133</v>
      </c>
      <c r="C129">
        <f>COUNTA(P129:HI129)</f>
        <v>32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Z129" s="1" t="s">
        <v>123</v>
      </c>
      <c r="CT129" s="1" t="s">
        <v>123</v>
      </c>
      <c r="DD129" s="1" t="s">
        <v>123</v>
      </c>
      <c r="DN129" s="1" t="s">
        <v>123</v>
      </c>
      <c r="EQ129" s="1" t="s">
        <v>123</v>
      </c>
      <c r="FQ129" s="1" t="s">
        <v>123</v>
      </c>
      <c r="GY129" t="s">
        <v>1988</v>
      </c>
      <c r="GZ129" t="s">
        <v>1989</v>
      </c>
      <c r="HA129" t="s">
        <v>1990</v>
      </c>
      <c r="HB129" t="s">
        <v>186</v>
      </c>
      <c r="HC129">
        <v>1992</v>
      </c>
      <c r="HD129" t="str">
        <f>VLOOKUP(AnalizaCzyste[[#This Row],[Rok urodzenia]],KategorieWiekowe[],2,1)</f>
        <v>26-35 lat</v>
      </c>
      <c r="HE129" t="s">
        <v>246</v>
      </c>
      <c r="HG129" t="s">
        <v>1991</v>
      </c>
    </row>
    <row r="130" spans="1:217" hidden="1" x14ac:dyDescent="0.45">
      <c r="A130">
        <v>257</v>
      </c>
      <c r="B130">
        <f>_xlfn.IFNA(VLOOKUP(AnalizaCzyste[[#This Row],[Zakończono wypełnianie]],Zakończone[],2,0),"BRAK")</f>
        <v>134</v>
      </c>
      <c r="C130">
        <f>COUNTA(P130:HI130)</f>
        <v>63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>
        <v>1989</v>
      </c>
      <c r="AK130" t="s">
        <v>126</v>
      </c>
      <c r="AL130" t="s">
        <v>2017</v>
      </c>
      <c r="AM130" t="s">
        <v>150</v>
      </c>
      <c r="AN130" t="s">
        <v>150</v>
      </c>
      <c r="AO130" t="s">
        <v>162</v>
      </c>
      <c r="AP130" t="s">
        <v>162</v>
      </c>
      <c r="AQ130" t="s">
        <v>162</v>
      </c>
      <c r="AR130">
        <v>0</v>
      </c>
      <c r="AS130" t="s">
        <v>226</v>
      </c>
      <c r="AT130" t="s">
        <v>226</v>
      </c>
      <c r="AU130" t="s">
        <v>2018</v>
      </c>
      <c r="AV130" t="s">
        <v>1229</v>
      </c>
      <c r="AW130" t="s">
        <v>1229</v>
      </c>
      <c r="AX130" t="s">
        <v>157</v>
      </c>
      <c r="AY130" t="s">
        <v>1271</v>
      </c>
      <c r="AZ130" s="1" t="s">
        <v>159</v>
      </c>
      <c r="BA130">
        <v>1</v>
      </c>
      <c r="BB130" t="s">
        <v>191</v>
      </c>
      <c r="BC130">
        <v>2016</v>
      </c>
      <c r="BD130" t="s">
        <v>126</v>
      </c>
      <c r="BE130" t="s">
        <v>2019</v>
      </c>
      <c r="BF130" t="s">
        <v>150</v>
      </c>
      <c r="BG130" t="s">
        <v>150</v>
      </c>
      <c r="BH130" t="s">
        <v>151</v>
      </c>
      <c r="BI130" t="s">
        <v>128</v>
      </c>
      <c r="BJ130" t="s">
        <v>162</v>
      </c>
      <c r="BK130" t="s">
        <v>2020</v>
      </c>
      <c r="BL130" t="s">
        <v>2021</v>
      </c>
      <c r="BM130" t="s">
        <v>157</v>
      </c>
      <c r="BP130" t="s">
        <v>173</v>
      </c>
      <c r="CT130" s="1" t="s">
        <v>123</v>
      </c>
      <c r="DD130" s="1" t="s">
        <v>123</v>
      </c>
      <c r="DN130" s="1" t="s">
        <v>123</v>
      </c>
      <c r="EQ130" s="1" t="s">
        <v>123</v>
      </c>
      <c r="FQ130" s="1" t="s">
        <v>2022</v>
      </c>
      <c r="FR130" t="s">
        <v>2023</v>
      </c>
      <c r="FS130" t="s">
        <v>2024</v>
      </c>
      <c r="FT130">
        <v>1</v>
      </c>
      <c r="FU130" t="s">
        <v>191</v>
      </c>
      <c r="FV130" t="s">
        <v>150</v>
      </c>
      <c r="FW130" t="s">
        <v>150</v>
      </c>
      <c r="FX130" t="s">
        <v>150</v>
      </c>
      <c r="FY130" t="s">
        <v>150</v>
      </c>
      <c r="FZ130" t="s">
        <v>150</v>
      </c>
      <c r="GA130" t="s">
        <v>150</v>
      </c>
      <c r="GB130" t="s">
        <v>150</v>
      </c>
      <c r="GD130" t="s">
        <v>2025</v>
      </c>
      <c r="GE130" t="s">
        <v>173</v>
      </c>
      <c r="GY130" t="s">
        <v>1229</v>
      </c>
      <c r="GZ130" t="s">
        <v>1229</v>
      </c>
      <c r="HA130" t="s">
        <v>1229</v>
      </c>
      <c r="HB130" t="s">
        <v>186</v>
      </c>
      <c r="HC130">
        <v>1965</v>
      </c>
      <c r="HD130" t="str">
        <f>VLOOKUP(AnalizaCzyste[[#This Row],[Rok urodzenia]],KategorieWiekowe[],2,1)</f>
        <v>46-55 lat</v>
      </c>
      <c r="HE130" t="s">
        <v>220</v>
      </c>
      <c r="HG130" t="s">
        <v>2026</v>
      </c>
      <c r="HI130" t="s">
        <v>2027</v>
      </c>
    </row>
    <row r="131" spans="1:217" hidden="1" x14ac:dyDescent="0.45">
      <c r="A131">
        <v>258</v>
      </c>
      <c r="B131">
        <f>_xlfn.IFNA(VLOOKUP(AnalizaCzyste[[#This Row],[Zakończono wypełnianie]],Zakończone[],2,0),"BRAK")</f>
        <v>135</v>
      </c>
      <c r="C131">
        <f>COUNTA(P131:HI131)</f>
        <v>57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>
        <v>1985</v>
      </c>
      <c r="AK131" t="s">
        <v>148</v>
      </c>
      <c r="AL131" t="s">
        <v>2030</v>
      </c>
      <c r="AM131" t="s">
        <v>169</v>
      </c>
      <c r="AN131" t="s">
        <v>169</v>
      </c>
      <c r="AO131" t="s">
        <v>150</v>
      </c>
      <c r="AP131" t="s">
        <v>128</v>
      </c>
      <c r="AQ131" t="s">
        <v>128</v>
      </c>
      <c r="AR131">
        <v>4</v>
      </c>
      <c r="AS131" t="s">
        <v>131</v>
      </c>
      <c r="AT131" t="s">
        <v>131</v>
      </c>
      <c r="AU131" t="s">
        <v>2031</v>
      </c>
      <c r="AV131" t="s">
        <v>1229</v>
      </c>
      <c r="AW131" t="s">
        <v>1229</v>
      </c>
      <c r="AX131" t="s">
        <v>157</v>
      </c>
      <c r="AY131" t="s">
        <v>2032</v>
      </c>
      <c r="AZ131" s="1" t="s">
        <v>123</v>
      </c>
      <c r="CT131" s="1" t="s">
        <v>123</v>
      </c>
      <c r="DD131" s="1" t="s">
        <v>123</v>
      </c>
      <c r="DN131" s="1" t="s">
        <v>174</v>
      </c>
      <c r="DO131" t="s">
        <v>394</v>
      </c>
      <c r="DS131" t="s">
        <v>234</v>
      </c>
      <c r="DT131" t="s">
        <v>162</v>
      </c>
      <c r="DU131" t="s">
        <v>162</v>
      </c>
      <c r="DV131" t="s">
        <v>162</v>
      </c>
      <c r="DW131" t="s">
        <v>132</v>
      </c>
      <c r="DX131" t="s">
        <v>132</v>
      </c>
      <c r="DY131" t="s">
        <v>132</v>
      </c>
      <c r="DZ131" t="s">
        <v>162</v>
      </c>
      <c r="EA131">
        <v>20</v>
      </c>
      <c r="EB131">
        <v>60</v>
      </c>
      <c r="EC131">
        <v>0</v>
      </c>
      <c r="ED131">
        <v>0</v>
      </c>
      <c r="EE131">
        <v>0</v>
      </c>
      <c r="EF131">
        <v>20</v>
      </c>
      <c r="EG131">
        <v>0</v>
      </c>
      <c r="EI131">
        <v>20</v>
      </c>
      <c r="EJ131">
        <v>60</v>
      </c>
      <c r="EK131">
        <v>0</v>
      </c>
      <c r="EL131">
        <v>0</v>
      </c>
      <c r="EM131">
        <v>0</v>
      </c>
      <c r="EN131">
        <v>20</v>
      </c>
      <c r="EO131">
        <v>0</v>
      </c>
      <c r="EQ131" s="1" t="s">
        <v>123</v>
      </c>
      <c r="FQ131" s="1" t="s">
        <v>123</v>
      </c>
      <c r="GY131" t="s">
        <v>2033</v>
      </c>
      <c r="GZ131" t="s">
        <v>1229</v>
      </c>
      <c r="HA131" t="s">
        <v>1229</v>
      </c>
      <c r="HB131" t="s">
        <v>186</v>
      </c>
      <c r="HC131">
        <v>1961</v>
      </c>
      <c r="HD131" t="str">
        <f>VLOOKUP(AnalizaCzyste[[#This Row],[Rok urodzenia]],KategorieWiekowe[],2,1)</f>
        <v>56-65 lat</v>
      </c>
      <c r="HE131" t="s">
        <v>141</v>
      </c>
    </row>
    <row r="132" spans="1:217" hidden="1" x14ac:dyDescent="0.45">
      <c r="A132">
        <v>259</v>
      </c>
      <c r="B132">
        <f>_xlfn.IFNA(VLOOKUP(AnalizaCzyste[[#This Row],[Zakończono wypełnianie]],Zakończone[],2,0),"BRAK")</f>
        <v>136</v>
      </c>
      <c r="C132">
        <f>COUNTA(P132:HI132)</f>
        <v>74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>
        <v>1987</v>
      </c>
      <c r="AK132" t="s">
        <v>148</v>
      </c>
      <c r="AL132" t="s">
        <v>554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2036</v>
      </c>
      <c r="AS132" t="s">
        <v>132</v>
      </c>
      <c r="AT132" t="s">
        <v>132</v>
      </c>
      <c r="AV132" t="s">
        <v>1229</v>
      </c>
      <c r="AW132" t="s">
        <v>1229</v>
      </c>
      <c r="AX132" t="s">
        <v>157</v>
      </c>
      <c r="AY132" t="s">
        <v>2037</v>
      </c>
      <c r="AZ132" s="1" t="s">
        <v>159</v>
      </c>
      <c r="BA132">
        <v>3</v>
      </c>
      <c r="BB132" t="s">
        <v>191</v>
      </c>
      <c r="BC132">
        <v>2020</v>
      </c>
      <c r="BD132" t="s">
        <v>126</v>
      </c>
      <c r="BE132" t="s">
        <v>2038</v>
      </c>
      <c r="BF132" t="s">
        <v>150</v>
      </c>
      <c r="BG132" t="s">
        <v>162</v>
      </c>
      <c r="BH132" t="s">
        <v>169</v>
      </c>
      <c r="BI132" t="s">
        <v>150</v>
      </c>
      <c r="BJ132" t="s">
        <v>132</v>
      </c>
      <c r="BK132" t="s">
        <v>2039</v>
      </c>
      <c r="BL132" t="s">
        <v>2040</v>
      </c>
      <c r="BM132" t="s">
        <v>157</v>
      </c>
      <c r="BP132" t="s">
        <v>166</v>
      </c>
      <c r="BQ132" t="s">
        <v>191</v>
      </c>
      <c r="BR132">
        <v>2013</v>
      </c>
      <c r="BS132" t="s">
        <v>126</v>
      </c>
      <c r="BT132" t="s">
        <v>1867</v>
      </c>
      <c r="BU132" t="s">
        <v>162</v>
      </c>
      <c r="BV132" t="s">
        <v>150</v>
      </c>
      <c r="BW132" t="s">
        <v>162</v>
      </c>
      <c r="BX132" t="s">
        <v>162</v>
      </c>
      <c r="BY132" t="s">
        <v>162</v>
      </c>
      <c r="BZ132" t="s">
        <v>237</v>
      </c>
      <c r="CB132" t="s">
        <v>157</v>
      </c>
      <c r="CD132" t="s">
        <v>2041</v>
      </c>
      <c r="CE132" t="s">
        <v>238</v>
      </c>
      <c r="CF132" t="s">
        <v>191</v>
      </c>
      <c r="CG132">
        <v>2016</v>
      </c>
      <c r="CH132" t="s">
        <v>126</v>
      </c>
      <c r="CI132" t="s">
        <v>2042</v>
      </c>
      <c r="CJ132" t="s">
        <v>151</v>
      </c>
      <c r="CK132" t="s">
        <v>162</v>
      </c>
      <c r="CL132" t="s">
        <v>150</v>
      </c>
      <c r="CM132" t="s">
        <v>169</v>
      </c>
      <c r="CN132" t="s">
        <v>150</v>
      </c>
      <c r="CO132" t="s">
        <v>237</v>
      </c>
      <c r="CP132" t="s">
        <v>2043</v>
      </c>
      <c r="CQ132" t="s">
        <v>157</v>
      </c>
      <c r="CT132" s="1" t="s">
        <v>123</v>
      </c>
      <c r="DD132" s="1" t="s">
        <v>123</v>
      </c>
      <c r="DN132" s="1" t="s">
        <v>123</v>
      </c>
      <c r="EQ132" s="1" t="s">
        <v>123</v>
      </c>
      <c r="FQ132" s="1" t="s">
        <v>123</v>
      </c>
      <c r="GY132" t="s">
        <v>1229</v>
      </c>
      <c r="GZ132" t="s">
        <v>1229</v>
      </c>
      <c r="HA132" t="s">
        <v>1229</v>
      </c>
      <c r="HB132" t="s">
        <v>186</v>
      </c>
      <c r="HC132">
        <v>1962</v>
      </c>
      <c r="HD132" t="str">
        <f>VLOOKUP(AnalizaCzyste[[#This Row],[Rok urodzenia]],KategorieWiekowe[],2,1)</f>
        <v>56-65 lat</v>
      </c>
      <c r="HE132" t="s">
        <v>141</v>
      </c>
      <c r="HH132" t="s">
        <v>2044</v>
      </c>
      <c r="HI132" t="s">
        <v>2045</v>
      </c>
    </row>
    <row r="133" spans="1:217" hidden="1" x14ac:dyDescent="0.45">
      <c r="A133">
        <v>260</v>
      </c>
      <c r="B133">
        <f>_xlfn.IFNA(VLOOKUP(AnalizaCzyste[[#This Row],[Zakończono wypełnianie]],Zakończone[],2,0),"BRAK")</f>
        <v>137</v>
      </c>
      <c r="C133">
        <f>COUNTA(P133:HI133)</f>
        <v>68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>
        <v>1985</v>
      </c>
      <c r="AK133" t="s">
        <v>126</v>
      </c>
      <c r="AL133" t="s">
        <v>2017</v>
      </c>
      <c r="AM133" t="s">
        <v>150</v>
      </c>
      <c r="AN133" t="s">
        <v>150</v>
      </c>
      <c r="AO133" t="s">
        <v>151</v>
      </c>
      <c r="AP133" t="s">
        <v>236</v>
      </c>
      <c r="AQ133" t="s">
        <v>150</v>
      </c>
      <c r="AR133" t="s">
        <v>237</v>
      </c>
      <c r="AS133" t="s">
        <v>152</v>
      </c>
      <c r="AT133" t="s">
        <v>759</v>
      </c>
      <c r="AU133" t="s">
        <v>2048</v>
      </c>
      <c r="AV133" t="s">
        <v>1229</v>
      </c>
      <c r="AW133" t="s">
        <v>1229</v>
      </c>
      <c r="AX133" t="s">
        <v>157</v>
      </c>
      <c r="AY133" t="s">
        <v>2032</v>
      </c>
      <c r="AZ133" s="1" t="s">
        <v>159</v>
      </c>
      <c r="BA133">
        <v>1</v>
      </c>
      <c r="BB133" t="s">
        <v>191</v>
      </c>
      <c r="BC133">
        <v>2018</v>
      </c>
      <c r="BD133" t="s">
        <v>126</v>
      </c>
      <c r="BE133" t="s">
        <v>2049</v>
      </c>
      <c r="BF133" t="s">
        <v>151</v>
      </c>
      <c r="BG133" t="s">
        <v>151</v>
      </c>
      <c r="BH133" t="s">
        <v>128</v>
      </c>
      <c r="BI133" t="s">
        <v>162</v>
      </c>
      <c r="BJ133" t="s">
        <v>132</v>
      </c>
      <c r="BK133">
        <v>12</v>
      </c>
      <c r="BL133" t="s">
        <v>2050</v>
      </c>
      <c r="BM133" t="s">
        <v>157</v>
      </c>
      <c r="BP133" t="s">
        <v>173</v>
      </c>
      <c r="CT133" s="1" t="s">
        <v>123</v>
      </c>
      <c r="DD133" s="1" t="s">
        <v>123</v>
      </c>
      <c r="DN133" s="1" t="s">
        <v>123</v>
      </c>
      <c r="EQ133" s="1" t="s">
        <v>177</v>
      </c>
      <c r="ER133" t="s">
        <v>178</v>
      </c>
      <c r="ES133">
        <v>2</v>
      </c>
      <c r="ET133" t="s">
        <v>191</v>
      </c>
      <c r="EU133" t="s">
        <v>151</v>
      </c>
      <c r="EV133" t="s">
        <v>162</v>
      </c>
      <c r="EW133" t="s">
        <v>151</v>
      </c>
      <c r="EX133" t="s">
        <v>178</v>
      </c>
      <c r="EY133" t="s">
        <v>2051</v>
      </c>
      <c r="EZ133" t="s">
        <v>2052</v>
      </c>
      <c r="FA133" t="s">
        <v>1206</v>
      </c>
      <c r="FB133" t="s">
        <v>223</v>
      </c>
      <c r="FC133" t="s">
        <v>162</v>
      </c>
      <c r="FD133" t="s">
        <v>162</v>
      </c>
      <c r="FE133" t="s">
        <v>151</v>
      </c>
      <c r="FF133" t="s">
        <v>178</v>
      </c>
      <c r="FG133" t="s">
        <v>2053</v>
      </c>
      <c r="FH133" t="s">
        <v>2054</v>
      </c>
      <c r="FI133" t="s">
        <v>173</v>
      </c>
      <c r="FQ133" s="1" t="s">
        <v>123</v>
      </c>
      <c r="GY133" t="s">
        <v>1229</v>
      </c>
      <c r="GZ133" t="s">
        <v>1229</v>
      </c>
      <c r="HA133" t="s">
        <v>1229</v>
      </c>
      <c r="HB133" t="s">
        <v>186</v>
      </c>
      <c r="HC133">
        <v>1959</v>
      </c>
      <c r="HD133" t="str">
        <f>VLOOKUP(AnalizaCzyste[[#This Row],[Rok urodzenia]],KategorieWiekowe[],2,1)</f>
        <v>56-65 lat</v>
      </c>
      <c r="HE133" t="s">
        <v>141</v>
      </c>
      <c r="HG133" t="s">
        <v>2055</v>
      </c>
      <c r="HI133" t="s">
        <v>2056</v>
      </c>
    </row>
    <row r="134" spans="1:217" hidden="1" x14ac:dyDescent="0.45">
      <c r="A134">
        <v>261</v>
      </c>
      <c r="B134">
        <f>_xlfn.IFNA(VLOOKUP(AnalizaCzyste[[#This Row],[Zakończono wypełnianie]],Zakończone[],2,0),"BRAK")</f>
        <v>138</v>
      </c>
      <c r="C134">
        <f>COUNTA(P134:HI134)</f>
        <v>63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>
        <v>1992</v>
      </c>
      <c r="AK134" t="s">
        <v>148</v>
      </c>
      <c r="AL134" t="s">
        <v>2059</v>
      </c>
      <c r="AM134" t="s">
        <v>150</v>
      </c>
      <c r="AN134" t="s">
        <v>169</v>
      </c>
      <c r="AO134" t="s">
        <v>150</v>
      </c>
      <c r="AP134" t="s">
        <v>151</v>
      </c>
      <c r="AQ134" t="s">
        <v>162</v>
      </c>
      <c r="AR134">
        <v>0</v>
      </c>
      <c r="AS134" t="s">
        <v>131</v>
      </c>
      <c r="AT134" t="s">
        <v>302</v>
      </c>
      <c r="AU134" t="s">
        <v>2060</v>
      </c>
      <c r="AV134" t="s">
        <v>1229</v>
      </c>
      <c r="AW134" t="s">
        <v>1229</v>
      </c>
      <c r="AX134" t="s">
        <v>157</v>
      </c>
      <c r="AY134" t="s">
        <v>2032</v>
      </c>
      <c r="AZ134" s="1" t="s">
        <v>159</v>
      </c>
      <c r="BA134">
        <v>1</v>
      </c>
      <c r="BB134" t="s">
        <v>445</v>
      </c>
      <c r="BC134">
        <v>2019</v>
      </c>
      <c r="BD134" t="s">
        <v>148</v>
      </c>
      <c r="BE134" t="s">
        <v>461</v>
      </c>
      <c r="BF134" t="s">
        <v>169</v>
      </c>
      <c r="BG134" t="s">
        <v>169</v>
      </c>
      <c r="BH134" t="s">
        <v>169</v>
      </c>
      <c r="BI134" t="s">
        <v>169</v>
      </c>
      <c r="BJ134" t="s">
        <v>132</v>
      </c>
      <c r="BK134" t="s">
        <v>2020</v>
      </c>
      <c r="BL134" t="s">
        <v>2061</v>
      </c>
      <c r="BM134" t="s">
        <v>157</v>
      </c>
      <c r="BO134" t="s">
        <v>2062</v>
      </c>
      <c r="BP134" t="s">
        <v>173</v>
      </c>
      <c r="CT134" s="1" t="s">
        <v>123</v>
      </c>
      <c r="DD134" s="1" t="s">
        <v>123</v>
      </c>
      <c r="DN134" s="1" t="s">
        <v>123</v>
      </c>
      <c r="EQ134" s="1" t="s">
        <v>123</v>
      </c>
      <c r="FQ134" s="1" t="s">
        <v>2022</v>
      </c>
      <c r="FR134" t="s">
        <v>2023</v>
      </c>
      <c r="FS134" t="s">
        <v>2063</v>
      </c>
      <c r="FT134">
        <v>1</v>
      </c>
      <c r="FU134" t="s">
        <v>191</v>
      </c>
      <c r="FV134" t="s">
        <v>150</v>
      </c>
      <c r="FW134" t="s">
        <v>150</v>
      </c>
      <c r="FX134" t="s">
        <v>169</v>
      </c>
      <c r="FY134" t="s">
        <v>169</v>
      </c>
      <c r="FZ134" t="s">
        <v>132</v>
      </c>
      <c r="GA134" t="s">
        <v>132</v>
      </c>
      <c r="GB134" t="s">
        <v>169</v>
      </c>
      <c r="GE134" t="s">
        <v>173</v>
      </c>
      <c r="GY134" t="s">
        <v>1229</v>
      </c>
      <c r="GZ134" t="s">
        <v>1229</v>
      </c>
      <c r="HA134" t="s">
        <v>1229</v>
      </c>
      <c r="HB134" t="s">
        <v>186</v>
      </c>
      <c r="HC134">
        <v>1968</v>
      </c>
      <c r="HD134" t="str">
        <f>VLOOKUP(AnalizaCzyste[[#This Row],[Rok urodzenia]],KategorieWiekowe[],2,1)</f>
        <v>46-55 lat</v>
      </c>
      <c r="HE134" t="s">
        <v>220</v>
      </c>
      <c r="HG134" t="s">
        <v>2055</v>
      </c>
      <c r="HI134" t="s">
        <v>2064</v>
      </c>
    </row>
    <row r="135" spans="1:217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>COUNTA(P135:HI135)</f>
        <v>32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>
        <v>2005</v>
      </c>
      <c r="AK135" t="s">
        <v>148</v>
      </c>
      <c r="AL135" t="s">
        <v>1725</v>
      </c>
      <c r="AM135" t="s">
        <v>150</v>
      </c>
      <c r="AN135" t="s">
        <v>162</v>
      </c>
      <c r="AO135" t="s">
        <v>162</v>
      </c>
      <c r="AP135" t="s">
        <v>162</v>
      </c>
      <c r="AQ135" t="s">
        <v>162</v>
      </c>
      <c r="AR135">
        <v>2</v>
      </c>
      <c r="AS135" t="s">
        <v>131</v>
      </c>
      <c r="AT135" t="s">
        <v>302</v>
      </c>
      <c r="AU135" t="s">
        <v>1726</v>
      </c>
      <c r="AV135" t="s">
        <v>1727</v>
      </c>
      <c r="AW135" t="s">
        <v>1728</v>
      </c>
      <c r="AX135" t="s">
        <v>157</v>
      </c>
      <c r="AZ135" s="1" t="s">
        <v>123</v>
      </c>
      <c r="CT135" s="1" t="s">
        <v>123</v>
      </c>
      <c r="DD135" s="1" t="s">
        <v>123</v>
      </c>
      <c r="DN135" s="1" t="s">
        <v>123</v>
      </c>
      <c r="EQ135" s="1" t="s">
        <v>123</v>
      </c>
      <c r="FQ135" s="1" t="s">
        <v>123</v>
      </c>
      <c r="HB135" t="s">
        <v>140</v>
      </c>
      <c r="HC135">
        <v>1981</v>
      </c>
      <c r="HD135" t="str">
        <f>VLOOKUP(AnalizaCzyste[[#This Row],[Rok urodzenia]],KategorieWiekowe[],2,1)</f>
        <v>36-45 lat</v>
      </c>
      <c r="HE135" t="s">
        <v>483</v>
      </c>
      <c r="HG135" t="s">
        <v>142</v>
      </c>
      <c r="HH135" t="s">
        <v>180</v>
      </c>
    </row>
    <row r="136" spans="1:217" ht="14.65" thickBot="1" x14ac:dyDescent="0.5">
      <c r="P136" s="6">
        <f t="shared" ref="P136:AV136" si="0">COUNTA((P3:P135))</f>
        <v>133</v>
      </c>
      <c r="Q136" s="6">
        <f t="shared" si="0"/>
        <v>133</v>
      </c>
      <c r="R136" s="1">
        <f t="shared" si="0"/>
        <v>14</v>
      </c>
      <c r="S136" s="1">
        <f t="shared" si="0"/>
        <v>14</v>
      </c>
      <c r="T136" s="1">
        <f t="shared" si="0"/>
        <v>14</v>
      </c>
      <c r="U136" s="1">
        <f t="shared" si="0"/>
        <v>14</v>
      </c>
      <c r="V136" s="1">
        <f t="shared" si="0"/>
        <v>14</v>
      </c>
      <c r="W136" s="1">
        <f t="shared" si="0"/>
        <v>14</v>
      </c>
      <c r="X136" s="1">
        <f t="shared" si="0"/>
        <v>14</v>
      </c>
      <c r="Y136" s="1">
        <f t="shared" si="0"/>
        <v>14</v>
      </c>
      <c r="Z136" s="1">
        <f t="shared" si="0"/>
        <v>14</v>
      </c>
      <c r="AA136" s="1">
        <f t="shared" si="0"/>
        <v>9</v>
      </c>
      <c r="AB136" s="1">
        <f t="shared" si="0"/>
        <v>14</v>
      </c>
      <c r="AC136" s="1">
        <f t="shared" si="0"/>
        <v>14</v>
      </c>
      <c r="AD136" s="1">
        <f t="shared" si="0"/>
        <v>13</v>
      </c>
      <c r="AE136" s="1">
        <f t="shared" si="0"/>
        <v>2</v>
      </c>
      <c r="AF136" s="1">
        <f t="shared" si="0"/>
        <v>14</v>
      </c>
      <c r="AG136" s="6">
        <f t="shared" si="0"/>
        <v>133</v>
      </c>
      <c r="AH136" s="1">
        <f t="shared" si="0"/>
        <v>120</v>
      </c>
      <c r="AI136" s="1"/>
      <c r="AJ136" s="1">
        <f t="shared" si="0"/>
        <v>119</v>
      </c>
      <c r="AK136" s="1">
        <f t="shared" si="0"/>
        <v>120</v>
      </c>
      <c r="AL136" s="1">
        <f t="shared" si="0"/>
        <v>120</v>
      </c>
      <c r="AM136" s="1">
        <f t="shared" si="0"/>
        <v>120</v>
      </c>
      <c r="AN136" s="1">
        <f t="shared" si="0"/>
        <v>120</v>
      </c>
      <c r="AO136" s="1">
        <f t="shared" si="0"/>
        <v>120</v>
      </c>
      <c r="AP136" s="1">
        <f t="shared" si="0"/>
        <v>120</v>
      </c>
      <c r="AQ136" s="1">
        <f t="shared" si="0"/>
        <v>120</v>
      </c>
      <c r="AR136" s="1">
        <f t="shared" si="0"/>
        <v>120</v>
      </c>
      <c r="AS136" s="1">
        <f t="shared" si="0"/>
        <v>120</v>
      </c>
      <c r="AT136" s="1">
        <f t="shared" si="0"/>
        <v>120</v>
      </c>
      <c r="AU136" s="1">
        <f t="shared" si="0"/>
        <v>98</v>
      </c>
      <c r="AV136" s="1">
        <f t="shared" si="0"/>
        <v>120</v>
      </c>
      <c r="AW136" s="1">
        <f t="shared" ref="AW136:CB136" si="1">COUNTA((AW3:AW135))</f>
        <v>120</v>
      </c>
      <c r="AX136" s="1">
        <f t="shared" si="1"/>
        <v>108</v>
      </c>
      <c r="AY136" s="1">
        <f t="shared" si="1"/>
        <v>38</v>
      </c>
      <c r="AZ136" s="6">
        <f t="shared" si="1"/>
        <v>133</v>
      </c>
      <c r="BA136" s="1">
        <f t="shared" si="1"/>
        <v>17</v>
      </c>
      <c r="BB136" s="1">
        <f t="shared" si="1"/>
        <v>17</v>
      </c>
      <c r="BC136" s="1">
        <f t="shared" si="1"/>
        <v>17</v>
      </c>
      <c r="BD136" s="1">
        <f t="shared" si="1"/>
        <v>17</v>
      </c>
      <c r="BE136" s="1">
        <f t="shared" si="1"/>
        <v>17</v>
      </c>
      <c r="BF136" s="1">
        <f t="shared" si="1"/>
        <v>17</v>
      </c>
      <c r="BG136" s="1">
        <f t="shared" si="1"/>
        <v>17</v>
      </c>
      <c r="BH136" s="1">
        <f t="shared" si="1"/>
        <v>17</v>
      </c>
      <c r="BI136" s="1">
        <f t="shared" si="1"/>
        <v>17</v>
      </c>
      <c r="BJ136" s="1">
        <f t="shared" si="1"/>
        <v>17</v>
      </c>
      <c r="BK136" s="1">
        <f t="shared" si="1"/>
        <v>17</v>
      </c>
      <c r="BL136" s="1">
        <f t="shared" si="1"/>
        <v>15</v>
      </c>
      <c r="BM136" s="1">
        <f t="shared" si="1"/>
        <v>17</v>
      </c>
      <c r="BN136" s="1">
        <f t="shared" si="1"/>
        <v>1</v>
      </c>
      <c r="BO136" s="1">
        <f t="shared" si="1"/>
        <v>8</v>
      </c>
      <c r="BP136" s="1">
        <f t="shared" si="1"/>
        <v>17</v>
      </c>
      <c r="BQ136" s="1">
        <f t="shared" si="1"/>
        <v>5</v>
      </c>
      <c r="BR136" s="1">
        <f t="shared" si="1"/>
        <v>5</v>
      </c>
      <c r="BS136" s="1">
        <f t="shared" si="1"/>
        <v>5</v>
      </c>
      <c r="BT136" s="1">
        <f t="shared" si="1"/>
        <v>5</v>
      </c>
      <c r="BU136" s="1">
        <f t="shared" si="1"/>
        <v>5</v>
      </c>
      <c r="BV136" s="1">
        <f t="shared" si="1"/>
        <v>5</v>
      </c>
      <c r="BW136" s="1">
        <f t="shared" si="1"/>
        <v>5</v>
      </c>
      <c r="BX136" s="1">
        <f t="shared" si="1"/>
        <v>5</v>
      </c>
      <c r="BY136" s="1">
        <f t="shared" si="1"/>
        <v>5</v>
      </c>
      <c r="BZ136" s="1">
        <f t="shared" si="1"/>
        <v>5</v>
      </c>
      <c r="CA136" s="1">
        <f t="shared" si="1"/>
        <v>3</v>
      </c>
      <c r="CB136" s="1">
        <f t="shared" si="1"/>
        <v>5</v>
      </c>
      <c r="CC136" s="1">
        <f t="shared" ref="CC136:CT136" si="2">COUNTA((CC3:CC135))</f>
        <v>0</v>
      </c>
      <c r="CD136" s="1">
        <f t="shared" si="2"/>
        <v>3</v>
      </c>
      <c r="CE136" s="1">
        <f t="shared" si="2"/>
        <v>5</v>
      </c>
      <c r="CF136" s="1">
        <f t="shared" si="2"/>
        <v>2</v>
      </c>
      <c r="CG136" s="1">
        <f t="shared" si="2"/>
        <v>2</v>
      </c>
      <c r="CH136" s="1">
        <f t="shared" si="2"/>
        <v>2</v>
      </c>
      <c r="CI136" s="1">
        <f t="shared" si="2"/>
        <v>2</v>
      </c>
      <c r="CJ136" s="1">
        <f t="shared" si="2"/>
        <v>2</v>
      </c>
      <c r="CK136" s="1">
        <f t="shared" si="2"/>
        <v>2</v>
      </c>
      <c r="CL136" s="1">
        <f t="shared" si="2"/>
        <v>2</v>
      </c>
      <c r="CM136" s="1">
        <f t="shared" si="2"/>
        <v>2</v>
      </c>
      <c r="CN136" s="1">
        <f t="shared" si="2"/>
        <v>2</v>
      </c>
      <c r="CO136" s="1">
        <f t="shared" si="2"/>
        <v>2</v>
      </c>
      <c r="CP136" s="1">
        <f t="shared" si="2"/>
        <v>2</v>
      </c>
      <c r="CQ136" s="1">
        <f t="shared" si="2"/>
        <v>2</v>
      </c>
      <c r="CR136" s="1">
        <f t="shared" si="2"/>
        <v>0</v>
      </c>
      <c r="CS136" s="1">
        <f t="shared" si="2"/>
        <v>1</v>
      </c>
      <c r="CT136" s="6">
        <f t="shared" si="2"/>
        <v>133</v>
      </c>
      <c r="DD136" s="6">
        <f>COUNTA((DD3:DD135))</f>
        <v>133</v>
      </c>
      <c r="DN136" s="6">
        <f>COUNTA((DN3:DN135))</f>
        <v>133</v>
      </c>
      <c r="EQ136" s="6">
        <f>COUNTA((EQ3:EQ135))</f>
        <v>133</v>
      </c>
      <c r="FQ136" s="6">
        <f>COUNTA((FQ3:FQ135))</f>
        <v>133</v>
      </c>
      <c r="HB136" s="6">
        <f>COUNTA((HB3:HB135))</f>
        <v>133</v>
      </c>
      <c r="HC136" s="6">
        <f>COUNTA((HC3:HC135))</f>
        <v>133</v>
      </c>
      <c r="HD136" s="6"/>
      <c r="HE136" s="6">
        <f>COUNTA((HE3:HE135))</f>
        <v>133</v>
      </c>
      <c r="HF136" s="6">
        <f>COUNTA((HF3:HF135))</f>
        <v>7</v>
      </c>
      <c r="HG136" s="6">
        <f>COUNTA((HG3:HG135))</f>
        <v>84</v>
      </c>
      <c r="HH136" s="6">
        <f>COUNTA((HH3:HH135))</f>
        <v>52</v>
      </c>
      <c r="HI136" s="6">
        <f>COUNTA((HI3:HI135))</f>
        <v>12</v>
      </c>
    </row>
    <row r="137" spans="1:217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7">
        <f>COUNTIF(AnalizaCzyste[Czy jesteś rodzicem / opiekunem absolwenta uczelni wyższej?],"*"&amp;"Tak"&amp;"*")</f>
        <v>17</v>
      </c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7">
        <f>COUNTIF(AnalizaCzyste[Czy jesteś aktualnie pracownikiem administracyjnym uczelni wyższej?],"*"&amp;"Tak"&amp;"*")</f>
        <v>4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7">
        <f>COUNTIF(AnalizaCzyste[Czy jesteś aktualnie pracownikiem naukowym lub dydaktycznym uczelni wyższej?],"*"&amp;"Tak"&amp;"*")</f>
        <v>16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7">
        <f>COUNTIF(AnalizaCzyste[Czy jesteś przedstawicielem władz uczelni z grupy rektorów, prorektorów, dziekanów, prodziekanów, członków senatu lub członków rady uczelni?],"*"&amp;"Tak"&amp;"*")</f>
        <v>5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7">
        <f>COUNTIF(AnalizaCzyste[Czy jesteś przedstawicielem firmy, w której są zatrudniani absolwenci uczelni wyższych (tytuł licencjata, magistra lub wyższy)?],"*"&amp;"Tak"&amp;"*")</f>
        <v>18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7">
        <f>COUNTIF(AnalizaCzyste[Czy jesteś przedstawicielem władz samorządowych lub centralnych Rzeczypospolitej Polskiej?],"*"&amp;"Tak"&amp;"*")</f>
        <v>2</v>
      </c>
      <c r="FR137" s="7">
        <f>COUNTIF(AnalizaCzyste[Proszę wskaż jaki poziom władzy samorządowej lub centralnej reprezentujesz.],"*"&amp;"Tak"&amp;"*")</f>
        <v>0</v>
      </c>
      <c r="FS137" s="7">
        <f>COUNTIF(AnalizaCzyste[Proszę o podanie nazwy organu władzy jaki reprezentujesz.],"*"&amp;"Tak"&amp;"*")</f>
        <v>0</v>
      </c>
      <c r="FT137" s="7">
        <f>COUNTIF(AnalizaCzyste[Ile uczelni będziesz oceniać?26],"*"&amp;"Tak"&amp;"*")</f>
        <v>0</v>
      </c>
      <c r="FU137" s="7">
        <f>COUNTIF(AnalizaCzyste[Jak się nazywa uczelnia, którą ocenisz?],"*"&amp;"Tak"&amp;"*")</f>
        <v>0</v>
      </c>
      <c r="FV137" s="7">
        <f>COUNTIF(AnalizaCzyste[Efekty działań ocenianej uczelni na rzesz jakości edukacji są zgodne ze strategią rozwoju w regionie.],"*"&amp;"Tak"&amp;"*")</f>
        <v>0</v>
      </c>
      <c r="FW137" s="7">
        <f>COUNTIF(AnalizaCzyste[Wartość wykształcenia zdobywanego przez studentów na ocenianej uczelni jest wysoka.27],"*"&amp;"Tak"&amp;"*")</f>
        <v>0</v>
      </c>
      <c r="FX137" s="7">
        <f>COUNTIF(AnalizaCzyste[Zdobyte przez studentów ocenianej uczelni wykształcenie miało/ma pozytywny wpływ na ich zarobki.28],"*"&amp;"Tak"&amp;"*")</f>
        <v>0</v>
      </c>
      <c r="FY137" s="7">
        <f>COUNTIF(AnalizaCzyste[Efekty działań ocenianej uczelni na rzecz jakości edukacji mają dobry wpływ na rozwój regionu.29],"*"&amp;"Tak"&amp;"*")</f>
        <v>0</v>
      </c>
      <c r="FZ137" s="7">
        <f>COUNTIF(AnalizaCzyste[Efekty działań ocenianej uczelni na rzecz jakości edukacji mają dobry wpływ na rozwój Polski.30],"*"&amp;"Tak"&amp;"*")</f>
        <v>0</v>
      </c>
      <c r="GA137" s="7">
        <f>COUNTIF(AnalizaCzyste[Współpraca ocenianej uczelni z biznesem ma pozytywne efekty dla rozwoju regionu / kraju.31],"*"&amp;"Tak"&amp;"*")</f>
        <v>0</v>
      </c>
      <c r="GB137" s="7">
        <f>COUNTIF(AnalizaCzyste[Ogólny poziom mojej satysfakcji z jakości usług edukacyjnych ocenianej uczelni jest wysoki.32],"*"&amp;"Tak"&amp;"*")</f>
        <v>0</v>
      </c>
      <c r="GC137" s="7">
        <f>COUNTIF(AnalizaCzyste[Pole dodatkowe33],"*"&amp;"Tak"&amp;"*")</f>
        <v>0</v>
      </c>
      <c r="GD137" s="7">
        <f>COUNTIF(AnalizaCzyste[Jakie inne efekty pracy ocenianej uczelni technicznej dostrzegasz obecnie?],"*"&amp;"Tak"&amp;"*")</f>
        <v>0</v>
      </c>
      <c r="GE137" s="7">
        <f>COUNTIF(AnalizaCzyste[Czy będziesz oceniać drugą uczelnię?],"*"&amp;"Tak"&amp;"*")</f>
        <v>0</v>
      </c>
      <c r="GF137" s="7">
        <f>COUNTIF(AnalizaCzyste[Jak się nazywa uczelnia, którą ocenisz?34],"*"&amp;"Tak"&amp;"*")</f>
        <v>0</v>
      </c>
      <c r="GG137" s="7">
        <f>COUNTIF(AnalizaCzyste[Efekty działań ocenianej uczelni na rzesz jakości edukacji są zgodne ze strategią rozwoju w regionie.35],"*"&amp;"Tak"&amp;"*")</f>
        <v>0</v>
      </c>
      <c r="GH137" s="7">
        <f>COUNTIF(AnalizaCzyste[Wartość wykształcenia zdobywanego przez studentów na ocenianej uczelni jest wysoka.36],"*"&amp;"Tak"&amp;"*")</f>
        <v>0</v>
      </c>
      <c r="GI137" s="7">
        <f>COUNTIF(AnalizaCzyste[Zdobyte przez studentów ocenianej uczelni wykształcenie miało/ma pozytywny wpływ na ich zarobki.37],"*"&amp;"Tak"&amp;"*")</f>
        <v>0</v>
      </c>
      <c r="GJ137" s="7">
        <f>COUNTIF(AnalizaCzyste[Efekty działań ocenianej uczelni na rzecz jakości edukacji mają dobry wpływ na rozwój regionu.38],"*"&amp;"Tak"&amp;"*")</f>
        <v>0</v>
      </c>
      <c r="GK137" s="7">
        <f>COUNTIF(AnalizaCzyste[Efekty działań ocenianej uczelni na rzecz jakości edukacji mają dobry wpływ na rozwój Polski.39],"*"&amp;"Tak"&amp;"*")</f>
        <v>0</v>
      </c>
      <c r="GL137" s="7">
        <f>COUNTIF(AnalizaCzyste[Współpraca ocenianej uczelni z biznesem ma pozytywne efekty dla rozwoju regionu / kraju.40],"*"&amp;"Tak"&amp;"*")</f>
        <v>0</v>
      </c>
      <c r="GM137" s="7">
        <f>COUNTIF(AnalizaCzyste[Ogólny poziom mojej satysfakcji z jakości usług edukacyjnych ocenianej uczelni jest wysoki.41],"*"&amp;"Tak"&amp;"*")</f>
        <v>0</v>
      </c>
      <c r="GN137" s="7">
        <f>COUNTIF(AnalizaCzyste[Jakie inne efekty pracy ocenianej uczelni dostrzegasz obecnie?],"*"&amp;"Tak"&amp;"*")</f>
        <v>0</v>
      </c>
      <c r="GO137" s="7">
        <f>COUNTIF(AnalizaCzyste[Czy będziesz oceniać trzecią uczelnię?],"*"&amp;"Tak"&amp;"*")</f>
        <v>0</v>
      </c>
      <c r="GP137" s="7">
        <f>COUNTIF(AnalizaCzyste[Jak się nazywa uczelnia, którą ocenisz?42],"*"&amp;"Tak"&amp;"*")</f>
        <v>0</v>
      </c>
      <c r="GQ137" s="7">
        <f>COUNTIF(AnalizaCzyste[Efekty działań ocenianej uczelni na rzesz jakości edukacji są zgodne ze strategią rozwoju w regionie.43],"*"&amp;"Tak"&amp;"*")</f>
        <v>0</v>
      </c>
      <c r="GR137" s="7">
        <f>COUNTIF(AnalizaCzyste[Wartość wykształcenia zdobywanego przez studentów na ocenianej uczelni jest wysoka.44],"*"&amp;"Tak"&amp;"*")</f>
        <v>0</v>
      </c>
      <c r="GS137" s="7">
        <f>COUNTIF(AnalizaCzyste[Zdobyte przez studentów ocenianej uczelni wykształcenie miało/ma pozytywny wpływ na ich zarobki.45],"*"&amp;"Tak"&amp;"*")</f>
        <v>0</v>
      </c>
      <c r="GT137" s="7">
        <f>COUNTIF(AnalizaCzyste[Efekty działań ocenianej uczelni na rzecz jakości edukacji mają dobry wpływ na rozwój regionu.46],"*"&amp;"Tak"&amp;"*")</f>
        <v>0</v>
      </c>
      <c r="GU137" s="7">
        <f>COUNTIF(AnalizaCzyste[Efekty działań ocenianej uczelni na rzecz jakości edukacji mają dobry wpływ na rozwój Polski.47],"*"&amp;"Tak"&amp;"*")</f>
        <v>0</v>
      </c>
      <c r="GV137" s="7">
        <f>COUNTIF(AnalizaCzyste[Współpraca ocenianej uczelni z biznesem ma pozytywne efekty dla rozwoju regionu / kraju.48],"*"&amp;"Tak"&amp;"*")</f>
        <v>0</v>
      </c>
      <c r="GW137" s="7">
        <f>COUNTIF(AnalizaCzyste[Ogólny poziom mojej satysfakcji z jakości usług edukacyjnych ocenianej uczelni jest wysoki.49],"*"&amp;"Tak"&amp;"*")</f>
        <v>0</v>
      </c>
      <c r="GX137" s="7">
        <f>COUNTIF(AnalizaCzyste[Jakie inne efekty pracy ocenianej uczelni dostrzegasz obecnie?50],"*"&amp;"Tak"&amp;"*")</f>
        <v>0</v>
      </c>
      <c r="GY137" s="7">
        <f>COUNTIF(AnalizaCzyste[Jakie, Twoim zdaniem, elementy decydują o tym, że uczelnie są lepsze lub gorsze.],"*"&amp;"Tak"&amp;"*")</f>
        <v>5</v>
      </c>
      <c r="GZ137" s="7">
        <f>COUNTIF(AnalizaCzyste[Kolumna51],"*"&amp;"Tak"&amp;"*")</f>
        <v>10</v>
      </c>
      <c r="HA137" s="7">
        <f>COUNTIF(AnalizaCzyste[Kolumna52],"*"&amp;"Tak"&amp;"*")</f>
        <v>3</v>
      </c>
      <c r="HB137" s="7">
        <f>COUNTIF(AnalizaCzyste[Płeć],"*"&amp;"Mężczyzna"&amp;"*")</f>
        <v>66</v>
      </c>
      <c r="HC137" s="7">
        <f>COUNTIF(AnalizaCzyste[Rok urodzenia],"*"&amp;"Tak"&amp;"*")</f>
        <v>0</v>
      </c>
      <c r="HD137" s="7"/>
      <c r="HE137" s="7">
        <f>COUNTIF(AnalizaCzyste[Z jakiej wielkości miejscowości pochodzisz? (dotyczy miejscowości, w której się wychowałaś/eś],"*"&amp;"Tak"&amp;"*")</f>
        <v>0</v>
      </c>
    </row>
    <row r="138" spans="1:217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f>COUNTIF(AnalizaCzyste[Czy jesteś rodzicem / opiekunem absolwenta uczelni wyższej?],"*"&amp;"Nie (przejście"&amp;"*")</f>
        <v>116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7">
        <f>COUNTIF(AnalizaCzyste[Czy jesteś aktualnie pracownikiem administracyjnym uczelni wyższej?],"*"&amp;"Nie (przejście"&amp;"*")</f>
        <v>129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7">
        <f>COUNTIF(AnalizaCzyste[Czy jesteś aktualnie pracownikiem naukowym lub dydaktycznym uczelni wyższej?],"*"&amp;"Nie (przejście"&amp;"*")</f>
        <v>117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7">
        <f>COUNTIF(AnalizaCzyste[Czy jesteś przedstawicielem władz uczelni z grupy rektorów, prorektorów, dziekanów, prodziekanów, członków senatu lub członków rady uczelni?],"*"&amp;"Nie (przejście"&amp;"*")</f>
        <v>128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7">
        <f>COUNTIF(AnalizaCzyste[Czy jesteś przedstawicielem firmy, w której są zatrudniani absolwenci uczelni wyższych (tytuł licencjata, magistra lub wyższy)?],"*"&amp;"Nie (przejście"&amp;"*")</f>
        <v>115</v>
      </c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7">
        <f>COUNTIF(AnalizaCzyste[Czy jesteś przedstawicielem władz samorządowych lub centralnych Rzeczypospolitej Polskiej?],"*"&amp;"Nie (przejście"&amp;"*")</f>
        <v>131</v>
      </c>
      <c r="FR138" s="7">
        <f>COUNTIF(AnalizaCzyste[Proszę wskaż jaki poziom władzy samorządowej lub centralnej reprezentujesz.],"*"&amp;"Nie (przejście"&amp;"*")</f>
        <v>0</v>
      </c>
      <c r="FS138" s="7">
        <f>COUNTIF(AnalizaCzyste[Proszę o podanie nazwy organu władzy jaki reprezentujesz.],"*"&amp;"Nie (przejście"&amp;"*")</f>
        <v>0</v>
      </c>
      <c r="FT138" s="7">
        <f>COUNTIF(AnalizaCzyste[Ile uczelni będziesz oceniać?26],"*"&amp;"Nie (przejście"&amp;"*")</f>
        <v>0</v>
      </c>
      <c r="FU138" s="7">
        <f>COUNTIF(AnalizaCzyste[Jak się nazywa uczelnia, którą ocenisz?],"*"&amp;"Nie (przejście"&amp;"*")</f>
        <v>0</v>
      </c>
      <c r="FV138" s="7">
        <f>COUNTIF(AnalizaCzyste[Efekty działań ocenianej uczelni na rzesz jakości edukacji są zgodne ze strategią rozwoju w regionie.],"*"&amp;"Nie (przejście"&amp;"*")</f>
        <v>0</v>
      </c>
      <c r="FW138" s="7">
        <f>COUNTIF(AnalizaCzyste[Wartość wykształcenia zdobywanego przez studentów na ocenianej uczelni jest wysoka.27],"*"&amp;"Nie (przejście"&amp;"*")</f>
        <v>0</v>
      </c>
      <c r="FX138" s="7">
        <f>COUNTIF(AnalizaCzyste[Zdobyte przez studentów ocenianej uczelni wykształcenie miało/ma pozytywny wpływ na ich zarobki.28],"*"&amp;"Nie (przejście"&amp;"*")</f>
        <v>0</v>
      </c>
      <c r="FY138" s="7">
        <f>COUNTIF(AnalizaCzyste[Efekty działań ocenianej uczelni na rzecz jakości edukacji mają dobry wpływ na rozwój regionu.29],"*"&amp;"Nie (przejście"&amp;"*")</f>
        <v>0</v>
      </c>
      <c r="FZ138" s="7">
        <f>COUNTIF(AnalizaCzyste[Efekty działań ocenianej uczelni na rzecz jakości edukacji mają dobry wpływ na rozwój Polski.30],"*"&amp;"Nie (przejście"&amp;"*")</f>
        <v>0</v>
      </c>
      <c r="GA138" s="7">
        <f>COUNTIF(AnalizaCzyste[Współpraca ocenianej uczelni z biznesem ma pozytywne efekty dla rozwoju regionu / kraju.31],"*"&amp;"Nie (przejście"&amp;"*")</f>
        <v>0</v>
      </c>
      <c r="GB138" s="7">
        <f>COUNTIF(AnalizaCzyste[Ogólny poziom mojej satysfakcji z jakości usług edukacyjnych ocenianej uczelni jest wysoki.32],"*"&amp;"Nie (przejście"&amp;"*")</f>
        <v>0</v>
      </c>
      <c r="GC138" s="7">
        <f>COUNTIF(AnalizaCzyste[Pole dodatkowe33],"*"&amp;"Nie (przejście"&amp;"*")</f>
        <v>0</v>
      </c>
      <c r="GD138" s="7">
        <f>COUNTIF(AnalizaCzyste[Jakie inne efekty pracy ocenianej uczelni technicznej dostrzegasz obecnie?],"*"&amp;"Nie (przejście"&amp;"*")</f>
        <v>0</v>
      </c>
      <c r="GE138" s="7">
        <f>COUNTIF(AnalizaCzyste[Czy będziesz oceniać drugą uczelnię?],"*"&amp;"Nie (przejście"&amp;"*")</f>
        <v>2</v>
      </c>
      <c r="GF138" s="7">
        <f>COUNTIF(AnalizaCzyste[Jak się nazywa uczelnia, którą ocenisz?34],"*"&amp;"Nie (przejście"&amp;"*")</f>
        <v>0</v>
      </c>
      <c r="GG138" s="7">
        <f>COUNTIF(AnalizaCzyste[Efekty działań ocenianej uczelni na rzesz jakości edukacji są zgodne ze strategią rozwoju w regionie.35],"*"&amp;"Nie (przejście"&amp;"*")</f>
        <v>0</v>
      </c>
      <c r="GH138" s="7">
        <f>COUNTIF(AnalizaCzyste[Wartość wykształcenia zdobywanego przez studentów na ocenianej uczelni jest wysoka.36],"*"&amp;"Nie (przejście"&amp;"*")</f>
        <v>0</v>
      </c>
      <c r="GI138" s="7">
        <f>COUNTIF(AnalizaCzyste[Zdobyte przez studentów ocenianej uczelni wykształcenie miało/ma pozytywny wpływ na ich zarobki.37],"*"&amp;"Nie (przejście"&amp;"*")</f>
        <v>0</v>
      </c>
      <c r="GJ138" s="7">
        <f>COUNTIF(AnalizaCzyste[Efekty działań ocenianej uczelni na rzecz jakości edukacji mają dobry wpływ na rozwój regionu.38],"*"&amp;"Nie (przejście"&amp;"*")</f>
        <v>0</v>
      </c>
      <c r="GK138" s="7">
        <f>COUNTIF(AnalizaCzyste[Efekty działań ocenianej uczelni na rzecz jakości edukacji mają dobry wpływ na rozwój Polski.39],"*"&amp;"Nie (przejście"&amp;"*")</f>
        <v>0</v>
      </c>
      <c r="GL138" s="7">
        <f>COUNTIF(AnalizaCzyste[Współpraca ocenianej uczelni z biznesem ma pozytywne efekty dla rozwoju regionu / kraju.40],"*"&amp;"Nie (przejście"&amp;"*")</f>
        <v>0</v>
      </c>
      <c r="GM138" s="7">
        <f>COUNTIF(AnalizaCzyste[Ogólny poziom mojej satysfakcji z jakości usług edukacyjnych ocenianej uczelni jest wysoki.41],"*"&amp;"Nie (przejście"&amp;"*")</f>
        <v>0</v>
      </c>
      <c r="GN138" s="7">
        <f>COUNTIF(AnalizaCzyste[Jakie inne efekty pracy ocenianej uczelni dostrzegasz obecnie?],"*"&amp;"Nie (przejście"&amp;"*")</f>
        <v>0</v>
      </c>
      <c r="GO138" s="7">
        <f>COUNTIF(AnalizaCzyste[Czy będziesz oceniać trzecią uczelnię?],"*"&amp;"Nie (przejście"&amp;"*")</f>
        <v>0</v>
      </c>
      <c r="GP138" s="7">
        <f>COUNTIF(AnalizaCzyste[Jak się nazywa uczelnia, którą ocenisz?42],"*"&amp;"Nie (przejście"&amp;"*")</f>
        <v>0</v>
      </c>
      <c r="GQ138" s="7">
        <f>COUNTIF(AnalizaCzyste[Efekty działań ocenianej uczelni na rzesz jakości edukacji są zgodne ze strategią rozwoju w regionie.43],"*"&amp;"Nie (przejście"&amp;"*")</f>
        <v>0</v>
      </c>
      <c r="GR138" s="7">
        <f>COUNTIF(AnalizaCzyste[Wartość wykształcenia zdobywanego przez studentów na ocenianej uczelni jest wysoka.44],"*"&amp;"Nie (przejście"&amp;"*")</f>
        <v>0</v>
      </c>
      <c r="GS138" s="7">
        <f>COUNTIF(AnalizaCzyste[Zdobyte przez studentów ocenianej uczelni wykształcenie miało/ma pozytywny wpływ na ich zarobki.45],"*"&amp;"Nie (przejście"&amp;"*")</f>
        <v>0</v>
      </c>
      <c r="GT138" s="7">
        <f>COUNTIF(AnalizaCzyste[Efekty działań ocenianej uczelni na rzecz jakości edukacji mają dobry wpływ na rozwój regionu.46],"*"&amp;"Nie (przejście"&amp;"*")</f>
        <v>0</v>
      </c>
      <c r="GU138" s="7">
        <f>COUNTIF(AnalizaCzyste[Efekty działań ocenianej uczelni na rzecz jakości edukacji mają dobry wpływ na rozwój Polski.47],"*"&amp;"Nie (przejście"&amp;"*")</f>
        <v>0</v>
      </c>
      <c r="GV138" s="7">
        <f>COUNTIF(AnalizaCzyste[Współpraca ocenianej uczelni z biznesem ma pozytywne efekty dla rozwoju regionu / kraju.48],"*"&amp;"Nie (przejście"&amp;"*")</f>
        <v>0</v>
      </c>
      <c r="GW138" s="7">
        <f>COUNTIF(AnalizaCzyste[Ogólny poziom mojej satysfakcji z jakości usług edukacyjnych ocenianej uczelni jest wysoki.49],"*"&amp;"Nie (przejście"&amp;"*")</f>
        <v>0</v>
      </c>
      <c r="GX138" s="7">
        <f>COUNTIF(AnalizaCzyste[Jakie inne efekty pracy ocenianej uczelni dostrzegasz obecnie?50],"*"&amp;"Nie (przejście"&amp;"*")</f>
        <v>0</v>
      </c>
      <c r="GY138" s="7">
        <f>COUNTIF(AnalizaCzyste[Jakie, Twoim zdaniem, elementy decydują o tym, że uczelnie są lepsze lub gorsze.],"*"&amp;"Nie (przejście"&amp;"*")</f>
        <v>0</v>
      </c>
      <c r="GZ138" s="7">
        <f>COUNTIF(AnalizaCzyste[Kolumna51],"*"&amp;"Nie (przejście"&amp;"*")</f>
        <v>0</v>
      </c>
      <c r="HA138" s="7">
        <f>COUNTIF(AnalizaCzyste[Kolumna52],"*"&amp;"Nie (przejście"&amp;"*")</f>
        <v>0</v>
      </c>
      <c r="HB138" s="7">
        <f>COUNTIF(AnalizaCzyste[Płeć],"*"&amp;"Kobieta"&amp;"*")</f>
        <v>67</v>
      </c>
      <c r="HC138" s="7">
        <f>COUNTIF(AnalizaCzyste[Rok urodzenia],"*"&amp;"Nie (przejście"&amp;"*")</f>
        <v>0</v>
      </c>
      <c r="HD138" s="7"/>
      <c r="HE138" s="7">
        <f>COUNTIF(AnalizaCzyste[Z jakiej wielkości miejscowości pochodzisz? (dotyczy miejscowości, w której się wychowałaś/eś],"*"&amp;"Nie (przejście"&amp;"*")</f>
        <v>0</v>
      </c>
    </row>
    <row r="139" spans="1:217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f>COUNTBLANK(AnalizaCzyste[Czy jesteś rodzicem / opiekunem absolwenta uczelni wyższej?])</f>
        <v>0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7">
        <f>COUNTBLANK(AnalizaCzyste[Czy jesteś aktualnie pracownikiem administracyjnym uczelni wyższej?])</f>
        <v>0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7">
        <f>COUNTBLANK(AnalizaCzyste[Czy jesteś aktualnie pracownikiem naukowym lub dydaktycznym uczelni wyższej?])</f>
        <v>0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7">
        <f>COUNTBLANK(AnalizaCzyste[Czy jesteś przedstawicielem władz uczelni z grupy rektorów, prorektorów, dziekanów, prodziekanów, członków senatu lub członków rady uczelni?])</f>
        <v>0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7">
        <f>COUNTBLANK(AnalizaCzyste[Czy jesteś przedstawicielem firmy, w której są zatrudniani absolwenci uczelni wyższych (tytuł licencjata, magistra lub wyższy)?])</f>
        <v>0</v>
      </c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7">
        <f>COUNTBLANK(AnalizaCzyste[Czy jesteś przedstawicielem władz samorządowych lub centralnych Rzeczypospolitej Polskiej?])</f>
        <v>0</v>
      </c>
      <c r="FR139" s="7">
        <f>COUNTBLANK(AnalizaCzyste[Proszę wskaż jaki poziom władzy samorządowej lub centralnej reprezentujesz.])</f>
        <v>66</v>
      </c>
      <c r="FS139" s="7">
        <f>COUNTBLANK(AnalizaCzyste[Proszę o podanie nazwy organu władzy jaki reprezentujesz.])</f>
        <v>131</v>
      </c>
      <c r="FT139" s="7">
        <f>COUNTBLANK(AnalizaCzyste[Ile uczelni będziesz oceniać?26])</f>
        <v>96</v>
      </c>
      <c r="FU139" s="7">
        <f>COUNTBLANK(AnalizaCzyste[Jak się nazywa uczelnia, którą ocenisz?])</f>
        <v>131</v>
      </c>
      <c r="FV139" s="7">
        <f>COUNTBLANK(AnalizaCzyste[Efekty działań ocenianej uczelni na rzesz jakości edukacji są zgodne ze strategią rozwoju w regionie.])</f>
        <v>131</v>
      </c>
      <c r="FW139" s="7">
        <f>COUNTBLANK(AnalizaCzyste[Wartość wykształcenia zdobywanego przez studentów na ocenianej uczelni jest wysoka.27])</f>
        <v>131</v>
      </c>
      <c r="FX139" s="7">
        <f>COUNTBLANK(AnalizaCzyste[Zdobyte przez studentów ocenianej uczelni wykształcenie miało/ma pozytywny wpływ na ich zarobki.28])</f>
        <v>131</v>
      </c>
      <c r="FY139" s="7">
        <f>COUNTBLANK(AnalizaCzyste[Efekty działań ocenianej uczelni na rzecz jakości edukacji mają dobry wpływ na rozwój regionu.29])</f>
        <v>131</v>
      </c>
      <c r="FZ139" s="7">
        <f>COUNTBLANK(AnalizaCzyste[Efekty działań ocenianej uczelni na rzecz jakości edukacji mają dobry wpływ na rozwój Polski.30])</f>
        <v>131</v>
      </c>
      <c r="GA139" s="7">
        <f>COUNTBLANK(AnalizaCzyste[Współpraca ocenianej uczelni z biznesem ma pozytywne efekty dla rozwoju regionu / kraju.31])</f>
        <v>131</v>
      </c>
      <c r="GB139" s="7">
        <f>COUNTBLANK(AnalizaCzyste[Ogólny poziom mojej satysfakcji z jakości usług edukacyjnych ocenianej uczelni jest wysoki.32])</f>
        <v>131</v>
      </c>
      <c r="GC139" s="7">
        <f>COUNTBLANK(AnalizaCzyste[Pole dodatkowe33])</f>
        <v>133</v>
      </c>
      <c r="GD139" s="7">
        <f>COUNTBLANK(AnalizaCzyste[Jakie inne efekty pracy ocenianej uczelni technicznej dostrzegasz obecnie?])</f>
        <v>132</v>
      </c>
      <c r="GE139" s="7">
        <f>COUNTBLANK(AnalizaCzyste[Czy będziesz oceniać drugą uczelnię?])</f>
        <v>131</v>
      </c>
      <c r="GF139" s="7">
        <f>COUNTBLANK(AnalizaCzyste[Jak się nazywa uczelnia, którą ocenisz?34])</f>
        <v>133</v>
      </c>
      <c r="GG139" s="7">
        <f>COUNTBLANK(AnalizaCzyste[Efekty działań ocenianej uczelni na rzesz jakości edukacji są zgodne ze strategią rozwoju w regionie.35])</f>
        <v>133</v>
      </c>
      <c r="GH139" s="7">
        <f>COUNTBLANK(AnalizaCzyste[Wartość wykształcenia zdobywanego przez studentów na ocenianej uczelni jest wysoka.36])</f>
        <v>133</v>
      </c>
      <c r="GI139" s="7">
        <f>COUNTBLANK(AnalizaCzyste[Zdobyte przez studentów ocenianej uczelni wykształcenie miało/ma pozytywny wpływ na ich zarobki.37])</f>
        <v>133</v>
      </c>
      <c r="GJ139" s="7">
        <f>COUNTBLANK(AnalizaCzyste[Efekty działań ocenianej uczelni na rzecz jakości edukacji mają dobry wpływ na rozwój regionu.38])</f>
        <v>133</v>
      </c>
      <c r="GK139" s="7">
        <f>COUNTBLANK(AnalizaCzyste[Efekty działań ocenianej uczelni na rzecz jakości edukacji mają dobry wpływ na rozwój Polski.39])</f>
        <v>133</v>
      </c>
      <c r="GL139" s="7">
        <f>COUNTBLANK(AnalizaCzyste[Współpraca ocenianej uczelni z biznesem ma pozytywne efekty dla rozwoju regionu / kraju.40])</f>
        <v>133</v>
      </c>
      <c r="GM139" s="7">
        <f>COUNTBLANK(AnalizaCzyste[Ogólny poziom mojej satysfakcji z jakości usług edukacyjnych ocenianej uczelni jest wysoki.41])</f>
        <v>133</v>
      </c>
      <c r="GN139" s="7">
        <f>COUNTBLANK(AnalizaCzyste[Jakie inne efekty pracy ocenianej uczelni dostrzegasz obecnie?])</f>
        <v>133</v>
      </c>
      <c r="GO139" s="7">
        <f>COUNTBLANK(AnalizaCzyste[Czy będziesz oceniać trzecią uczelnię?])</f>
        <v>133</v>
      </c>
      <c r="GP139" s="7">
        <f>COUNTBLANK(AnalizaCzyste[Jak się nazywa uczelnia, którą ocenisz?42])</f>
        <v>133</v>
      </c>
      <c r="GQ139" s="7">
        <f>COUNTBLANK(AnalizaCzyste[Efekty działań ocenianej uczelni na rzesz jakości edukacji są zgodne ze strategią rozwoju w regionie.43])</f>
        <v>133</v>
      </c>
      <c r="GR139" s="7">
        <f>COUNTBLANK(AnalizaCzyste[Wartość wykształcenia zdobywanego przez studentów na ocenianej uczelni jest wysoka.44])</f>
        <v>133</v>
      </c>
      <c r="GS139" s="7">
        <f>COUNTBLANK(AnalizaCzyste[Zdobyte przez studentów ocenianej uczelni wykształcenie miało/ma pozytywny wpływ na ich zarobki.45])</f>
        <v>133</v>
      </c>
      <c r="GT139" s="7">
        <f>COUNTBLANK(AnalizaCzyste[Efekty działań ocenianej uczelni na rzecz jakości edukacji mają dobry wpływ na rozwój regionu.46])</f>
        <v>133</v>
      </c>
      <c r="GU139" s="7">
        <f>COUNTBLANK(AnalizaCzyste[Efekty działań ocenianej uczelni na rzecz jakości edukacji mają dobry wpływ na rozwój Polski.47])</f>
        <v>133</v>
      </c>
      <c r="GV139" s="7">
        <f>COUNTBLANK(AnalizaCzyste[Współpraca ocenianej uczelni z biznesem ma pozytywne efekty dla rozwoju regionu / kraju.48])</f>
        <v>133</v>
      </c>
      <c r="GW139" s="7">
        <f>COUNTBLANK(AnalizaCzyste[Ogólny poziom mojej satysfakcji z jakości usług edukacyjnych ocenianej uczelni jest wysoki.49])</f>
        <v>133</v>
      </c>
      <c r="GX139" s="7">
        <f>COUNTBLANK(AnalizaCzyste[Jakie inne efekty pracy ocenianej uczelni dostrzegasz obecnie?50])</f>
        <v>133</v>
      </c>
      <c r="GY139" s="7">
        <f>COUNTBLANK(AnalizaCzyste[Jakie, Twoim zdaniem, elementy decydują o tym, że uczelnie są lepsze lub gorsze.])</f>
        <v>1</v>
      </c>
      <c r="GZ139" s="7">
        <f>COUNTBLANK(AnalizaCzyste[Kolumna51])</f>
        <v>1</v>
      </c>
      <c r="HA139" s="7">
        <f>COUNTBLANK(AnalizaCzyste[Kolumna52])</f>
        <v>1</v>
      </c>
      <c r="HB139" s="7">
        <f>COUNTBLANK(AnalizaCzyste[Płeć])</f>
        <v>0</v>
      </c>
      <c r="HC139" s="7">
        <f>COUNTBLANK(AnalizaCzyste[Rok urodzenia])</f>
        <v>0</v>
      </c>
      <c r="HD139" s="7"/>
      <c r="HE139" s="7">
        <f>COUNTBLANK(AnalizaCzyste[Z jakiej wielkości miejscowości pochodzisz? (dotyczy miejscowości, w której się wychowałaś/eś])</f>
        <v>0</v>
      </c>
    </row>
    <row r="140" spans="1:217" ht="14.65" thickBot="1" x14ac:dyDescent="0.5">
      <c r="P140">
        <f>SUM(P137:P139)</f>
        <v>133</v>
      </c>
      <c r="Q140">
        <f t="shared" ref="Q140:CC140" si="3">SUM(Q137:Q139)</f>
        <v>133</v>
      </c>
      <c r="R140">
        <f t="shared" si="3"/>
        <v>0</v>
      </c>
      <c r="S140">
        <f t="shared" si="3"/>
        <v>0</v>
      </c>
      <c r="T140">
        <f t="shared" si="3"/>
        <v>0</v>
      </c>
      <c r="U140">
        <f t="shared" si="3"/>
        <v>0</v>
      </c>
      <c r="V140">
        <f t="shared" si="3"/>
        <v>0</v>
      </c>
      <c r="W140">
        <f t="shared" si="3"/>
        <v>0</v>
      </c>
      <c r="X140">
        <f t="shared" si="3"/>
        <v>0</v>
      </c>
      <c r="Y140">
        <f t="shared" si="3"/>
        <v>0</v>
      </c>
      <c r="Z140">
        <f t="shared" si="3"/>
        <v>0</v>
      </c>
      <c r="AA140">
        <f t="shared" si="3"/>
        <v>0</v>
      </c>
      <c r="AB140">
        <f t="shared" si="3"/>
        <v>0</v>
      </c>
      <c r="AC140">
        <f t="shared" si="3"/>
        <v>0</v>
      </c>
      <c r="AD140">
        <f t="shared" si="3"/>
        <v>0</v>
      </c>
      <c r="AE140">
        <f t="shared" si="3"/>
        <v>0</v>
      </c>
      <c r="AF140">
        <f t="shared" si="3"/>
        <v>0</v>
      </c>
      <c r="AG140">
        <f t="shared" si="3"/>
        <v>133</v>
      </c>
      <c r="AH140">
        <f t="shared" si="3"/>
        <v>0</v>
      </c>
      <c r="AJ140">
        <f t="shared" si="3"/>
        <v>0</v>
      </c>
      <c r="AK140">
        <f t="shared" si="3"/>
        <v>0</v>
      </c>
      <c r="AL140">
        <f t="shared" si="3"/>
        <v>0</v>
      </c>
      <c r="AM140">
        <f t="shared" si="3"/>
        <v>0</v>
      </c>
      <c r="AN140">
        <f t="shared" si="3"/>
        <v>0</v>
      </c>
      <c r="AO140">
        <f t="shared" si="3"/>
        <v>0</v>
      </c>
      <c r="AP140">
        <f t="shared" si="3"/>
        <v>0</v>
      </c>
      <c r="AQ140">
        <f t="shared" si="3"/>
        <v>0</v>
      </c>
      <c r="AR140">
        <f t="shared" si="3"/>
        <v>0</v>
      </c>
      <c r="AS140">
        <f t="shared" si="3"/>
        <v>0</v>
      </c>
      <c r="AT140">
        <f t="shared" si="3"/>
        <v>0</v>
      </c>
      <c r="AU140">
        <f t="shared" si="3"/>
        <v>0</v>
      </c>
      <c r="AV140">
        <f t="shared" si="3"/>
        <v>0</v>
      </c>
      <c r="AW140">
        <f t="shared" si="3"/>
        <v>0</v>
      </c>
      <c r="AX140">
        <f t="shared" si="3"/>
        <v>0</v>
      </c>
      <c r="AY140">
        <f t="shared" si="3"/>
        <v>0</v>
      </c>
      <c r="AZ140">
        <f t="shared" si="3"/>
        <v>133</v>
      </c>
      <c r="BA140">
        <f t="shared" si="3"/>
        <v>0</v>
      </c>
      <c r="BB140">
        <f t="shared" si="3"/>
        <v>0</v>
      </c>
      <c r="BC140">
        <f t="shared" si="3"/>
        <v>0</v>
      </c>
      <c r="BD140">
        <f t="shared" si="3"/>
        <v>0</v>
      </c>
      <c r="BE140">
        <f t="shared" si="3"/>
        <v>0</v>
      </c>
      <c r="BF140">
        <f t="shared" si="3"/>
        <v>0</v>
      </c>
      <c r="BG140">
        <f t="shared" si="3"/>
        <v>0</v>
      </c>
      <c r="BH140">
        <f t="shared" si="3"/>
        <v>0</v>
      </c>
      <c r="BI140">
        <f t="shared" si="3"/>
        <v>0</v>
      </c>
      <c r="BJ140">
        <f t="shared" si="3"/>
        <v>0</v>
      </c>
      <c r="BK140">
        <f t="shared" si="3"/>
        <v>0</v>
      </c>
      <c r="BL140">
        <f t="shared" si="3"/>
        <v>0</v>
      </c>
      <c r="BM140">
        <f t="shared" si="3"/>
        <v>0</v>
      </c>
      <c r="BN140">
        <f t="shared" si="3"/>
        <v>0</v>
      </c>
      <c r="BO140">
        <f t="shared" si="3"/>
        <v>0</v>
      </c>
      <c r="BP140">
        <f t="shared" si="3"/>
        <v>0</v>
      </c>
      <c r="BQ140">
        <f t="shared" si="3"/>
        <v>0</v>
      </c>
      <c r="BR140">
        <f t="shared" si="3"/>
        <v>0</v>
      </c>
      <c r="BS140">
        <f t="shared" si="3"/>
        <v>0</v>
      </c>
      <c r="BT140">
        <f t="shared" si="3"/>
        <v>0</v>
      </c>
      <c r="BU140">
        <f t="shared" si="3"/>
        <v>0</v>
      </c>
      <c r="BV140">
        <f t="shared" si="3"/>
        <v>0</v>
      </c>
      <c r="BW140">
        <f t="shared" si="3"/>
        <v>0</v>
      </c>
      <c r="BX140">
        <f t="shared" si="3"/>
        <v>0</v>
      </c>
      <c r="BY140">
        <f t="shared" si="3"/>
        <v>0</v>
      </c>
      <c r="BZ140">
        <f t="shared" si="3"/>
        <v>0</v>
      </c>
      <c r="CA140">
        <f t="shared" si="3"/>
        <v>0</v>
      </c>
      <c r="CB140">
        <f t="shared" si="3"/>
        <v>0</v>
      </c>
      <c r="CC140">
        <f t="shared" si="3"/>
        <v>0</v>
      </c>
      <c r="CD140">
        <f t="shared" ref="CD140:DN140" si="4">SUM(CD137:CD139)</f>
        <v>0</v>
      </c>
      <c r="CE140">
        <f t="shared" si="4"/>
        <v>0</v>
      </c>
      <c r="CF140">
        <f t="shared" si="4"/>
        <v>0</v>
      </c>
      <c r="CG140">
        <f t="shared" si="4"/>
        <v>0</v>
      </c>
      <c r="CH140">
        <f t="shared" si="4"/>
        <v>0</v>
      </c>
      <c r="CI140">
        <f t="shared" si="4"/>
        <v>0</v>
      </c>
      <c r="CJ140">
        <f t="shared" si="4"/>
        <v>0</v>
      </c>
      <c r="CK140">
        <f t="shared" si="4"/>
        <v>0</v>
      </c>
      <c r="CL140">
        <f t="shared" si="4"/>
        <v>0</v>
      </c>
      <c r="CM140">
        <f t="shared" si="4"/>
        <v>0</v>
      </c>
      <c r="CN140">
        <f t="shared" si="4"/>
        <v>0</v>
      </c>
      <c r="CO140">
        <f t="shared" si="4"/>
        <v>0</v>
      </c>
      <c r="CP140">
        <f t="shared" si="4"/>
        <v>0</v>
      </c>
      <c r="CQ140">
        <f t="shared" si="4"/>
        <v>0</v>
      </c>
      <c r="CR140">
        <f t="shared" si="4"/>
        <v>0</v>
      </c>
      <c r="CS140">
        <f t="shared" si="4"/>
        <v>0</v>
      </c>
      <c r="CT140">
        <f t="shared" si="4"/>
        <v>133</v>
      </c>
      <c r="CU140">
        <f t="shared" si="4"/>
        <v>0</v>
      </c>
      <c r="CV140">
        <f t="shared" si="4"/>
        <v>0</v>
      </c>
      <c r="CW140">
        <f t="shared" si="4"/>
        <v>0</v>
      </c>
      <c r="CX140">
        <f t="shared" si="4"/>
        <v>0</v>
      </c>
      <c r="CY140">
        <f t="shared" si="4"/>
        <v>0</v>
      </c>
      <c r="CZ140">
        <f t="shared" si="4"/>
        <v>0</v>
      </c>
      <c r="DA140">
        <f t="shared" si="4"/>
        <v>0</v>
      </c>
      <c r="DB140">
        <f t="shared" si="4"/>
        <v>0</v>
      </c>
      <c r="DC140">
        <f t="shared" si="4"/>
        <v>0</v>
      </c>
      <c r="DD140">
        <f t="shared" si="4"/>
        <v>133</v>
      </c>
      <c r="DE140">
        <f t="shared" si="4"/>
        <v>0</v>
      </c>
      <c r="DF140">
        <f t="shared" si="4"/>
        <v>0</v>
      </c>
      <c r="DG140">
        <f t="shared" si="4"/>
        <v>0</v>
      </c>
      <c r="DH140">
        <f t="shared" si="4"/>
        <v>0</v>
      </c>
      <c r="DI140">
        <f t="shared" si="4"/>
        <v>0</v>
      </c>
      <c r="DJ140">
        <f t="shared" si="4"/>
        <v>0</v>
      </c>
      <c r="DK140">
        <f t="shared" si="4"/>
        <v>0</v>
      </c>
      <c r="DL140">
        <f t="shared" si="4"/>
        <v>0</v>
      </c>
      <c r="DM140">
        <f t="shared" si="4"/>
        <v>0</v>
      </c>
      <c r="DN140">
        <f t="shared" si="4"/>
        <v>133</v>
      </c>
      <c r="DO140">
        <f>SUM(DO137:DO139)</f>
        <v>0</v>
      </c>
      <c r="DP140">
        <f t="shared" ref="DP140:GA140" si="5">SUM(DP137:DP139)</f>
        <v>0</v>
      </c>
      <c r="DQ140">
        <f t="shared" si="5"/>
        <v>0</v>
      </c>
      <c r="DR140">
        <f t="shared" si="5"/>
        <v>0</v>
      </c>
      <c r="DS140">
        <f t="shared" si="5"/>
        <v>0</v>
      </c>
      <c r="DT140">
        <f t="shared" si="5"/>
        <v>0</v>
      </c>
      <c r="DU140">
        <f t="shared" si="5"/>
        <v>0</v>
      </c>
      <c r="DV140">
        <f t="shared" si="5"/>
        <v>0</v>
      </c>
      <c r="DW140">
        <f t="shared" si="5"/>
        <v>0</v>
      </c>
      <c r="DX140">
        <f t="shared" si="5"/>
        <v>0</v>
      </c>
      <c r="DY140">
        <f t="shared" si="5"/>
        <v>0</v>
      </c>
      <c r="DZ140">
        <f t="shared" si="5"/>
        <v>0</v>
      </c>
      <c r="EA140">
        <f t="shared" si="5"/>
        <v>0</v>
      </c>
      <c r="EB140">
        <f t="shared" si="5"/>
        <v>0</v>
      </c>
      <c r="EC140">
        <f t="shared" si="5"/>
        <v>0</v>
      </c>
      <c r="ED140">
        <f t="shared" si="5"/>
        <v>0</v>
      </c>
      <c r="EE140">
        <f t="shared" si="5"/>
        <v>0</v>
      </c>
      <c r="EF140">
        <f t="shared" si="5"/>
        <v>0</v>
      </c>
      <c r="EG140">
        <f t="shared" si="5"/>
        <v>0</v>
      </c>
      <c r="EH140">
        <f t="shared" si="5"/>
        <v>0</v>
      </c>
      <c r="EI140">
        <f t="shared" si="5"/>
        <v>0</v>
      </c>
      <c r="EJ140">
        <f t="shared" si="5"/>
        <v>0</v>
      </c>
      <c r="EK140">
        <f t="shared" si="5"/>
        <v>0</v>
      </c>
      <c r="EL140">
        <f t="shared" si="5"/>
        <v>0</v>
      </c>
      <c r="EM140">
        <f t="shared" si="5"/>
        <v>0</v>
      </c>
      <c r="EN140">
        <f t="shared" si="5"/>
        <v>0</v>
      </c>
      <c r="EO140">
        <f t="shared" si="5"/>
        <v>0</v>
      </c>
      <c r="EP140">
        <f t="shared" si="5"/>
        <v>0</v>
      </c>
      <c r="EQ140">
        <f t="shared" si="5"/>
        <v>133</v>
      </c>
      <c r="ER140">
        <f t="shared" si="5"/>
        <v>0</v>
      </c>
      <c r="ES140">
        <f t="shared" si="5"/>
        <v>0</v>
      </c>
      <c r="ET140">
        <f t="shared" si="5"/>
        <v>0</v>
      </c>
      <c r="EU140">
        <f t="shared" si="5"/>
        <v>0</v>
      </c>
      <c r="EV140">
        <f t="shared" si="5"/>
        <v>0</v>
      </c>
      <c r="EW140">
        <f t="shared" si="5"/>
        <v>0</v>
      </c>
      <c r="EX140">
        <f t="shared" si="5"/>
        <v>0</v>
      </c>
      <c r="EY140">
        <f t="shared" si="5"/>
        <v>0</v>
      </c>
      <c r="EZ140">
        <f t="shared" si="5"/>
        <v>0</v>
      </c>
      <c r="FA140">
        <f t="shared" si="5"/>
        <v>0</v>
      </c>
      <c r="FB140">
        <f t="shared" si="5"/>
        <v>0</v>
      </c>
      <c r="FC140">
        <f t="shared" si="5"/>
        <v>0</v>
      </c>
      <c r="FD140">
        <f t="shared" si="5"/>
        <v>0</v>
      </c>
      <c r="FE140">
        <f t="shared" si="5"/>
        <v>0</v>
      </c>
      <c r="FF140">
        <f t="shared" si="5"/>
        <v>0</v>
      </c>
      <c r="FG140">
        <f t="shared" si="5"/>
        <v>0</v>
      </c>
      <c r="FH140">
        <f t="shared" si="5"/>
        <v>0</v>
      </c>
      <c r="FI140">
        <f t="shared" si="5"/>
        <v>0</v>
      </c>
      <c r="FJ140">
        <f t="shared" si="5"/>
        <v>0</v>
      </c>
      <c r="FK140">
        <f t="shared" si="5"/>
        <v>0</v>
      </c>
      <c r="FL140">
        <f t="shared" si="5"/>
        <v>0</v>
      </c>
      <c r="FM140">
        <f t="shared" si="5"/>
        <v>0</v>
      </c>
      <c r="FN140">
        <f t="shared" si="5"/>
        <v>0</v>
      </c>
      <c r="FO140">
        <f t="shared" si="5"/>
        <v>0</v>
      </c>
      <c r="FP140">
        <f t="shared" si="5"/>
        <v>0</v>
      </c>
      <c r="FQ140">
        <f t="shared" si="5"/>
        <v>133</v>
      </c>
      <c r="FR140">
        <f t="shared" si="5"/>
        <v>66</v>
      </c>
      <c r="FS140">
        <f t="shared" si="5"/>
        <v>131</v>
      </c>
      <c r="FT140">
        <f t="shared" si="5"/>
        <v>96</v>
      </c>
      <c r="FU140">
        <f t="shared" si="5"/>
        <v>131</v>
      </c>
      <c r="FV140">
        <f t="shared" si="5"/>
        <v>131</v>
      </c>
      <c r="FW140">
        <f t="shared" si="5"/>
        <v>131</v>
      </c>
      <c r="FX140">
        <f t="shared" si="5"/>
        <v>131</v>
      </c>
      <c r="FY140">
        <f t="shared" si="5"/>
        <v>131</v>
      </c>
      <c r="FZ140">
        <f t="shared" si="5"/>
        <v>131</v>
      </c>
      <c r="GA140">
        <f t="shared" si="5"/>
        <v>131</v>
      </c>
      <c r="GB140">
        <f t="shared" ref="GB140:HB140" si="6">SUM(GB137:GB139)</f>
        <v>131</v>
      </c>
      <c r="GC140">
        <f t="shared" si="6"/>
        <v>133</v>
      </c>
      <c r="GD140">
        <f t="shared" si="6"/>
        <v>132</v>
      </c>
      <c r="GE140">
        <f t="shared" si="6"/>
        <v>133</v>
      </c>
      <c r="GF140">
        <f t="shared" si="6"/>
        <v>133</v>
      </c>
      <c r="GG140">
        <f t="shared" si="6"/>
        <v>133</v>
      </c>
      <c r="GH140">
        <f t="shared" si="6"/>
        <v>133</v>
      </c>
      <c r="GI140">
        <f t="shared" si="6"/>
        <v>133</v>
      </c>
      <c r="GJ140">
        <f t="shared" si="6"/>
        <v>133</v>
      </c>
      <c r="GK140">
        <f t="shared" si="6"/>
        <v>133</v>
      </c>
      <c r="GL140">
        <f t="shared" si="6"/>
        <v>133</v>
      </c>
      <c r="GM140">
        <f t="shared" si="6"/>
        <v>133</v>
      </c>
      <c r="GN140">
        <f t="shared" si="6"/>
        <v>133</v>
      </c>
      <c r="GO140">
        <f t="shared" si="6"/>
        <v>133</v>
      </c>
      <c r="GP140">
        <f t="shared" si="6"/>
        <v>133</v>
      </c>
      <c r="GQ140">
        <f t="shared" si="6"/>
        <v>133</v>
      </c>
      <c r="GR140">
        <f t="shared" si="6"/>
        <v>133</v>
      </c>
      <c r="GS140">
        <f t="shared" si="6"/>
        <v>133</v>
      </c>
      <c r="GT140">
        <f t="shared" si="6"/>
        <v>133</v>
      </c>
      <c r="GU140">
        <f t="shared" si="6"/>
        <v>133</v>
      </c>
      <c r="GV140">
        <f t="shared" si="6"/>
        <v>133</v>
      </c>
      <c r="GW140">
        <f t="shared" si="6"/>
        <v>133</v>
      </c>
      <c r="GX140">
        <f t="shared" si="6"/>
        <v>133</v>
      </c>
      <c r="GY140">
        <f t="shared" si="6"/>
        <v>6</v>
      </c>
      <c r="GZ140">
        <f t="shared" si="6"/>
        <v>11</v>
      </c>
      <c r="HA140">
        <f t="shared" si="6"/>
        <v>4</v>
      </c>
      <c r="HB140">
        <f t="shared" si="6"/>
        <v>133</v>
      </c>
      <c r="HC140">
        <f>SUM(HC136,HC139)</f>
        <v>133</v>
      </c>
      <c r="HE140">
        <f>SUM(HE136,HE139)</f>
        <v>133</v>
      </c>
    </row>
    <row r="141" spans="1:217" ht="14.65" thickTop="1" x14ac:dyDescent="0.45">
      <c r="Q141" s="7"/>
      <c r="EA141">
        <f t="shared" ref="EA141:EG141" si="7">SUM(EA66,EA67,EA74,EA84,EA87)</f>
        <v>0</v>
      </c>
      <c r="EB141">
        <f t="shared" si="7"/>
        <v>0</v>
      </c>
      <c r="EC141">
        <f t="shared" si="7"/>
        <v>0</v>
      </c>
      <c r="ED141">
        <f t="shared" si="7"/>
        <v>0</v>
      </c>
      <c r="EE141">
        <f t="shared" si="7"/>
        <v>0</v>
      </c>
      <c r="EF141">
        <f t="shared" si="7"/>
        <v>0</v>
      </c>
      <c r="EG141">
        <f t="shared" si="7"/>
        <v>0</v>
      </c>
      <c r="EH141">
        <f>SUM(EA141:EG141)</f>
        <v>0</v>
      </c>
      <c r="EI141">
        <f t="shared" ref="EI141:EO141" si="8">SUM(EI66,EI67,EI74,EI84,EI87)</f>
        <v>0</v>
      </c>
      <c r="EJ141">
        <f t="shared" si="8"/>
        <v>0</v>
      </c>
      <c r="EK141">
        <f t="shared" si="8"/>
        <v>0</v>
      </c>
      <c r="EL141">
        <f t="shared" si="8"/>
        <v>0</v>
      </c>
      <c r="EM141">
        <f t="shared" si="8"/>
        <v>0</v>
      </c>
      <c r="EN141">
        <f t="shared" si="8"/>
        <v>0</v>
      </c>
      <c r="EO141">
        <f t="shared" si="8"/>
        <v>0</v>
      </c>
      <c r="EP141">
        <f>SUM(EI141:EO141)</f>
        <v>0</v>
      </c>
    </row>
    <row r="142" spans="1:217" x14ac:dyDescent="0.45">
      <c r="EA142" s="33" t="e">
        <f t="shared" ref="EA142:EG142" si="9">EA141/$EH$141</f>
        <v>#DIV/0!</v>
      </c>
      <c r="EB142" s="33" t="e">
        <f t="shared" si="9"/>
        <v>#DIV/0!</v>
      </c>
      <c r="EC142" s="33" t="e">
        <f t="shared" si="9"/>
        <v>#DIV/0!</v>
      </c>
      <c r="ED142" s="33" t="e">
        <f t="shared" si="9"/>
        <v>#DIV/0!</v>
      </c>
      <c r="EE142" s="33" t="e">
        <f t="shared" si="9"/>
        <v>#DIV/0!</v>
      </c>
      <c r="EF142" s="33" t="e">
        <f t="shared" si="9"/>
        <v>#DIV/0!</v>
      </c>
      <c r="EG142" s="33" t="e">
        <f t="shared" si="9"/>
        <v>#DIV/0!</v>
      </c>
      <c r="EH142" s="33" t="e">
        <f>SUM(EA142:EG142)</f>
        <v>#DIV/0!</v>
      </c>
      <c r="EI142" s="33" t="e">
        <f t="shared" ref="EI142:EO142" si="10">EI141/$EH$141</f>
        <v>#DIV/0!</v>
      </c>
      <c r="EJ142" s="33" t="e">
        <f t="shared" si="10"/>
        <v>#DIV/0!</v>
      </c>
      <c r="EK142" s="33" t="e">
        <f t="shared" si="10"/>
        <v>#DIV/0!</v>
      </c>
      <c r="EL142" s="33" t="e">
        <f t="shared" si="10"/>
        <v>#DIV/0!</v>
      </c>
      <c r="EM142" s="33" t="e">
        <f t="shared" si="10"/>
        <v>#DIV/0!</v>
      </c>
      <c r="EN142" s="33" t="e">
        <f t="shared" si="10"/>
        <v>#DIV/0!</v>
      </c>
      <c r="EO142" s="33" t="e">
        <f t="shared" si="10"/>
        <v>#DIV/0!</v>
      </c>
      <c r="EP142" s="33" t="e">
        <f>SUM(EI142:EO142)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9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96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95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2023-04-23T07:19:37Z</dcterms:modified>
  <cp:category>wyniki indywidualne</cp:category>
</cp:coreProperties>
</file>