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F9BF94FF-3667-4B85-8E66-EEBEC2465467}" xr6:coauthVersionLast="45" xr6:coauthVersionMax="45" xr10:uidLastSave="{00000000-0000-0000-0000-000000000000}"/>
  <bookViews>
    <workbookView xWindow="1515" yWindow="1515" windowWidth="19650" windowHeight="13860" tabRatio="681" activeTab="2" xr2:uid="{123E2ECC-8474-4F38-AC8E-530CCC4039F8}"/>
  </bookViews>
  <sheets>
    <sheet name="stock" sheetId="17" r:id="rId1"/>
    <sheet name="consumption" sheetId="16" r:id="rId2"/>
    <sheet name="prod" sheetId="15" r:id="rId3"/>
    <sheet name="import" sheetId="14" r:id="rId4"/>
    <sheet name="export" sheetId="12" r:id="rId5"/>
    <sheet name="workforce" sheetId="11" r:id="rId6"/>
    <sheet name="RawMat_PlateGlass" sheetId="10" r:id="rId7"/>
    <sheet name="RawMat_WindowGlass" sheetId="18" r:id="rId8"/>
    <sheet name="RawMat_FloatGlass" sheetId="21" r:id="rId9"/>
    <sheet name="RawMat_FlatGlass_ABS" sheetId="20" r:id="rId10"/>
    <sheet name="pollution"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 i="15" l="1"/>
  <c r="L9" i="15"/>
  <c r="L10" i="15"/>
  <c r="L11" i="15"/>
  <c r="L12" i="15"/>
  <c r="L13" i="15"/>
  <c r="L14" i="15"/>
  <c r="L15" i="15"/>
  <c r="L16" i="15"/>
  <c r="L17" i="15"/>
  <c r="L18" i="15"/>
  <c r="L19" i="15"/>
  <c r="L20" i="15"/>
  <c r="L21" i="15"/>
  <c r="L22" i="15"/>
  <c r="L23" i="15"/>
  <c r="L24" i="15"/>
  <c r="L25" i="15"/>
  <c r="G25" i="15" s="1"/>
  <c r="L26" i="15"/>
  <c r="L27" i="15"/>
  <c r="G27" i="15" s="1"/>
  <c r="L28" i="15"/>
  <c r="L29" i="15"/>
  <c r="G29" i="15" s="1"/>
  <c r="L30" i="15"/>
  <c r="G30" i="15" s="1"/>
  <c r="L31" i="15"/>
  <c r="L32" i="15"/>
  <c r="G32" i="15" s="1"/>
  <c r="L33" i="15"/>
  <c r="G33" i="15" s="1"/>
  <c r="L34" i="15"/>
  <c r="L35" i="15"/>
  <c r="L36" i="15"/>
  <c r="L37" i="15"/>
  <c r="L38" i="15"/>
  <c r="L39" i="15"/>
  <c r="L7" i="15"/>
  <c r="G26" i="15"/>
  <c r="G28" i="15"/>
  <c r="G31" i="15"/>
  <c r="G34" i="15"/>
  <c r="L68" i="21"/>
  <c r="M34" i="21"/>
  <c r="L34" i="21"/>
  <c r="I23" i="21"/>
  <c r="H23" i="21"/>
  <c r="G23" i="21"/>
  <c r="F23" i="21"/>
  <c r="E23" i="21"/>
  <c r="D23" i="21"/>
  <c r="C23" i="21"/>
  <c r="B23" i="21"/>
  <c r="I47" i="21"/>
  <c r="H47" i="21"/>
  <c r="G47" i="21"/>
  <c r="F47" i="21"/>
  <c r="E47" i="21"/>
  <c r="D47" i="21"/>
  <c r="C47" i="21"/>
  <c r="B47" i="21"/>
  <c r="C32" i="18"/>
  <c r="B32" i="18"/>
  <c r="I47" i="10"/>
  <c r="H47" i="10"/>
  <c r="G47" i="10"/>
  <c r="F47" i="10"/>
  <c r="E47" i="10"/>
  <c r="D47" i="10"/>
  <c r="C47" i="10"/>
  <c r="B47" i="10" s="1"/>
  <c r="I46" i="10"/>
  <c r="H46" i="10"/>
  <c r="G46" i="10"/>
  <c r="F46" i="10"/>
  <c r="E46" i="10"/>
  <c r="D46" i="10"/>
  <c r="C46" i="10"/>
  <c r="B46" i="10" s="1"/>
  <c r="I45" i="10"/>
  <c r="H45" i="10"/>
  <c r="G45" i="10"/>
  <c r="F45" i="10"/>
  <c r="E45" i="10"/>
  <c r="D45" i="10"/>
  <c r="C45" i="10"/>
  <c r="B45" i="10" s="1"/>
  <c r="I44" i="10"/>
  <c r="H44" i="10"/>
  <c r="G44" i="10"/>
  <c r="F44" i="10"/>
  <c r="E44" i="10"/>
  <c r="D44" i="10"/>
  <c r="C44" i="10"/>
  <c r="B44" i="10" s="1"/>
  <c r="I43" i="10"/>
  <c r="H43" i="10"/>
  <c r="G43" i="10"/>
  <c r="F43" i="10"/>
  <c r="E43" i="10"/>
  <c r="D43" i="10"/>
  <c r="C43" i="10"/>
  <c r="B43" i="10" s="1"/>
  <c r="I42" i="10"/>
  <c r="H42" i="10"/>
  <c r="G42" i="10"/>
  <c r="F42" i="10"/>
  <c r="E42" i="10"/>
  <c r="D42" i="10"/>
  <c r="C42" i="10"/>
  <c r="B42" i="10" s="1"/>
  <c r="I41" i="10"/>
  <c r="H41" i="10"/>
  <c r="G41" i="10"/>
  <c r="F41" i="10"/>
  <c r="E41" i="10"/>
  <c r="D41" i="10"/>
  <c r="C41" i="10"/>
  <c r="B41" i="10" s="1"/>
  <c r="I40" i="10"/>
  <c r="H40" i="10"/>
  <c r="G40" i="10"/>
  <c r="F40" i="10"/>
  <c r="E40" i="10"/>
  <c r="D40" i="10"/>
  <c r="C40" i="10"/>
  <c r="B40" i="10"/>
  <c r="I39" i="10"/>
  <c r="H39" i="10"/>
  <c r="G39" i="10"/>
  <c r="F39" i="10"/>
  <c r="E39" i="10"/>
  <c r="D39" i="10"/>
  <c r="C39" i="10"/>
  <c r="B39" i="10"/>
  <c r="I38" i="10"/>
  <c r="H38" i="10"/>
  <c r="G38" i="10"/>
  <c r="F38" i="10"/>
  <c r="E38" i="10"/>
  <c r="D38" i="10"/>
  <c r="C38" i="10"/>
  <c r="B38" i="10"/>
  <c r="I37" i="10"/>
  <c r="H37" i="10"/>
  <c r="G37" i="10"/>
  <c r="F37" i="10"/>
  <c r="E37" i="10"/>
  <c r="D37" i="10"/>
  <c r="C37" i="10"/>
  <c r="B37" i="10"/>
  <c r="I36" i="10"/>
  <c r="H36" i="10"/>
  <c r="G36" i="10"/>
  <c r="F36" i="10"/>
  <c r="E36" i="10"/>
  <c r="D36" i="10"/>
  <c r="C36" i="10"/>
  <c r="B36" i="10"/>
  <c r="I35" i="10"/>
  <c r="H35" i="10"/>
  <c r="G35" i="10"/>
  <c r="F35" i="10"/>
  <c r="E35" i="10"/>
  <c r="D35" i="10"/>
  <c r="C35" i="10"/>
  <c r="B35" i="10"/>
  <c r="I34" i="10"/>
  <c r="H34" i="10"/>
  <c r="G34" i="10"/>
  <c r="F34" i="10"/>
  <c r="E34" i="10"/>
  <c r="D34" i="10"/>
  <c r="C34" i="10"/>
  <c r="B34" i="10"/>
  <c r="I33" i="10"/>
  <c r="H33" i="10"/>
  <c r="G33" i="10"/>
  <c r="F33" i="10"/>
  <c r="E33" i="10"/>
  <c r="D33" i="10"/>
  <c r="C33" i="10"/>
  <c r="B33" i="10"/>
  <c r="I32" i="18"/>
  <c r="H32" i="18"/>
  <c r="G32" i="18"/>
  <c r="F32" i="18"/>
  <c r="E32" i="18"/>
  <c r="D32" i="18"/>
  <c r="U52" i="15" l="1"/>
  <c r="U51" i="15"/>
  <c r="M57" i="15"/>
  <c r="M59" i="15"/>
  <c r="M60" i="15"/>
  <c r="B7" i="12" l="1"/>
  <c r="C23" i="20" l="1"/>
  <c r="C22" i="20"/>
  <c r="G23" i="15"/>
  <c r="G22" i="15"/>
  <c r="C21" i="20"/>
  <c r="G21" i="15"/>
  <c r="G19" i="15"/>
  <c r="G17" i="15"/>
  <c r="G18" i="15"/>
  <c r="G20" i="15"/>
  <c r="C20" i="20"/>
  <c r="C19" i="20"/>
  <c r="C18" i="20"/>
  <c r="G16" i="15"/>
  <c r="G15" i="15"/>
  <c r="G13" i="15"/>
  <c r="G11" i="15"/>
  <c r="G10" i="15"/>
  <c r="G9" i="15"/>
  <c r="G14" i="15"/>
  <c r="E11" i="15"/>
  <c r="E10" i="15"/>
  <c r="E12" i="15"/>
  <c r="B11" i="12"/>
  <c r="B10" i="12"/>
  <c r="B9" i="12" l="1"/>
  <c r="B53" i="12" l="1"/>
  <c r="B53" i="14"/>
  <c r="D61" i="15" l="1"/>
  <c r="B69" i="16"/>
  <c r="B68" i="16"/>
  <c r="B67" i="16"/>
  <c r="B66" i="16"/>
  <c r="B65" i="16"/>
  <c r="B64" i="16"/>
  <c r="F47" i="18" l="1"/>
  <c r="F31" i="18"/>
  <c r="F30" i="18"/>
  <c r="F28" i="18"/>
  <c r="F27" i="18"/>
  <c r="F26" i="18"/>
  <c r="F25" i="18"/>
  <c r="F24" i="18"/>
  <c r="F23" i="18"/>
  <c r="F3" i="18"/>
  <c r="F4" i="18"/>
  <c r="F5" i="18"/>
  <c r="F6" i="18"/>
  <c r="F7" i="18"/>
  <c r="F8" i="18"/>
  <c r="F9" i="18"/>
  <c r="F10" i="18"/>
  <c r="F12" i="18"/>
  <c r="F13" i="18"/>
  <c r="F15" i="18"/>
  <c r="F16" i="18"/>
  <c r="F17" i="18"/>
  <c r="F18" i="18"/>
  <c r="F19" i="18"/>
  <c r="F20" i="18"/>
  <c r="F21" i="18"/>
  <c r="F22" i="18"/>
  <c r="F2" i="18"/>
  <c r="B23" i="10"/>
  <c r="B22" i="10"/>
  <c r="B12" i="10"/>
  <c r="E7" i="10"/>
  <c r="D7" i="10"/>
  <c r="D12" i="10"/>
  <c r="D17" i="10"/>
  <c r="E17" i="10"/>
  <c r="D23" i="10"/>
  <c r="D27" i="10"/>
  <c r="E27" i="10"/>
  <c r="F32" i="10"/>
  <c r="F24" i="10"/>
  <c r="F25" i="10"/>
  <c r="F26" i="10"/>
  <c r="F27" i="10"/>
  <c r="F28" i="10"/>
  <c r="F29" i="10"/>
  <c r="F30" i="10"/>
  <c r="F31" i="10"/>
  <c r="F23" i="10"/>
  <c r="F3" i="10"/>
  <c r="F4" i="10"/>
  <c r="F5" i="10"/>
  <c r="F6" i="10"/>
  <c r="F7" i="10"/>
  <c r="F8" i="10"/>
  <c r="F9" i="10"/>
  <c r="F10" i="10"/>
  <c r="F11" i="10"/>
  <c r="F12" i="10"/>
  <c r="F13" i="10"/>
  <c r="F14" i="10"/>
  <c r="F15" i="10"/>
  <c r="F16" i="10"/>
  <c r="F17" i="10"/>
  <c r="F18" i="10"/>
  <c r="F19" i="10"/>
  <c r="F20" i="10"/>
  <c r="F21" i="10"/>
  <c r="F22" i="10"/>
  <c r="F2" i="10"/>
  <c r="M34" i="18" l="1"/>
  <c r="L34" i="18"/>
  <c r="M32" i="18"/>
  <c r="L32" i="18"/>
  <c r="M27" i="18"/>
  <c r="L27" i="18"/>
  <c r="M17" i="18"/>
  <c r="L17" i="18"/>
  <c r="M7" i="18"/>
  <c r="L7" i="18"/>
  <c r="M4" i="18"/>
  <c r="L4" i="18"/>
  <c r="L32" i="10"/>
  <c r="L27" i="10"/>
  <c r="L17" i="10"/>
  <c r="L7" i="10"/>
  <c r="L4" i="10"/>
  <c r="I32" i="10"/>
  <c r="H32" i="10"/>
  <c r="G32" i="10"/>
  <c r="E32" i="10"/>
  <c r="D32" i="10"/>
  <c r="C32" i="10"/>
  <c r="B32" i="10"/>
  <c r="B31" i="10"/>
  <c r="K32" i="10"/>
  <c r="K27" i="10"/>
  <c r="K17" i="10"/>
  <c r="K7" i="10"/>
  <c r="K4" i="10"/>
  <c r="I47" i="18"/>
  <c r="H47" i="18"/>
  <c r="G47" i="18"/>
  <c r="E47" i="18"/>
  <c r="D47" i="18"/>
  <c r="C47" i="18"/>
  <c r="B47" i="18" s="1"/>
  <c r="D3" i="18"/>
  <c r="D4" i="18"/>
  <c r="D5" i="18"/>
  <c r="D6" i="18"/>
  <c r="D7" i="18"/>
  <c r="D8" i="18"/>
  <c r="D9" i="18"/>
  <c r="D10" i="18"/>
  <c r="D12" i="18"/>
  <c r="D13" i="18"/>
  <c r="D15" i="18"/>
  <c r="D16" i="18"/>
  <c r="D17" i="18"/>
  <c r="D18" i="18"/>
  <c r="D19" i="18"/>
  <c r="D20" i="18"/>
  <c r="D21" i="18"/>
  <c r="D22" i="18"/>
  <c r="D23" i="18"/>
  <c r="D24" i="18"/>
  <c r="D25" i="18"/>
  <c r="D26" i="18"/>
  <c r="D27" i="18"/>
  <c r="D28" i="18"/>
  <c r="D30" i="18"/>
  <c r="D31" i="18"/>
  <c r="E3" i="18"/>
  <c r="G3" i="18"/>
  <c r="H3" i="18"/>
  <c r="I3" i="18"/>
  <c r="E4" i="18"/>
  <c r="G4" i="18"/>
  <c r="H4" i="18"/>
  <c r="I4" i="18"/>
  <c r="E5" i="18"/>
  <c r="G5" i="18"/>
  <c r="H5" i="18"/>
  <c r="I5" i="18"/>
  <c r="E6" i="18"/>
  <c r="G6" i="18"/>
  <c r="H6" i="18"/>
  <c r="I6" i="18"/>
  <c r="E7" i="18"/>
  <c r="G7" i="18"/>
  <c r="H7" i="18"/>
  <c r="I7" i="18"/>
  <c r="E8" i="18"/>
  <c r="G8" i="18"/>
  <c r="H8" i="18"/>
  <c r="I8" i="18"/>
  <c r="E9" i="18"/>
  <c r="G9" i="18"/>
  <c r="H9" i="18"/>
  <c r="I9" i="18"/>
  <c r="E10" i="18"/>
  <c r="G10" i="18"/>
  <c r="H10" i="18"/>
  <c r="I10" i="18"/>
  <c r="E12" i="18"/>
  <c r="G12" i="18"/>
  <c r="H12" i="18"/>
  <c r="I12" i="18"/>
  <c r="E13" i="18"/>
  <c r="G13" i="18"/>
  <c r="H13" i="18"/>
  <c r="I13" i="18"/>
  <c r="E15" i="18"/>
  <c r="G15" i="18"/>
  <c r="H15" i="18"/>
  <c r="I15" i="18"/>
  <c r="E16" i="18"/>
  <c r="G16" i="18"/>
  <c r="H16" i="18"/>
  <c r="I16" i="18"/>
  <c r="E17" i="18"/>
  <c r="G17" i="18"/>
  <c r="H17" i="18"/>
  <c r="I17" i="18"/>
  <c r="E18" i="18"/>
  <c r="G18" i="18"/>
  <c r="H18" i="18"/>
  <c r="I18" i="18"/>
  <c r="E19" i="18"/>
  <c r="G19" i="18"/>
  <c r="H19" i="18"/>
  <c r="I19" i="18"/>
  <c r="E20" i="18"/>
  <c r="G20" i="18"/>
  <c r="H20" i="18"/>
  <c r="I20" i="18"/>
  <c r="E21" i="18"/>
  <c r="G21" i="18"/>
  <c r="H21" i="18"/>
  <c r="I21" i="18"/>
  <c r="E22" i="18"/>
  <c r="G22" i="18"/>
  <c r="H22" i="18"/>
  <c r="I22" i="18"/>
  <c r="E23" i="18"/>
  <c r="G23" i="18"/>
  <c r="H23" i="18"/>
  <c r="I23" i="18"/>
  <c r="E24" i="18"/>
  <c r="G24" i="18"/>
  <c r="H24" i="18"/>
  <c r="I24" i="18"/>
  <c r="E25" i="18"/>
  <c r="G25" i="18"/>
  <c r="H25" i="18"/>
  <c r="I25" i="18"/>
  <c r="E26" i="18"/>
  <c r="G26" i="18"/>
  <c r="H26" i="18"/>
  <c r="I26" i="18"/>
  <c r="E27" i="18"/>
  <c r="G27" i="18"/>
  <c r="H27" i="18"/>
  <c r="I27" i="18"/>
  <c r="E28" i="18"/>
  <c r="G28" i="18"/>
  <c r="H28" i="18"/>
  <c r="I28" i="18"/>
  <c r="E30" i="18"/>
  <c r="G30" i="18"/>
  <c r="H30" i="18"/>
  <c r="I30" i="18"/>
  <c r="E31" i="18"/>
  <c r="G31" i="18"/>
  <c r="H31" i="18"/>
  <c r="I31" i="18"/>
  <c r="I2" i="18"/>
  <c r="H2" i="18"/>
  <c r="G2" i="18"/>
  <c r="E2" i="18"/>
  <c r="D2" i="18"/>
  <c r="C12" i="18"/>
  <c r="B12" i="18" s="1"/>
  <c r="C13" i="18"/>
  <c r="B13" i="18" s="1"/>
  <c r="C15" i="18"/>
  <c r="B15" i="18" s="1"/>
  <c r="C16" i="18"/>
  <c r="B16" i="18" s="1"/>
  <c r="C17" i="18"/>
  <c r="B17" i="18" s="1"/>
  <c r="C18" i="18"/>
  <c r="B18" i="18" s="1"/>
  <c r="C19" i="18"/>
  <c r="B19" i="18" s="1"/>
  <c r="C20" i="18"/>
  <c r="B20" i="18" s="1"/>
  <c r="C21" i="18"/>
  <c r="B21" i="18" s="1"/>
  <c r="C22" i="18"/>
  <c r="B22" i="18" s="1"/>
  <c r="C23" i="18"/>
  <c r="B23" i="18" s="1"/>
  <c r="C24" i="18"/>
  <c r="B24" i="18" s="1"/>
  <c r="C25" i="18"/>
  <c r="B25" i="18" s="1"/>
  <c r="C26" i="18"/>
  <c r="B26" i="18" s="1"/>
  <c r="C27" i="18"/>
  <c r="B27" i="18" s="1"/>
  <c r="C28" i="18"/>
  <c r="B28" i="18" s="1"/>
  <c r="C30" i="18"/>
  <c r="B30" i="18" s="1"/>
  <c r="C31" i="18"/>
  <c r="B31" i="18" s="1"/>
  <c r="B11" i="18"/>
  <c r="C10" i="18"/>
  <c r="B10" i="18" s="1"/>
  <c r="C9" i="18"/>
  <c r="B9" i="18"/>
  <c r="C8" i="18"/>
  <c r="B8" i="18" s="1"/>
  <c r="C7" i="18"/>
  <c r="B7" i="18" s="1"/>
  <c r="C6" i="18"/>
  <c r="B6" i="18" s="1"/>
  <c r="C5" i="18"/>
  <c r="B5" i="18" s="1"/>
  <c r="C4" i="18"/>
  <c r="B4" i="18" s="1"/>
  <c r="C3" i="18"/>
  <c r="B3" i="18" s="1"/>
  <c r="C2" i="18"/>
  <c r="B2" i="18" s="1"/>
  <c r="I24" i="10"/>
  <c r="I25" i="10"/>
  <c r="I26" i="10"/>
  <c r="I27" i="10"/>
  <c r="I28" i="10"/>
  <c r="I29" i="10"/>
  <c r="I30" i="10"/>
  <c r="I31" i="10"/>
  <c r="I23" i="10"/>
  <c r="I3" i="10"/>
  <c r="I4" i="10"/>
  <c r="I5" i="10"/>
  <c r="I6" i="10"/>
  <c r="I7" i="10"/>
  <c r="I8" i="10"/>
  <c r="I9" i="10"/>
  <c r="I10" i="10"/>
  <c r="I11" i="10"/>
  <c r="I12" i="10"/>
  <c r="I13" i="10"/>
  <c r="I14" i="10"/>
  <c r="I15" i="10"/>
  <c r="I16" i="10"/>
  <c r="I17" i="10"/>
  <c r="I18" i="10"/>
  <c r="I19" i="10"/>
  <c r="I20" i="10"/>
  <c r="I21" i="10"/>
  <c r="I22" i="10"/>
  <c r="I2" i="10"/>
  <c r="H24" i="10"/>
  <c r="H25" i="10"/>
  <c r="H26" i="10"/>
  <c r="H27" i="10"/>
  <c r="H28" i="10"/>
  <c r="H29" i="10"/>
  <c r="H30" i="10"/>
  <c r="H31" i="10"/>
  <c r="H23" i="10"/>
  <c r="H3" i="10"/>
  <c r="H4" i="10"/>
  <c r="H5" i="10"/>
  <c r="H6" i="10"/>
  <c r="H7" i="10"/>
  <c r="H8" i="10"/>
  <c r="H9" i="10"/>
  <c r="H10" i="10"/>
  <c r="H11" i="10"/>
  <c r="H12" i="10"/>
  <c r="H13" i="10"/>
  <c r="H14" i="10"/>
  <c r="H15" i="10"/>
  <c r="H16" i="10"/>
  <c r="H17" i="10"/>
  <c r="H18" i="10"/>
  <c r="H19" i="10"/>
  <c r="H20" i="10"/>
  <c r="H21" i="10"/>
  <c r="H22" i="10"/>
  <c r="H2" i="10"/>
  <c r="G24" i="10"/>
  <c r="G25" i="10"/>
  <c r="G26" i="10"/>
  <c r="G27" i="10"/>
  <c r="G28" i="10"/>
  <c r="G29" i="10"/>
  <c r="G30" i="10"/>
  <c r="G31" i="10"/>
  <c r="G23" i="10"/>
  <c r="G3" i="10"/>
  <c r="G4" i="10"/>
  <c r="G5" i="10"/>
  <c r="G6" i="10"/>
  <c r="G7" i="10"/>
  <c r="G8" i="10"/>
  <c r="G9" i="10"/>
  <c r="G10" i="10"/>
  <c r="G11" i="10"/>
  <c r="G12" i="10"/>
  <c r="G13" i="10"/>
  <c r="G14" i="10"/>
  <c r="G15" i="10"/>
  <c r="G16" i="10"/>
  <c r="G17" i="10"/>
  <c r="G18" i="10"/>
  <c r="G19" i="10"/>
  <c r="G20" i="10"/>
  <c r="G21" i="10"/>
  <c r="G22" i="10"/>
  <c r="G2" i="10"/>
  <c r="E31" i="10"/>
  <c r="E30" i="10"/>
  <c r="E29" i="10"/>
  <c r="E28" i="10"/>
  <c r="E26" i="10"/>
  <c r="E25" i="10"/>
  <c r="E24" i="10"/>
  <c r="E23" i="10"/>
  <c r="E3" i="10"/>
  <c r="E4" i="10"/>
  <c r="E5" i="10"/>
  <c r="E6" i="10"/>
  <c r="E8" i="10"/>
  <c r="E9" i="10"/>
  <c r="E10" i="10"/>
  <c r="E11" i="10"/>
  <c r="E12" i="10"/>
  <c r="E13" i="10"/>
  <c r="E14" i="10"/>
  <c r="E15" i="10"/>
  <c r="E16" i="10"/>
  <c r="E18" i="10"/>
  <c r="E19" i="10"/>
  <c r="E20" i="10"/>
  <c r="E21" i="10"/>
  <c r="E22" i="10"/>
  <c r="E2" i="10"/>
  <c r="C24" i="10"/>
  <c r="B24" i="10" s="1"/>
  <c r="B25" i="10"/>
  <c r="C25" i="10"/>
  <c r="B26" i="10"/>
  <c r="C26" i="10"/>
  <c r="C27" i="10"/>
  <c r="B27" i="10" s="1"/>
  <c r="C28" i="10"/>
  <c r="B28" i="10" s="1"/>
  <c r="B29" i="10"/>
  <c r="C29" i="10"/>
  <c r="B30" i="10"/>
  <c r="C30" i="10"/>
  <c r="C31" i="10"/>
  <c r="C23" i="10"/>
  <c r="C3" i="10"/>
  <c r="B3" i="10" s="1"/>
  <c r="C4" i="10"/>
  <c r="B4" i="10" s="1"/>
  <c r="B5" i="10"/>
  <c r="C5" i="10"/>
  <c r="C6" i="10"/>
  <c r="B6" i="10" s="1"/>
  <c r="B7" i="10"/>
  <c r="C7" i="10"/>
  <c r="B8" i="10"/>
  <c r="C8" i="10"/>
  <c r="B9" i="10"/>
  <c r="C9" i="10"/>
  <c r="C10" i="10"/>
  <c r="B10" i="10" s="1"/>
  <c r="B11" i="10"/>
  <c r="C11" i="10"/>
  <c r="C12" i="10"/>
  <c r="B13" i="10"/>
  <c r="C13" i="10"/>
  <c r="C14" i="10"/>
  <c r="B14" i="10" s="1"/>
  <c r="B15" i="10"/>
  <c r="C15" i="10"/>
  <c r="B16" i="10"/>
  <c r="C16" i="10"/>
  <c r="B17" i="10"/>
  <c r="C17" i="10"/>
  <c r="C18" i="10"/>
  <c r="B18" i="10" s="1"/>
  <c r="B19" i="10"/>
  <c r="C19" i="10"/>
  <c r="B20" i="10"/>
  <c r="C20" i="10"/>
  <c r="B21" i="10"/>
  <c r="C21" i="10"/>
  <c r="C22" i="10"/>
  <c r="B2" i="10"/>
  <c r="C2" i="10"/>
  <c r="D31" i="10"/>
  <c r="D30" i="10"/>
  <c r="D29" i="10"/>
  <c r="D28" i="10"/>
  <c r="D26" i="10"/>
  <c r="D25" i="10"/>
  <c r="D24" i="10"/>
  <c r="D3" i="10"/>
  <c r="D4" i="10"/>
  <c r="D5" i="10"/>
  <c r="D6" i="10"/>
  <c r="D8" i="10"/>
  <c r="D9" i="10"/>
  <c r="D10" i="10"/>
  <c r="D11" i="10"/>
  <c r="D13" i="10"/>
  <c r="D14" i="10"/>
  <c r="D15" i="10"/>
  <c r="D16" i="10"/>
  <c r="D18" i="10"/>
  <c r="D19" i="10"/>
  <c r="D20" i="10"/>
  <c r="D21" i="10"/>
  <c r="D22" i="10"/>
  <c r="D2" i="10"/>
  <c r="B60" i="12"/>
  <c r="B63" i="12"/>
  <c r="B64" i="12"/>
  <c r="B65" i="12"/>
  <c r="B14" i="12"/>
  <c r="B67" i="17" l="1"/>
  <c r="B66" i="17" s="1"/>
  <c r="B65" i="17" s="1"/>
  <c r="B64" i="17" s="1"/>
  <c r="B63" i="17" s="1"/>
  <c r="B69" i="17"/>
  <c r="D23" i="17"/>
  <c r="V60" i="15"/>
  <c r="V59" i="15"/>
  <c r="V57" i="15"/>
  <c r="L50" i="15"/>
  <c r="M50" i="15"/>
  <c r="L49" i="15"/>
  <c r="M49" i="15"/>
  <c r="L48" i="15"/>
  <c r="M48" i="15"/>
  <c r="M47" i="15"/>
  <c r="C62" i="13"/>
  <c r="C61" i="13"/>
  <c r="C57" i="13"/>
  <c r="C54" i="13"/>
  <c r="C50" i="13"/>
  <c r="C47" i="13"/>
  <c r="B51" i="12"/>
  <c r="C50" i="12"/>
  <c r="C49" i="12"/>
  <c r="C48"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50CD7841-F48D-4C33-B59A-A4B65F2D48DC}">
      <text>
        <r>
          <rPr>
            <sz val="9"/>
            <color indexed="81"/>
            <rFont val="Tahoma"/>
            <family val="2"/>
          </rPr>
          <t>Verband
Fenster+Fassade, EU 27 market for windows, 2013.
In: VHK, ift Rosenheim and VITO, LOT 32. Ecodesign of Window Products. Task 2: Market Analysis, 2015, p. 13.</t>
        </r>
      </text>
    </comment>
    <comment ref="C1" authorId="0" shapeId="0" xr:uid="{77AF28ED-ADBB-4981-87CA-A3236BBA4C68}">
      <text>
        <r>
          <rPr>
            <sz val="9"/>
            <color indexed="81"/>
            <rFont val="Tahoma"/>
            <family val="2"/>
          </rPr>
          <t>Verre, vol. 2, n° 3, mai-juin 1996</t>
        </r>
      </text>
    </comment>
    <comment ref="D1" authorId="0" shapeId="0" xr:uid="{BAD270C5-3F9D-4DA9-B9C5-67101CAC6C34}">
      <text>
        <r>
          <rPr>
            <sz val="9"/>
            <color indexed="81"/>
            <rFont val="Tahoma"/>
            <family val="2"/>
          </rPr>
          <t>Verre, vol. 2, n° 3, mai-juin 1996</t>
        </r>
      </text>
    </comment>
    <comment ref="E1" authorId="0" shapeId="0" xr:uid="{73F4E5BC-B225-4E3A-AC82-D9B67B829BEE}">
      <text>
        <r>
          <rPr>
            <sz val="9"/>
            <color indexed="81"/>
            <rFont val="Tahoma"/>
            <family val="2"/>
          </rPr>
          <t>Verre, vol. 2, n° 3, mai-juin 1996</t>
        </r>
      </text>
    </comment>
    <comment ref="B68" authorId="0" shapeId="0" xr:uid="{3061925A-39FF-46D4-94D0-1217DF8120BB}">
      <text>
        <r>
          <rPr>
            <sz val="9"/>
            <color indexed="81"/>
            <rFont val="Tahoma"/>
            <family val="2"/>
          </rPr>
          <t>&gt; 434 million units of window measuring 1.3*1.3 m² with 1.2*1.2 glazing.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9" authorId="0" shapeId="0" xr:uid="{827EA86A-671E-4259-B3A5-FD310CEC7880}">
      <text>
        <r>
          <rPr>
            <sz val="9"/>
            <color indexed="81"/>
            <rFont val="Tahoma"/>
            <family val="2"/>
          </rPr>
          <t>Annuaire statistique de la France, 1953, Institut National de la Statistique et des Études Économiques, Paris, 1954. p. 158</t>
        </r>
      </text>
    </comment>
    <comment ref="D9" authorId="0" shapeId="0" xr:uid="{F77EF4EB-F7F2-48F5-97CC-BE6D2BCDF254}">
      <text>
        <r>
          <rPr>
            <sz val="9"/>
            <color indexed="81"/>
            <rFont val="Tahoma"/>
            <family val="2"/>
          </rPr>
          <t>Annuaire statistique de la France, 1953, Institut National de la Statistique et des Études Économiques, Paris, 1954. p. 158</t>
        </r>
      </text>
    </comment>
    <comment ref="E9" authorId="0" shapeId="0" xr:uid="{F201BC98-BD1A-4E8C-8A5E-82E47EDD023E}">
      <text>
        <r>
          <rPr>
            <sz val="9"/>
            <color indexed="81"/>
            <rFont val="Tahoma"/>
            <family val="2"/>
          </rPr>
          <t>Annuaire statistique de la France, 1953, Institut National de la Statistique et des Études Économiques, Paris, 1954. p. 158</t>
        </r>
      </text>
    </comment>
    <comment ref="F9" authorId="0" shapeId="0" xr:uid="{CD1BDB9A-03A9-4B6E-ACA4-92523FF2ADEA}">
      <text>
        <r>
          <rPr>
            <sz val="9"/>
            <color indexed="81"/>
            <rFont val="Tahoma"/>
            <family val="2"/>
          </rPr>
          <t>Annuaire statistique de la France, 1953, Institut National de la Statistique et des Études Économiques, Paris, 1954. p. 158</t>
        </r>
      </text>
    </comment>
    <comment ref="B10" authorId="0" shapeId="0" xr:uid="{DC6E448D-CF94-4A55-9A5E-022B022E74D9}">
      <text>
        <r>
          <rPr>
            <sz val="9"/>
            <color indexed="81"/>
            <rFont val="Tahoma"/>
            <family val="2"/>
          </rPr>
          <t>Annuaire statistique de la France, 1953, Institut National de la Statistique et des Études Économiques, Paris, 1954. p. 158</t>
        </r>
      </text>
    </comment>
    <comment ref="C10" authorId="0" shapeId="0" xr:uid="{43F72576-098A-4DBA-A3AB-AE5316755810}">
      <text>
        <r>
          <rPr>
            <sz val="9"/>
            <color indexed="81"/>
            <rFont val="Tahoma"/>
            <family val="2"/>
          </rPr>
          <t>Annuaire statistique de la France, 1953, Institut National de la Statistique et des Études Économiques, Paris, 1954. p. 158</t>
        </r>
      </text>
    </comment>
    <comment ref="D10" authorId="0" shapeId="0" xr:uid="{D8AC6871-2983-4580-BFC4-2C76989E1F75}">
      <text>
        <r>
          <rPr>
            <sz val="9"/>
            <color indexed="81"/>
            <rFont val="Tahoma"/>
            <family val="2"/>
          </rPr>
          <t>Annuaire statistique de la France, 1953, Institut National de la Statistique et des Études Économiques, Paris, 1954. p. 158</t>
        </r>
      </text>
    </comment>
    <comment ref="E10" authorId="0" shapeId="0" xr:uid="{0902DA14-FD47-4F2E-9B7B-E88821C3551D}">
      <text>
        <r>
          <rPr>
            <sz val="9"/>
            <color indexed="81"/>
            <rFont val="Tahoma"/>
            <family val="2"/>
          </rPr>
          <t>Annuaire statistique de la France, 1953, Institut National de la Statistique et des Études Économiques, Paris, 1954. p. 158</t>
        </r>
      </text>
    </comment>
    <comment ref="F10" authorId="0" shapeId="0" xr:uid="{6C3DF693-68AF-4DB3-8590-384BD23D8345}">
      <text>
        <r>
          <rPr>
            <sz val="9"/>
            <color indexed="81"/>
            <rFont val="Tahoma"/>
            <family val="2"/>
          </rPr>
          <t>Annuaire statistique de la France, 1953, Institut National de la Statistique et des Études Économiques, Paris, 1954. p. 158</t>
        </r>
      </text>
    </comment>
    <comment ref="G10" authorId="0" shapeId="0" xr:uid="{62DAA806-C289-4280-BF59-C1818646D796}">
      <text>
        <r>
          <rPr>
            <sz val="9"/>
            <color indexed="81"/>
            <rFont val="Tahoma"/>
            <family val="2"/>
          </rPr>
          <t>Annuaire statistique de la France, 1953, Institut National de la Statistique et des Études Économiques, Paris, 1954. p. 158</t>
        </r>
      </text>
    </comment>
    <comment ref="H10" authorId="0" shapeId="0" xr:uid="{CAAC4D6E-FA41-45FF-AB57-27C444DEE8F9}">
      <text>
        <r>
          <rPr>
            <sz val="9"/>
            <color indexed="81"/>
            <rFont val="Tahoma"/>
            <family val="2"/>
          </rPr>
          <t>Annuaire statistique de la France, 1953, Institut National de la Statistique et des Études Économiques, Paris, 1954. p. 158</t>
        </r>
      </text>
    </comment>
    <comment ref="I10" authorId="0" shapeId="0" xr:uid="{2F17B338-01A3-4BFE-91E4-8C2F10C18910}">
      <text>
        <r>
          <rPr>
            <sz val="9"/>
            <color indexed="81"/>
            <rFont val="Tahoma"/>
            <family val="2"/>
          </rPr>
          <t>Annuaire statistique de la France, 1953, Institut National de la Statistique et des Études Économiques, Paris, 1954. p. 158</t>
        </r>
      </text>
    </comment>
    <comment ref="J10" authorId="0" shapeId="0" xr:uid="{8771B1ED-E334-4EE6-9592-5031DD550ADC}">
      <text>
        <r>
          <rPr>
            <sz val="9"/>
            <color indexed="81"/>
            <rFont val="Tahoma"/>
            <family val="2"/>
          </rPr>
          <t>Annuaire statistique de la France, 1953, Institut National de la Statistique et des Études Économiques, Paris, 1954. p. 158</t>
        </r>
      </text>
    </comment>
    <comment ref="B11" authorId="0" shapeId="0" xr:uid="{D2DF16C4-5BEE-44A1-A903-C12E67B06F8A}">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C11" authorId="0" shapeId="0" xr:uid="{75FE055F-D730-4842-A1FB-A1D894223829}">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D11" authorId="0" shapeId="0" xr:uid="{C1A670A0-7F39-43A4-AB6A-ACF178566D80}">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E11" authorId="0" shapeId="0" xr:uid="{28BCBC37-32AE-456F-B3F7-1CA6D95102D5}">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F11" authorId="0" shapeId="0" xr:uid="{6723040F-57AA-4BD2-B44E-B967D61B9D0A}">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B12" authorId="0" shapeId="0" xr:uid="{951129A8-EC31-4CD1-ADA9-9E87FC71F525}">
      <text>
        <r>
          <rPr>
            <sz val="9"/>
            <color indexed="81"/>
            <rFont val="Tahoma"/>
            <family val="2"/>
          </rPr>
          <t>Annuaire statistique de la France, 1955, Institut National de la Statistique et des Études Économiques, Paris, 1956. p. 165-6</t>
        </r>
      </text>
    </comment>
    <comment ref="C12" authorId="0" shapeId="0" xr:uid="{0C801AD4-950A-4650-BBD5-4F5F1F17A36C}">
      <text>
        <r>
          <rPr>
            <sz val="9"/>
            <color indexed="81"/>
            <rFont val="Tahoma"/>
            <family val="2"/>
          </rPr>
          <t>Annuaire statistique de la France, 1955, Institut National de la Statistique et des Études Économiques, Paris, 1956. p. 165-6</t>
        </r>
      </text>
    </comment>
    <comment ref="D12" authorId="0" shapeId="0" xr:uid="{E59ED37F-6D2E-47EF-8563-467A48253014}">
      <text>
        <r>
          <rPr>
            <sz val="9"/>
            <color indexed="81"/>
            <rFont val="Tahoma"/>
            <family val="2"/>
          </rPr>
          <t>Annuaire statistique de la France, 1955, Institut National de la Statistique et des Études Économiques, Paris, 1956. p. 165-6</t>
        </r>
      </text>
    </comment>
    <comment ref="E12" authorId="0" shapeId="0" xr:uid="{6D9A2FF0-8F81-44A0-AC4E-A823C8140EC5}">
      <text>
        <r>
          <rPr>
            <sz val="9"/>
            <color indexed="81"/>
            <rFont val="Tahoma"/>
            <family val="2"/>
          </rPr>
          <t>Annuaire statistique de la France, 1955, Institut National de la Statistique et des Études Économiques, Paris, 1956. p. 165-6</t>
        </r>
      </text>
    </comment>
    <comment ref="F12" authorId="0" shapeId="0" xr:uid="{09D12805-6A97-46CD-9733-09FCE064998F}">
      <text>
        <r>
          <rPr>
            <sz val="9"/>
            <color indexed="81"/>
            <rFont val="Tahoma"/>
            <family val="2"/>
          </rPr>
          <t>Annuaire statistique de la France, 1955, Institut National de la Statistique et des Études Économiques, Paris, 1956. p. 165-6</t>
        </r>
      </text>
    </comment>
    <comment ref="B13" authorId="0" shapeId="0" xr:uid="{E26B7EBF-D2EF-4D9D-B255-8798A7EF6FC0}">
      <text>
        <r>
          <rPr>
            <sz val="9"/>
            <color indexed="81"/>
            <rFont val="Tahoma"/>
            <family val="2"/>
          </rPr>
          <t>Annuaire statistique de la France, 1957, Institut National de la Statistique et des Études Économiques, Paris, 1958. p. 147-8</t>
        </r>
      </text>
    </comment>
    <comment ref="C13" authorId="0" shapeId="0" xr:uid="{04747D79-2BD4-49B5-BFAD-322DB816451E}">
      <text>
        <r>
          <rPr>
            <sz val="9"/>
            <color indexed="81"/>
            <rFont val="Tahoma"/>
            <family val="2"/>
          </rPr>
          <t>Annuaire statistique de la France, 1957, Institut National de la Statistique et des Études Économiques, Paris, 1958. p. 147-8</t>
        </r>
      </text>
    </comment>
    <comment ref="D13" authorId="0" shapeId="0" xr:uid="{2A25AD6E-7B3C-459A-BF9B-2732AEE818AC}">
      <text>
        <r>
          <rPr>
            <sz val="9"/>
            <color indexed="81"/>
            <rFont val="Tahoma"/>
            <family val="2"/>
          </rPr>
          <t>Annuaire statistique de la France, 1957, Institut National de la Statistique et des Études Économiques, Paris, 1958. p. 147-8</t>
        </r>
      </text>
    </comment>
    <comment ref="E13" authorId="0" shapeId="0" xr:uid="{5DFD1DC0-75F7-404C-B56B-89052C4818A4}">
      <text>
        <r>
          <rPr>
            <sz val="9"/>
            <color indexed="81"/>
            <rFont val="Tahoma"/>
            <family val="2"/>
          </rPr>
          <t>Annuaire statistique de la France, 1957, Institut National de la Statistique et des Études Économiques, Paris, 1958. p. 147-8</t>
        </r>
      </text>
    </comment>
    <comment ref="F13" authorId="0" shapeId="0" xr:uid="{206AB3BB-9975-48E9-A96A-C117D0D220F7}">
      <text>
        <r>
          <rPr>
            <sz val="9"/>
            <color indexed="81"/>
            <rFont val="Tahoma"/>
            <family val="2"/>
          </rPr>
          <t>Annuaire statistique de la France, 1957, Institut National de la Statistique et des Études Économiques, Paris, 1958. p. 147-8</t>
        </r>
      </text>
    </comment>
    <comment ref="B14" authorId="0" shapeId="0" xr:uid="{45803F31-E308-48A2-8C3A-62C43C53312B}">
      <text>
        <r>
          <rPr>
            <sz val="9"/>
            <color indexed="81"/>
            <rFont val="Tahoma"/>
            <family val="2"/>
          </rPr>
          <t>Annuaire statistique de la France, 1958, Institut National de la Statistique et des Études Économiques, Paris, 1959. p. 158-9</t>
        </r>
      </text>
    </comment>
    <comment ref="C14" authorId="0" shapeId="0" xr:uid="{F88FB28E-94EF-495D-AFC5-2463426BF5FE}">
      <text>
        <r>
          <rPr>
            <sz val="9"/>
            <color indexed="81"/>
            <rFont val="Tahoma"/>
            <family val="2"/>
          </rPr>
          <t>Annuaire statistique de la France, 1958, Institut National de la Statistique et des Études Économiques, Paris, 1959. p. 158-9</t>
        </r>
      </text>
    </comment>
    <comment ref="D14" authorId="0" shapeId="0" xr:uid="{2FDEB4D7-FE65-4342-A3F7-332A973CFC95}">
      <text>
        <r>
          <rPr>
            <sz val="9"/>
            <color indexed="81"/>
            <rFont val="Tahoma"/>
            <family val="2"/>
          </rPr>
          <t>Annuaire statistique de la France, 1958, Institut National de la Statistique et des Études Économiques, Paris, 1959. p. 158-9</t>
        </r>
      </text>
    </comment>
    <comment ref="E14" authorId="0" shapeId="0" xr:uid="{8C630ED5-ED40-40F3-BC38-D617B60BC908}">
      <text>
        <r>
          <rPr>
            <sz val="9"/>
            <color indexed="81"/>
            <rFont val="Tahoma"/>
            <family val="2"/>
          </rPr>
          <t>Annuaire statistique de la France, 1958, Institut National de la Statistique et des Études Économiques, Paris, 1959. p. 158-9</t>
        </r>
      </text>
    </comment>
    <comment ref="F14" authorId="0" shapeId="0" xr:uid="{031787CA-37BC-4B45-8397-D3BD48997CA9}">
      <text>
        <r>
          <rPr>
            <sz val="9"/>
            <color indexed="81"/>
            <rFont val="Tahoma"/>
            <family val="2"/>
          </rPr>
          <t>Annuaire statistique de la France, 1958, Institut National de la Statistique et des Études Économiques, Paris, 1959. p. 158-9</t>
        </r>
      </text>
    </comment>
    <comment ref="B15" authorId="0" shapeId="0" xr:uid="{72430268-C536-4452-87E1-FFB074CFCFBD}">
      <text>
        <r>
          <rPr>
            <sz val="9"/>
            <color indexed="81"/>
            <rFont val="Tahoma"/>
            <family val="2"/>
          </rPr>
          <t>Annuaire statistique de la France, 1959, Institut National de la Statistique et des Études Économiques, Paris, 1960. p. 158-9</t>
        </r>
      </text>
    </comment>
    <comment ref="C15" authorId="0" shapeId="0" xr:uid="{7EA63039-5A3D-43D0-9AED-944340300FAF}">
      <text>
        <r>
          <rPr>
            <sz val="9"/>
            <color indexed="81"/>
            <rFont val="Tahoma"/>
            <family val="2"/>
          </rPr>
          <t>Annuaire statistique de la France, 1959, Institut National de la Statistique et des Études Économiques, Paris, 1960. p. 158-9</t>
        </r>
      </text>
    </comment>
    <comment ref="D15" authorId="0" shapeId="0" xr:uid="{59EA7BBA-59C9-47E1-8F45-7ACBE8B8F5FC}">
      <text>
        <r>
          <rPr>
            <sz val="9"/>
            <color indexed="81"/>
            <rFont val="Tahoma"/>
            <family val="2"/>
          </rPr>
          <t>Annuaire statistique de la France, 1959, Institut National de la Statistique et des Études Économiques, Paris, 1960. p. 158-9</t>
        </r>
      </text>
    </comment>
    <comment ref="E15" authorId="0" shapeId="0" xr:uid="{8C9D1963-9A82-4F54-95EF-A8281702A411}">
      <text>
        <r>
          <rPr>
            <sz val="9"/>
            <color indexed="81"/>
            <rFont val="Tahoma"/>
            <family val="2"/>
          </rPr>
          <t>Annuaire statistique de la France, 1959, Institut National de la Statistique et des Études Économiques, Paris, 1960. p. 158-9</t>
        </r>
      </text>
    </comment>
    <comment ref="F15" authorId="0" shapeId="0" xr:uid="{13EB0019-DEB0-4D54-BDFF-24A528E32753}">
      <text>
        <r>
          <rPr>
            <sz val="9"/>
            <color indexed="81"/>
            <rFont val="Tahoma"/>
            <family val="2"/>
          </rPr>
          <t>Annuaire statistique de la France, 1959, Institut National de la Statistique et des Études Économiques, Paris, 1960. p. 158-9</t>
        </r>
      </text>
    </comment>
    <comment ref="B16" authorId="0" shapeId="0" xr:uid="{9D278C33-6645-4270-8CAF-B87ED72B3416}">
      <text>
        <r>
          <rPr>
            <sz val="9"/>
            <color indexed="81"/>
            <rFont val="Tahoma"/>
            <family val="2"/>
          </rPr>
          <t>Annuaire statistique de la France, 1961, Institut National de la Statistique et des Études Économiques, Paris, 1962. p. 213-4</t>
        </r>
      </text>
    </comment>
    <comment ref="C16" authorId="0" shapeId="0" xr:uid="{07F630F2-8951-4470-B1CF-BFDFA6A932E8}">
      <text>
        <r>
          <rPr>
            <sz val="9"/>
            <color indexed="81"/>
            <rFont val="Tahoma"/>
            <family val="2"/>
          </rPr>
          <t>Annuaire statistique de la France, 1961, Institut National de la Statistique et des Études Économiques, Paris, 1962. p. 213-4</t>
        </r>
      </text>
    </comment>
    <comment ref="D16" authorId="0" shapeId="0" xr:uid="{166AECAA-86D0-4FE3-ABD3-BEA32FD95775}">
      <text>
        <r>
          <rPr>
            <sz val="9"/>
            <color indexed="81"/>
            <rFont val="Tahoma"/>
            <family val="2"/>
          </rPr>
          <t>Annuaire statistique de la France, 1961, Institut National de la Statistique et des Études Économiques, Paris, 1962. p. 213-4</t>
        </r>
      </text>
    </comment>
    <comment ref="E16" authorId="0" shapeId="0" xr:uid="{623FC675-EE86-40A0-AAC1-8070874ABCCC}">
      <text>
        <r>
          <rPr>
            <sz val="9"/>
            <color indexed="81"/>
            <rFont val="Tahoma"/>
            <family val="2"/>
          </rPr>
          <t>Annuaire statistique de la France, 1961, Institut National de la Statistique et des Études Économiques, Paris, 1962. p. 213-4</t>
        </r>
      </text>
    </comment>
    <comment ref="F16" authorId="0" shapeId="0" xr:uid="{9C7AB8EE-7791-4705-9857-E3BA31A05185}">
      <text>
        <r>
          <rPr>
            <sz val="9"/>
            <color indexed="81"/>
            <rFont val="Tahoma"/>
            <family val="2"/>
          </rPr>
          <t>Annuaire statistique de la France, 1961, Institut National de la Statistique et des Études Économiques, Paris, 1962. p. 213-4</t>
        </r>
      </text>
    </comment>
    <comment ref="B17" authorId="0" shapeId="0" xr:uid="{E2E8561C-E4EE-4F1E-9615-72F979463FB6}">
      <text>
        <r>
          <rPr>
            <sz val="9"/>
            <color indexed="81"/>
            <rFont val="Tahoma"/>
            <family val="2"/>
          </rPr>
          <t>Annuaire statistique de la France, 1961, Institut National de la Statistique et des Études Économiques, Paris, 1962. p. 213-4</t>
        </r>
      </text>
    </comment>
    <comment ref="D17" authorId="0" shapeId="0" xr:uid="{441A8941-2810-4331-A8E1-77B352916CD7}">
      <text>
        <r>
          <rPr>
            <sz val="9"/>
            <color indexed="81"/>
            <rFont val="Tahoma"/>
            <family val="2"/>
          </rPr>
          <t>Annuaire statistique de la France, 1961, Institut National de la Statistique et des Études Économiques, Paris, 1962. p. 213-4</t>
        </r>
      </text>
    </comment>
    <comment ref="E17" authorId="0" shapeId="0" xr:uid="{1BA9E2E9-ECA6-4BD8-A519-F93622338684}">
      <text>
        <r>
          <rPr>
            <sz val="9"/>
            <color indexed="81"/>
            <rFont val="Tahoma"/>
            <family val="2"/>
          </rPr>
          <t>Annuaire statistique de la France, 1961, Institut National de la Statistique et des Études Économiques, Paris, 1962. p. 213-4</t>
        </r>
      </text>
    </comment>
    <comment ref="F17" authorId="0" shapeId="0" xr:uid="{2945578B-CDB8-4167-9F36-8832F832F0AC}">
      <text>
        <r>
          <rPr>
            <sz val="9"/>
            <color indexed="81"/>
            <rFont val="Tahoma"/>
            <family val="2"/>
          </rPr>
          <t>Annuaire statistique de la France, 1961, Institut National de la Statistique et des Études Économiques, Paris, 1962. p. 213-4</t>
        </r>
      </text>
    </comment>
    <comment ref="B18" authorId="0" shapeId="0" xr:uid="{B89C21DC-C440-4A75-9EED-F1EC050FBAB0}">
      <text>
        <r>
          <rPr>
            <sz val="9"/>
            <color indexed="81"/>
            <rFont val="Tahoma"/>
            <family val="2"/>
          </rPr>
          <t>Annuaire statistique de la France, 1962, Institut National de la Statistique et des Études Économiques, Paris, 1963. p. 176-7</t>
        </r>
      </text>
    </comment>
    <comment ref="C18" authorId="0" shapeId="0" xr:uid="{A080153D-7842-421A-A6F1-AF3D3AA219F7}">
      <text>
        <r>
          <rPr>
            <b/>
            <sz val="9"/>
            <color indexed="81"/>
            <rFont val="Tahoma"/>
            <family val="2"/>
          </rPr>
          <t xml:space="preserve">Change of unit: in "million de thermie" and not in "million de m³. Result in a drop of the consumption. 
 </t>
        </r>
        <r>
          <rPr>
            <sz val="9"/>
            <color indexed="81"/>
            <rFont val="Tahoma"/>
            <family val="2"/>
          </rPr>
          <t xml:space="preserve">
Annuaire statistique de la France, 1962, Institut National de la Statistique et des Études Économiques, Paris, 1963. p. 176-7</t>
        </r>
      </text>
    </comment>
    <comment ref="D18" authorId="0" shapeId="0" xr:uid="{DE9BECEE-3B96-4F61-BCCA-FDC99562D6CE}">
      <text>
        <r>
          <rPr>
            <sz val="9"/>
            <color indexed="81"/>
            <rFont val="Tahoma"/>
            <family val="2"/>
          </rPr>
          <t>Annuaire statistique de la France, 1962, Institut National de la Statistique et des Études Économiques, Paris, 1963. p. 176-7</t>
        </r>
      </text>
    </comment>
    <comment ref="E18" authorId="0" shapeId="0" xr:uid="{BD8A3892-F158-4FAC-BEA3-EE344970CA9F}">
      <text>
        <r>
          <rPr>
            <sz val="9"/>
            <color indexed="81"/>
            <rFont val="Tahoma"/>
            <family val="2"/>
          </rPr>
          <t>Annuaire statistique de la France, 1962, Institut National de la Statistique et des Études Économiques, Paris, 1963. p. 176-7</t>
        </r>
      </text>
    </comment>
    <comment ref="F18" authorId="0" shapeId="0" xr:uid="{32864407-8BA8-4334-B705-E9FF1520CA92}">
      <text>
        <r>
          <rPr>
            <sz val="9"/>
            <color indexed="81"/>
            <rFont val="Tahoma"/>
            <family val="2"/>
          </rPr>
          <t>Annuaire statistique de la France, 1962, Institut National de la Statistique et des Études Économiques, Paris, 1963. p. 176-7</t>
        </r>
      </text>
    </comment>
    <comment ref="B19" authorId="0" shapeId="0" xr:uid="{457CB7F5-486F-4E56-B7A2-E3F8141D2B0B}">
      <text>
        <r>
          <rPr>
            <sz val="9"/>
            <color indexed="81"/>
            <rFont val="Tahoma"/>
            <family val="2"/>
          </rPr>
          <t>Annuaire statistique de la France, 1963, Institut National de la Statistique et des Études Économiques, Paris, 1964. p. 185-6</t>
        </r>
      </text>
    </comment>
    <comment ref="C19" authorId="0" shapeId="0" xr:uid="{1EF96582-8D7D-47C1-B467-78366F74F135}">
      <text>
        <r>
          <rPr>
            <sz val="9"/>
            <color indexed="81"/>
            <rFont val="Tahoma"/>
            <family val="2"/>
          </rPr>
          <t>Annuaire statistique de la France, 1963, Institut National de la Statistique et des Études Économiques, Paris, 1964. p. 185-6</t>
        </r>
      </text>
    </comment>
    <comment ref="D19" authorId="0" shapeId="0" xr:uid="{6A94F3D0-DE37-4D48-8D4D-20800C0C214E}">
      <text>
        <r>
          <rPr>
            <sz val="9"/>
            <color indexed="81"/>
            <rFont val="Tahoma"/>
            <family val="2"/>
          </rPr>
          <t>Annuaire statistique de la France, 1963, Institut National de la Statistique et des Études Économiques, Paris, 1964. p. 185-6</t>
        </r>
      </text>
    </comment>
    <comment ref="E19" authorId="0" shapeId="0" xr:uid="{E4E74C04-76FD-4414-B8A2-759F0FBD0376}">
      <text>
        <r>
          <rPr>
            <sz val="9"/>
            <color indexed="81"/>
            <rFont val="Tahoma"/>
            <family val="2"/>
          </rPr>
          <t>Annuaire statistique de la France, 1963, Institut National de la Statistique et des Études Économiques, Paris, 1964. p. 185-6</t>
        </r>
      </text>
    </comment>
    <comment ref="F19" authorId="0" shapeId="0" xr:uid="{89060FD9-FF6D-424A-98F4-B1D5684B852E}">
      <text>
        <r>
          <rPr>
            <sz val="9"/>
            <color indexed="81"/>
            <rFont val="Tahoma"/>
            <family val="2"/>
          </rPr>
          <t>Annuaire statistique de la France, 1963, Institut National de la Statistique et des Études Économiques, Paris, 1964. p. 185-6</t>
        </r>
      </text>
    </comment>
    <comment ref="B20" authorId="0" shapeId="0" xr:uid="{13E54C0B-59A0-473D-BEAC-8384C19E7F1E}">
      <text>
        <r>
          <rPr>
            <sz val="9"/>
            <color indexed="81"/>
            <rFont val="Tahoma"/>
            <family val="2"/>
          </rPr>
          <t>Annuaire statistique de la France, 1964, Institut National de la Statistique et des Études Économiques, Paris, 1965. p. 230</t>
        </r>
      </text>
    </comment>
    <comment ref="C20" authorId="0" shapeId="0" xr:uid="{8591814D-33DF-44B9-B63C-8123B4F6FCAB}">
      <text>
        <r>
          <rPr>
            <sz val="9"/>
            <color indexed="81"/>
            <rFont val="Tahoma"/>
            <family val="2"/>
          </rPr>
          <t>Annuaire statistique de la France, 1964, Institut National de la Statistique et des Études Économiques, Paris, 1965. p. 230</t>
        </r>
      </text>
    </comment>
    <comment ref="D20" authorId="0" shapeId="0" xr:uid="{323CCB82-3A08-44E9-AB5F-3067DFE97A95}">
      <text>
        <r>
          <rPr>
            <sz val="9"/>
            <color indexed="81"/>
            <rFont val="Tahoma"/>
            <family val="2"/>
          </rPr>
          <t>Annuaire statistique de la France, 1964, Institut National de la Statistique et des Études Économiques, Paris, 1965. p. 230</t>
        </r>
      </text>
    </comment>
    <comment ref="E20" authorId="0" shapeId="0" xr:uid="{D9039364-7EBF-4AC7-858B-3F7621DE10BB}">
      <text>
        <r>
          <rPr>
            <sz val="9"/>
            <color indexed="81"/>
            <rFont val="Tahoma"/>
            <family val="2"/>
          </rPr>
          <t>Annuaire statistique de la France, 1964, Institut National de la Statistique et des Études Économiques, Paris, 1965. p. 230</t>
        </r>
      </text>
    </comment>
    <comment ref="F20" authorId="0" shapeId="0" xr:uid="{8FE1B195-B446-49A4-9337-9A6E57FF2BE5}">
      <text>
        <r>
          <rPr>
            <sz val="9"/>
            <color indexed="81"/>
            <rFont val="Tahoma"/>
            <family val="2"/>
          </rPr>
          <t>Annuaire statistique de la France, 1964, Institut National de la Statistique et des Études Économiques, Paris, 1965. p. 230</t>
        </r>
      </text>
    </comment>
    <comment ref="B21" authorId="0" shapeId="0" xr:uid="{A286B426-C511-4407-A005-EAAEC9EB9B2D}">
      <text>
        <r>
          <rPr>
            <sz val="9"/>
            <color indexed="81"/>
            <rFont val="Tahoma"/>
            <family val="2"/>
          </rPr>
          <t>Annuaire statistique de la France, 1965, Institut National de la Statistique et des Études Économiques, Paris, 1966. p. 266</t>
        </r>
      </text>
    </comment>
    <comment ref="C21" authorId="0" shapeId="0" xr:uid="{2ACCA6D3-960A-4743-B798-BC8818D4DCC3}">
      <text>
        <r>
          <rPr>
            <sz val="9"/>
            <color indexed="81"/>
            <rFont val="Tahoma"/>
            <family val="2"/>
          </rPr>
          <t>Annuaire statistique de la France, 1965, Institut National de la Statistique et des Études Économiques, Paris, 1966. p. 266</t>
        </r>
      </text>
    </comment>
    <comment ref="D21" authorId="0" shapeId="0" xr:uid="{D810649F-0232-43B2-9B51-F1E199F497A3}">
      <text>
        <r>
          <rPr>
            <sz val="9"/>
            <color indexed="81"/>
            <rFont val="Tahoma"/>
            <family val="2"/>
          </rPr>
          <t>Annuaire statistique de la France, 1965, Institut National de la Statistique et des Études Économiques, Paris, 1966. p. 266</t>
        </r>
      </text>
    </comment>
    <comment ref="E21" authorId="0" shapeId="0" xr:uid="{7C20DFB7-93A3-4C57-8F5A-CE26EDA37D7E}">
      <text>
        <r>
          <rPr>
            <sz val="9"/>
            <color indexed="81"/>
            <rFont val="Tahoma"/>
            <family val="2"/>
          </rPr>
          <t>Annuaire statistique de la France, 1965, Institut National de la Statistique et des Études Économiques, Paris, 1966. p. 266</t>
        </r>
      </text>
    </comment>
    <comment ref="F21" authorId="0" shapeId="0" xr:uid="{514C7745-BE82-4C54-A370-0980CB1E5AB6}">
      <text>
        <r>
          <rPr>
            <sz val="9"/>
            <color indexed="81"/>
            <rFont val="Tahoma"/>
            <family val="2"/>
          </rPr>
          <t>Annuaire statistique de la France, 1965, Institut National de la Statistique et des Études Économiques, Paris, 1966. p. 266</t>
        </r>
      </text>
    </comment>
    <comment ref="B22" authorId="0" shapeId="0" xr:uid="{2F93BCB8-5BE6-47B4-AA3D-4EF5E69FEAF4}">
      <text>
        <r>
          <rPr>
            <sz val="9"/>
            <color indexed="81"/>
            <rFont val="Tahoma"/>
            <family val="2"/>
          </rPr>
          <t>Annuaire statistique de la France, 1967, Institut National de la Statistique et des Études Économiques, Paris, 1968. p. 372</t>
        </r>
      </text>
    </comment>
    <comment ref="C22" authorId="0" shapeId="0" xr:uid="{6C54672F-3B34-4DFA-B22B-DC48E52923D9}">
      <text>
        <r>
          <rPr>
            <sz val="9"/>
            <color indexed="81"/>
            <rFont val="Tahoma"/>
            <family val="2"/>
          </rPr>
          <t>Annuaire statistique de la France, 1967, Institut National de la Statistique et des Études Économiques, Paris, 1968. p. 372</t>
        </r>
      </text>
    </comment>
    <comment ref="D22" authorId="0" shapeId="0" xr:uid="{9D431DC4-F100-4466-AA3D-5826E02242C2}">
      <text>
        <r>
          <rPr>
            <sz val="9"/>
            <color indexed="81"/>
            <rFont val="Tahoma"/>
            <family val="2"/>
          </rPr>
          <t>Annuaire statistique de la France, 1967, Institut National de la Statistique et des Études Économiques, Paris, 1968. p. 372</t>
        </r>
      </text>
    </comment>
    <comment ref="E22" authorId="0" shapeId="0" xr:uid="{58D61568-7FAB-441E-AF69-5553620F7342}">
      <text>
        <r>
          <rPr>
            <sz val="9"/>
            <color indexed="81"/>
            <rFont val="Tahoma"/>
            <family val="2"/>
          </rPr>
          <t>Annuaire statistique de la France, 1967, Institut National de la Statistique et des Études Économiques, Paris, 1968. p. 372</t>
        </r>
      </text>
    </comment>
    <comment ref="F22" authorId="0" shapeId="0" xr:uid="{EAE8214F-F2EE-4049-A970-37326E2AA87A}">
      <text>
        <r>
          <rPr>
            <sz val="9"/>
            <color indexed="81"/>
            <rFont val="Tahoma"/>
            <family val="2"/>
          </rPr>
          <t>Annuaire statistique de la France, 1967, Institut National de la Statistique et des Études Économiques, Paris, 1968. p. 372</t>
        </r>
      </text>
    </comment>
    <comment ref="B23" authorId="0" shapeId="0" xr:uid="{E5DB3EE7-C0FF-4EED-B0DB-3B2900930CA4}">
      <text>
        <r>
          <rPr>
            <sz val="9"/>
            <color indexed="81"/>
            <rFont val="Tahoma"/>
            <family val="2"/>
          </rPr>
          <t>Annuaire statistique de la France, 1967, Institut National de la Statistique et des Études Économiques, Paris, 1968. p. 372</t>
        </r>
      </text>
    </comment>
    <comment ref="C23" authorId="0" shapeId="0" xr:uid="{8BA29DAA-0D15-4464-AC00-F5D95DA74936}">
      <text>
        <r>
          <rPr>
            <sz val="9"/>
            <color indexed="81"/>
            <rFont val="Tahoma"/>
            <family val="2"/>
          </rPr>
          <t>Annuaire statistique de la France, 1967, Institut National de la Statistique et des Études Économiques, Paris, 1968. p. 372</t>
        </r>
      </text>
    </comment>
    <comment ref="D23" authorId="0" shapeId="0" xr:uid="{AA330928-747A-44F0-8404-D8AF7558D691}">
      <text>
        <r>
          <rPr>
            <sz val="9"/>
            <color indexed="81"/>
            <rFont val="Tahoma"/>
            <family val="2"/>
          </rPr>
          <t>Annuaire statistique de la France, 1967, Institut National de la Statistique et des Études Économiques, Paris, 1968. p. 372</t>
        </r>
      </text>
    </comment>
    <comment ref="E23" authorId="0" shapeId="0" xr:uid="{0302091A-F33C-4206-B94A-821BC6631211}">
      <text>
        <r>
          <rPr>
            <sz val="9"/>
            <color indexed="81"/>
            <rFont val="Tahoma"/>
            <family val="2"/>
          </rPr>
          <t>Annuaire statistique de la France, 1967, Institut National de la Statistique et des Études Économiques, Paris, 1968. p. 372</t>
        </r>
      </text>
    </comment>
    <comment ref="F23" authorId="0" shapeId="0" xr:uid="{2A6899FE-674F-4947-9377-DA2B6712BC46}">
      <text>
        <r>
          <rPr>
            <sz val="9"/>
            <color indexed="81"/>
            <rFont val="Tahoma"/>
            <family val="2"/>
          </rPr>
          <t>Annuaire statistique de la France, 1967, Institut National de la Statistique et des Études Économiques, Paris, 1968. p. 372</t>
        </r>
      </text>
    </comment>
    <comment ref="C25" authorId="0" shapeId="0" xr:uid="{241F2985-5E51-4B2E-8F78-0414990B0B6C}">
      <text>
        <r>
          <rPr>
            <sz val="9"/>
            <color indexed="81"/>
            <rFont val="Tahoma"/>
            <family val="2"/>
          </rPr>
          <t>Industries du verre, CNPF and INSEE, 1971, Monographies de l'industrie et du commerce en France, n° 1</t>
        </r>
      </text>
    </comment>
    <comment ref="D25" authorId="0" shapeId="0" xr:uid="{A4F5836C-466E-4B50-A00F-2C2454DC2402}">
      <text>
        <r>
          <rPr>
            <sz val="9"/>
            <color indexed="81"/>
            <rFont val="Tahoma"/>
            <family val="2"/>
          </rPr>
          <t>Industries du verre, CNPF and INSEE, 1971, Monographies de l'industrie et du commerce en France, n° 1</t>
        </r>
      </text>
    </comment>
    <comment ref="E25" authorId="0" shapeId="0" xr:uid="{BC54B30B-30F9-4012-B2CA-F9F3E1E31A9E}">
      <text>
        <r>
          <rPr>
            <sz val="9"/>
            <color indexed="81"/>
            <rFont val="Tahoma"/>
            <family val="2"/>
          </rPr>
          <t>Industries du verre, CNPF and INSEE, 1971, Monographies de l'industrie et du commerce en France, n° 1</t>
        </r>
      </text>
    </comment>
    <comment ref="F25" authorId="0" shapeId="0" xr:uid="{7626B0C6-7C13-4F7B-8B05-5E9DE8062EE6}">
      <text>
        <r>
          <rPr>
            <sz val="9"/>
            <color indexed="81"/>
            <rFont val="Tahoma"/>
            <family val="2"/>
          </rPr>
          <t>Industries du verre, CNPF and INSEE, 1971, Monographies de l'industrie et du commerce en France, n° 1</t>
        </r>
      </text>
    </comment>
    <comment ref="B35" authorId="0" shapeId="0" xr:uid="{27AFFC21-BD43-4A8C-A768-C86F59D38CA7}">
      <text>
        <r>
          <rPr>
            <sz val="9"/>
            <color indexed="81"/>
            <rFont val="Tahoma"/>
            <family val="2"/>
          </rPr>
          <t>Annuaire statistique de la France, 1978, Institut National de la Statistique et des Études Économiques, Paris, 1979. p. 311-3</t>
        </r>
      </text>
    </comment>
    <comment ref="B51" authorId="0" shapeId="0" xr:uid="{99632E9E-7937-4148-88DC-288DE131D8C6}">
      <text>
        <r>
          <rPr>
            <sz val="9"/>
            <color indexed="81"/>
            <rFont val="Tahoma"/>
            <family val="2"/>
          </rPr>
          <t>Production industrielle: industrie du verre, Service des études et des statistiques.</t>
        </r>
      </text>
    </comment>
    <comment ref="B52" authorId="0" shapeId="0" xr:uid="{25C196CF-03B7-436C-8C73-5A79BF5A3722}">
      <text>
        <r>
          <rPr>
            <sz val="9"/>
            <color indexed="81"/>
            <rFont val="Tahoma"/>
            <family val="2"/>
          </rPr>
          <t>Production industrielle: industrie du verre, Service des études et des statistiques.</t>
        </r>
      </text>
    </comment>
    <comment ref="B53" authorId="0" shapeId="0" xr:uid="{13B92B31-A2E1-408F-B2E5-6DD520E820BE}">
      <text>
        <r>
          <rPr>
            <sz val="9"/>
            <color indexed="81"/>
            <rFont val="Tahoma"/>
            <family val="2"/>
          </rPr>
          <t>Production industrielle: industrie du verre, Service des études et des statistiques.</t>
        </r>
      </text>
    </comment>
    <comment ref="B54" authorId="0" shapeId="0" xr:uid="{18C09A47-BBCB-4472-9C1C-317EC5D7549D}">
      <text>
        <r>
          <rPr>
            <sz val="9"/>
            <color indexed="81"/>
            <rFont val="Tahoma"/>
            <family val="2"/>
          </rPr>
          <t>Production industrielle: industrie du verre, Service des études et des statistiques.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"Lindustrie verrière française en 2006", Verre, vol.13, no. 6, dec 2007, 66-9</t>
        </r>
      </text>
    </comment>
    <comment ref="C1" authorId="0" shapeId="0" xr:uid="{597F6A5A-7447-4F7B-BADA-2B6B58A71BBB}">
      <text>
        <r>
          <rPr>
            <sz val="9"/>
            <color indexed="81"/>
            <rFont val="Tahoma"/>
            <family val="2"/>
          </rPr>
          <t>Unless otherwise indicated in a note attached to the cell, all data collected in this column comes from:
"Lindustrie verrière française en 2006", Verre, vol.13, no. 6, dec 2007, 66-9</t>
        </r>
      </text>
    </comment>
    <comment ref="D54" authorId="0" shapeId="0" xr:uid="{73225865-FA86-4713-8750-5B975B2DBAF6}">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E54" authorId="0" shapeId="0" xr:uid="{17AF246C-A48D-4522-A751-C168CC4EC807}">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F54" authorId="0" shapeId="0" xr:uid="{B45C0F83-F670-4D88-BE26-E43202C41FBB}">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G54" authorId="0" shapeId="0" xr:uid="{6B65437B-E452-4183-90B1-B84B77DF9666}">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H54" authorId="0" shapeId="0" xr:uid="{5DE3C0D8-0872-4863-8D47-F2E37FFBDA2B}">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I54" authorId="0" shapeId="0" xr:uid="{DCAF04BC-D22A-469A-B952-3BAB8D49391A}">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J54" authorId="0" shapeId="0" xr:uid="{A12880B1-71F9-457D-B152-ABF3DFE3C797}">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K54" authorId="0" shapeId="0" xr:uid="{23614C90-9156-462A-8481-2F650D8D5C04}">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40D73D0-FB5A-4375-B750-3A56F8FD1AED}">
      <text>
        <r>
          <rPr>
            <sz val="9"/>
            <color indexed="81"/>
            <rFont val="Tahoma"/>
            <family val="2"/>
          </rPr>
          <t>Unless otherwise indicated in a note attached to the cell, all data collected in this column comes from : Verband
Fenster+Fassade, EU 27 market for windows, 2013.
In: VHK, ift Rosenheim and VITO, LOT 32. Ecodesign of Window Products. Task 2: Market Analysis, 2015, p. 13.</t>
        </r>
      </text>
    </comment>
    <comment ref="B55" authorId="0" shapeId="0" xr:uid="{4653A638-4214-47CC-895D-38367FCB2AC2}">
      <text>
        <r>
          <rPr>
            <i/>
            <sz val="9"/>
            <color indexed="81"/>
            <rFont val="Tahoma"/>
            <family val="2"/>
          </rPr>
          <t>Verre</t>
        </r>
        <r>
          <rPr>
            <sz val="9"/>
            <color indexed="81"/>
            <rFont val="Tahoma"/>
            <family val="2"/>
          </rPr>
          <t>, vol. 6, n° 2, march-april 2000.
19.4 million m², 50% for renovation and 50% for new buildings</t>
        </r>
      </text>
    </comment>
    <comment ref="B57" authorId="0" shapeId="0" xr:uid="{945F0B14-6E6C-4EB0-B213-921F379B6250}">
      <text>
        <r>
          <rPr>
            <sz val="9"/>
            <color indexed="81"/>
            <rFont val="Tahoma"/>
            <family val="2"/>
          </rPr>
          <t>Lindustre française du verre", Verre, vol. 7, n°3, october 2001, p. 24
22 million of square meters, 50% for renovation and 50% for new buildings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75E8BD04-760E-454F-AD99-760686DA96F2}">
      <text>
        <r>
          <rPr>
            <sz val="9"/>
            <color indexed="81"/>
            <rFont val="Tahoma"/>
            <family val="2"/>
          </rPr>
          <t>From 1983 onwards, glass statistics are carried out by the ministère du redéploiement industriel et du commerce extérieur (SESSI) and no longer by INSEE. They are therefore no longer comparable with those of previous years. Includes glass yarns and fibers for textile use.</t>
        </r>
      </text>
    </comment>
    <comment ref="E1" authorId="0" shapeId="0" xr:uid="{84F65559-3FBF-408A-921B-4DCC6E88FB8B}">
      <text>
        <r>
          <rPr>
            <sz val="9"/>
            <color indexed="81"/>
            <rFont val="Tahoma"/>
            <family val="2"/>
          </rPr>
          <t>Unless otherwise indicated in a note attached to the cell, all data collected in this column comes from : 
Boaglio, p. 144-5</t>
        </r>
      </text>
    </comment>
    <comment ref="F1" authorId="0" shapeId="0" xr:uid="{F3960540-EF2E-4C3A-B435-D7B02F95E795}">
      <text>
        <r>
          <rPr>
            <sz val="9"/>
            <color indexed="81"/>
            <rFont val="Tahoma"/>
            <family val="2"/>
          </rPr>
          <t>Unless otherwise indicated in a note attached to the cell, all data collected in this column comes from : 
Boaglio, p. 144-5</t>
        </r>
      </text>
    </comment>
    <comment ref="G1" authorId="0" shapeId="0" xr:uid="{DA3C2B16-3892-45EF-B4F0-B516422B7894}">
      <text>
        <r>
          <rPr>
            <sz val="9"/>
            <color indexed="81"/>
            <rFont val="Tahoma"/>
            <family val="2"/>
          </rPr>
          <t>Unless otherwise indicated in a note attached to the cell, all data collected in this column comes from : 
Boaglio, p. 144-5</t>
        </r>
      </text>
    </comment>
    <comment ref="H1" authorId="0" shapeId="0" xr:uid="{0D598D5A-BA5A-4653-A7B1-F6C08B95DCD7}">
      <text>
        <r>
          <rPr>
            <sz val="9"/>
            <color indexed="81"/>
            <rFont val="Tahoma"/>
            <family val="2"/>
          </rPr>
          <t>Unless otherwise indicated in a note attached to the cell, all data collected in this column comes from : 
Boaglio, p. 144-5</t>
        </r>
      </text>
    </comment>
    <comment ref="I1" authorId="0" shapeId="0" xr:uid="{EAEC846C-4FAD-4676-AA10-41294F348C43}">
      <text>
        <r>
          <rPr>
            <sz val="9"/>
            <color indexed="81"/>
            <rFont val="Tahoma"/>
            <family val="2"/>
          </rPr>
          <t>Unless otherwise indicated in a note attached to the cell, all data collected in this column comes from : 
Boaglio, p. 166</t>
        </r>
      </text>
    </comment>
    <comment ref="J1" authorId="0" shapeId="0" xr:uid="{D2CCEDE9-3A26-441F-9D94-339DCE354FEA}">
      <text>
        <r>
          <rPr>
            <sz val="9"/>
            <color indexed="81"/>
            <rFont val="Tahoma"/>
            <family val="2"/>
          </rPr>
          <t>Unless otherwise indicated in a note attached to the cell, all data collected in this column comes from : 
Boaglio, p. 166</t>
        </r>
      </text>
    </comment>
    <comment ref="K1" authorId="0" shapeId="0" xr:uid="{B16D67CE-B292-42CD-97BB-E21DAE36B063}">
      <text>
        <r>
          <rPr>
            <sz val="9"/>
            <color indexed="81"/>
            <rFont val="Tahoma"/>
            <family val="2"/>
          </rPr>
          <t>Unless otherwise indicated in a note attached to the cell, all data collected in this column comes from : 
Boaglio, p. 166</t>
        </r>
      </text>
    </comment>
    <comment ref="L1" authorId="0" shapeId="0" xr:uid="{AD22153E-AFF2-44FE-B712-BA3CABE1BBCE}">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M1" authorId="0" shapeId="0" xr:uid="{63258877-CC3E-4EE8-997A-905889F368B8}">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N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O1" authorId="0" shapeId="0" xr:uid="{799291B8-7ECA-40FF-A73C-C81A4F34A9D1}">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P1" authorId="0" shapeId="0" xr:uid="{33771686-3A32-4BBE-80C1-1BC56B0A5187}">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Q1" authorId="0" shapeId="0" xr:uid="{AC52ABF8-FB36-466D-9A4E-25C18EB1617D}">
      <text>
        <r>
          <rPr>
            <sz val="9"/>
            <color indexed="81"/>
            <rFont val="Tahoma"/>
            <family val="2"/>
          </rPr>
          <t xml:space="preserve">Unless otherwise indicated in a note attached to the cell, all data collected in this column comes from:
PRODCOM, Eurostat, 2020
Code: 23111217 
Label: Non-wired sheets, of float, surface ground or polished glass, having an absorbent or reflecting layer, not otherwise worked, of a thickness &gt; 3,5 mm </t>
        </r>
      </text>
    </comment>
    <comment ref="R1" authorId="0" shapeId="0" xr:uid="{3A978A1E-D9F3-464A-A385-151011247A33}">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S1" authorId="0" shapeId="0" xr:uid="{5BCB078E-1CE1-4AFE-AF2E-A182A3CB59F1}">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T1" authorId="0" shapeId="0" xr:uid="{CF2E33E8-0BB2-47C3-BB81-A39D568EE9AC}">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U1" authorId="0" shapeId="0" xr:uid="{ECA8D584-C30F-4A80-BD05-98BAE2A56B49}">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V1" authorId="0" shapeId="0" xr:uid="{C926E2E7-62FE-4BF3-B33C-F7F65D0CFBD7}">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B2" authorId="0" shapeId="0" xr:uid="{4A8B703C-4ABF-4758-B271-D35D24A1ABCF}">
      <text>
        <r>
          <rPr>
            <sz val="9"/>
            <color indexed="81"/>
            <rFont val="Tahoma"/>
            <family val="2"/>
          </rPr>
          <t>Annuaire statistique de la France. Rétrospectif, Institut National de la Statistique et des Études Économiques, Paris, 1961. p. 145</t>
        </r>
      </text>
    </comment>
    <comment ref="B3" authorId="0" shapeId="0" xr:uid="{77ACE305-EADD-4332-BC26-F11B1835BCF0}">
      <text>
        <r>
          <rPr>
            <sz val="9"/>
            <color indexed="81"/>
            <rFont val="Tahoma"/>
            <family val="2"/>
          </rPr>
          <t>Annuaire statistique de la France. Rétrospectif, Institut National de la Statistique et des Études Économiques, Paris, 1961. p. 145</t>
        </r>
      </text>
    </comment>
    <comment ref="B4" authorId="0" shapeId="0" xr:uid="{0DC3D7B3-8C5D-4D4E-A953-7A949848FA2A}">
      <text>
        <r>
          <rPr>
            <sz val="9"/>
            <color indexed="81"/>
            <rFont val="Tahoma"/>
            <family val="2"/>
          </rPr>
          <t>Annuaire statistique de la France. Rétrospectif, Institut National de la Statistique et des Études Économiques, Paris, 1961. p. 145</t>
        </r>
      </text>
    </comment>
    <comment ref="D4" authorId="0" shapeId="0" xr:uid="{B319E186-9275-461A-81DE-C5E2D710136D}">
      <text>
        <r>
          <rPr>
            <sz val="9"/>
            <color indexed="81"/>
            <rFont val="Tahoma"/>
            <family val="2"/>
          </rPr>
          <t>L'industrie du verre, Fédération des chambres syndicales de l'industrie du verre, 1954, p.96</t>
        </r>
      </text>
    </comment>
    <comment ref="B5" authorId="0" shapeId="0" xr:uid="{D0F0A926-45AD-4F46-A281-09B0ADE2742B}">
      <text>
        <r>
          <rPr>
            <sz val="9"/>
            <color indexed="81"/>
            <rFont val="Tahoma"/>
            <family val="2"/>
          </rPr>
          <t>Annuaire statistique de la France. Rétrospectif, Institut National de la Statistique et des Études Économiques, Paris, 1961. p. 145</t>
        </r>
      </text>
    </comment>
    <comment ref="B6" authorId="0" shapeId="0" xr:uid="{32E26F3C-BF9D-4C48-A410-1E77BDB5951C}">
      <text>
        <r>
          <rPr>
            <sz val="9"/>
            <color indexed="81"/>
            <rFont val="Tahoma"/>
            <family val="2"/>
          </rPr>
          <t>Annuaire statistique de la France. Rétrospectif, Institut National de la Statistique et des Études Économiques, Paris, 1961. p. 145</t>
        </r>
      </text>
    </comment>
    <comment ref="B7" authorId="0" shapeId="0" xr:uid="{D0CA7749-D0D9-4480-8B48-E43F4C59F6C9}">
      <text>
        <r>
          <rPr>
            <sz val="9"/>
            <color indexed="81"/>
            <rFont val="Tahoma"/>
            <family val="2"/>
          </rPr>
          <t>Annuaire statistique de la France. Rétrospectif, Institut National de la Statistique et des Études Économiques, Paris, 1961. p. 145</t>
        </r>
      </text>
    </comment>
    <comment ref="H7" authorId="0" shapeId="0" xr:uid="{7E997057-D121-4152-8A33-3F7E928F2AFF}">
      <text>
        <r>
          <rPr>
            <sz val="9"/>
            <color indexed="81"/>
            <rFont val="Tahoma"/>
            <family val="2"/>
          </rPr>
          <t>L'industrie du verre, Fédération des chambres syndicales de l'industrie du verre, 1954, p.39</t>
        </r>
      </text>
    </comment>
    <comment ref="J7" authorId="0" shapeId="0" xr:uid="{AFD212C6-563A-4D98-B6DD-879A9EC3EB8C}">
      <text>
        <r>
          <rPr>
            <sz val="9"/>
            <color indexed="81"/>
            <rFont val="Tahoma"/>
            <family val="2"/>
          </rPr>
          <t>L'industrie du verre, Fédération des chambres syndicales de l'industrie du verre, 1954, p.39</t>
        </r>
      </text>
    </comment>
    <comment ref="K7" authorId="0" shapeId="0" xr:uid="{BF09010B-6EF9-4391-8944-274B839D64BD}">
      <text>
        <r>
          <rPr>
            <sz val="9"/>
            <color indexed="81"/>
            <rFont val="Tahoma"/>
            <family val="2"/>
          </rPr>
          <t>L'industrie du verre, Fédération des chambres syndicales de l'industrie du verre, 1954, p.39</t>
        </r>
      </text>
    </comment>
    <comment ref="B8" authorId="0" shapeId="0" xr:uid="{C6EE857C-14B8-400B-9345-AA37B55F4460}">
      <text>
        <r>
          <rPr>
            <sz val="9"/>
            <color indexed="81"/>
            <rFont val="Tahoma"/>
            <family val="2"/>
          </rPr>
          <t>Annuaire statistique de la France. Rétrospectif, Institut National de la Statistique et des Études Économiques, Paris, 1961. p. 145</t>
        </r>
      </text>
    </comment>
    <comment ref="H8" authorId="0" shapeId="0" xr:uid="{9A966A45-318B-4373-A578-2CCEECC5725B}">
      <text>
        <r>
          <rPr>
            <sz val="9"/>
            <color indexed="81"/>
            <rFont val="Tahoma"/>
            <family val="2"/>
          </rPr>
          <t>L'industrie du verre, Fédération des chambres syndicales de l'industrie du verre, 1954, p.39</t>
        </r>
      </text>
    </comment>
    <comment ref="J8" authorId="0" shapeId="0" xr:uid="{C92F7886-57AC-4FAE-90C6-D46030201D5F}">
      <text>
        <r>
          <rPr>
            <sz val="9"/>
            <color indexed="81"/>
            <rFont val="Tahoma"/>
            <family val="2"/>
          </rPr>
          <t>L'industrie du verre, Fédération des chambres syndicales de l'industrie du verre, 1954, p.39</t>
        </r>
      </text>
    </comment>
    <comment ref="K8" authorId="0" shapeId="0" xr:uid="{A0D9D7B3-AD61-4EDC-ADF9-CD7D7BE82538}">
      <text>
        <r>
          <rPr>
            <sz val="9"/>
            <color indexed="81"/>
            <rFont val="Tahoma"/>
            <family val="2"/>
          </rPr>
          <t>L'industrie du verre, Fédération des chambres syndicales de l'industrie du verre, 1954, p.39</t>
        </r>
      </text>
    </comment>
    <comment ref="B9" authorId="0" shapeId="0" xr:uid="{2EDFC272-31D9-4C60-ABE9-87124BEE2BC9}">
      <text>
        <r>
          <rPr>
            <sz val="9"/>
            <color indexed="81"/>
            <rFont val="Tahoma"/>
            <family val="2"/>
          </rPr>
          <t>Annuaire statistique de la France, 1953, Institut National de la Statistique et des Études Économiques, Paris, 1954. p. 156-9</t>
        </r>
      </text>
    </comment>
    <comment ref="D9" authorId="0" shapeId="0" xr:uid="{EBB9D692-4923-4214-9874-766BC3384EAB}">
      <text>
        <r>
          <rPr>
            <sz val="9"/>
            <color indexed="81"/>
            <rFont val="Tahoma"/>
            <family val="2"/>
          </rPr>
          <t>Annuaire statistique de la France, 1953, Institut National de la Statistique et des Études Économiques, Paris, 1954. p. 156-9</t>
        </r>
      </text>
    </comment>
    <comment ref="E9" authorId="0" shapeId="0" xr:uid="{4D368F62-462A-42DB-B54B-2B18AC8A1668}">
      <text>
        <r>
          <rPr>
            <sz val="9"/>
            <color indexed="81"/>
            <rFont val="Tahoma"/>
            <family val="2"/>
          </rPr>
          <t>Annuaire statistique de la France, 1953, Institut National de la Statistique et des Études Économiques, Paris, 1954. p. 156-9</t>
        </r>
      </text>
    </comment>
    <comment ref="F9" authorId="0" shapeId="0" xr:uid="{2559094F-AF31-4F5E-A6F0-36F931563232}">
      <text>
        <r>
          <rPr>
            <sz val="9"/>
            <color indexed="81"/>
            <rFont val="Tahoma"/>
            <family val="2"/>
          </rPr>
          <t>Annuaire statistique de la France, 1953, Institut National de la Statistique et des Études Économiques, Paris, 1954. p. 156-9</t>
        </r>
      </text>
    </comment>
    <comment ref="G9" authorId="0" shapeId="0" xr:uid="{38799B93-7253-49DD-81E4-362AE77214B5}">
      <text>
        <r>
          <rPr>
            <sz val="9"/>
            <color indexed="81"/>
            <rFont val="Tahoma"/>
            <family val="2"/>
          </rPr>
          <t>800 = for automotive
See: Annuaire statistique de la France, 1957, Institut National de la Statistique et des Études Économiques, Paris, 1958. p. 137</t>
        </r>
      </text>
    </comment>
    <comment ref="H9" authorId="0" shapeId="0" xr:uid="{EF5D5772-6230-4561-B6C5-71CD80A25010}">
      <text>
        <r>
          <rPr>
            <sz val="9"/>
            <color indexed="81"/>
            <rFont val="Tahoma"/>
            <family val="2"/>
          </rPr>
          <t>Annuaire statistique de la France, 1953, Institut National de la Statistique et des Études Économiques, Paris, 1954. p. 156-9</t>
        </r>
      </text>
    </comment>
    <comment ref="J9" authorId="0" shapeId="0" xr:uid="{0A7972E7-E47B-43DF-96FC-D8DF546B80B2}">
      <text>
        <r>
          <rPr>
            <sz val="9"/>
            <color indexed="81"/>
            <rFont val="Tahoma"/>
            <family val="2"/>
          </rPr>
          <t>Annuaire statistique de la France, 1953, Institut National de la Statistique et des Études Économiques, Paris, 1954. p. 156-9</t>
        </r>
      </text>
    </comment>
    <comment ref="K9" authorId="0" shapeId="0" xr:uid="{1E8672AE-9087-4DA6-AA19-35F0393AC967}">
      <text>
        <r>
          <rPr>
            <sz val="9"/>
            <color indexed="81"/>
            <rFont val="Tahoma"/>
            <family val="2"/>
          </rPr>
          <t>Annuaire statistique de la France, 1953, Institut National de la Statistique et des Études Économiques, Paris, 1954. p. 156-9</t>
        </r>
      </text>
    </comment>
    <comment ref="B10" authorId="0" shapeId="0" xr:uid="{C50F584F-9075-4A94-9922-2AEB846C78DC}">
      <text>
        <r>
          <rPr>
            <sz val="9"/>
            <color indexed="81"/>
            <rFont val="Tahoma"/>
            <family val="2"/>
          </rPr>
          <t>Annuaire statistique de la France, 1953, Institut National de la Statistique et des Études Économiques, Paris, 1954. p. 156-9</t>
        </r>
      </text>
    </comment>
    <comment ref="E10" authorId="0" shapeId="0" xr:uid="{6473094A-E0C4-454A-900C-8E3E8B3F5250}">
      <text>
        <r>
          <rPr>
            <sz val="9"/>
            <color indexed="81"/>
            <rFont val="Tahoma"/>
            <family val="2"/>
          </rPr>
          <t>Annuaire statistique de la France, 1953, Institut National de la Statistique et des Études Économiques, Paris, 1954. p. 156-9</t>
        </r>
      </text>
    </comment>
    <comment ref="F10" authorId="0" shapeId="0" xr:uid="{8976685D-8B6B-4C0B-8A55-F4722F2A4783}">
      <text>
        <r>
          <rPr>
            <sz val="9"/>
            <color indexed="81"/>
            <rFont val="Tahoma"/>
            <family val="2"/>
          </rPr>
          <t>Annuaire statistique de la France, 1953, Institut National de la Statistique et des Études Économiques, Paris, 1954. p. 156-9</t>
        </r>
      </text>
    </comment>
    <comment ref="G10" authorId="0" shapeId="0" xr:uid="{C6E4050B-8482-410C-814C-999778A124E1}">
      <text>
        <r>
          <rPr>
            <sz val="9"/>
            <color indexed="81"/>
            <rFont val="Tahoma"/>
            <family val="2"/>
          </rPr>
          <t>820 = for automotive
See: Annuaire statistique de la France, 1957, Institut National de la Statistique et des Études Économiques, Paris, 1958. p. 137</t>
        </r>
      </text>
    </comment>
    <comment ref="H10" authorId="0" shapeId="0" xr:uid="{42002089-E4DF-4182-A31B-8FCE1C94E530}">
      <text>
        <r>
          <rPr>
            <sz val="9"/>
            <color indexed="81"/>
            <rFont val="Tahoma"/>
            <family val="2"/>
          </rPr>
          <t>Annuaire statistique de la France, 1953, Institut National de la Statistique et des Études Économiques, Paris, 1954. p. 156-9</t>
        </r>
      </text>
    </comment>
    <comment ref="J10" authorId="0" shapeId="0" xr:uid="{3821DC5F-F599-44C6-ACAF-3E27FA00B82D}">
      <text>
        <r>
          <rPr>
            <sz val="9"/>
            <color indexed="81"/>
            <rFont val="Tahoma"/>
            <family val="2"/>
          </rPr>
          <t>Annuaire statistique de la France, 1953, Institut National de la Statistique et des Études Économiques, Paris, 1954. p. 156-9</t>
        </r>
      </text>
    </comment>
    <comment ref="K10" authorId="0" shapeId="0" xr:uid="{DC529555-A6E3-4E51-AB2D-832533269304}">
      <text>
        <r>
          <rPr>
            <sz val="9"/>
            <color indexed="81"/>
            <rFont val="Tahoma"/>
            <family val="2"/>
          </rPr>
          <t>Annuaire statistique de la France, 1953, Institut National de la Statistique et des Études Économiques, Paris, 1954. p. 156-9</t>
        </r>
      </text>
    </comment>
    <comment ref="B11" authorId="0" shapeId="0" xr:uid="{050BC052-3D65-402B-AFE4-0D1E39A6E5B7}">
      <text>
        <r>
          <rPr>
            <sz val="9"/>
            <color indexed="81"/>
            <rFont val="Tahoma"/>
            <family val="2"/>
          </rPr>
          <t>Annuaire statistique de la France, 1956, Institut National de la Statistique et des Études Économiques, Paris, 1957. p. 165-6</t>
        </r>
      </text>
    </comment>
    <comment ref="E11" authorId="0" shapeId="0" xr:uid="{CC3C20DE-5FD1-4255-A1AA-08D6277F5589}">
      <text>
        <r>
          <rPr>
            <sz val="9"/>
            <color indexed="81"/>
            <rFont val="Tahoma"/>
            <family val="2"/>
          </rPr>
          <t>Annuaire statistique de la France, 1954, Institut National de la Statistique et des Études Économiques, Paris, 1955. p. 132-3</t>
        </r>
      </text>
    </comment>
    <comment ref="F11" authorId="0" shapeId="0" xr:uid="{60CDB4C8-9DAA-4EAB-B5F5-80815B1D6A7E}">
      <text>
        <r>
          <rPr>
            <sz val="9"/>
            <color indexed="81"/>
            <rFont val="Tahoma"/>
            <family val="2"/>
          </rPr>
          <t>Annuaire statistique de la France, 1954, Institut National de la Statistique et des Études Économiques, Paris, 1955. p. 132-3</t>
        </r>
      </text>
    </comment>
    <comment ref="G11" authorId="0" shapeId="0" xr:uid="{D031F271-B7AA-4C66-B95C-6DCF8420BE1C}">
      <text>
        <r>
          <rPr>
            <sz val="9"/>
            <color indexed="81"/>
            <rFont val="Tahoma"/>
            <family val="2"/>
          </rPr>
          <t>1000 = for automotive
See: Annuaire statistique de la France, 1957, Institut National de la Statistique et des Études Économiques, Paris, 1958. p. 137</t>
        </r>
      </text>
    </comment>
    <comment ref="H11" authorId="0" shapeId="0" xr:uid="{C9BE838C-59F6-4F32-B2A1-695EEC70C15D}">
      <text>
        <r>
          <rPr>
            <sz val="9"/>
            <color indexed="81"/>
            <rFont val="Tahoma"/>
            <family val="2"/>
          </rPr>
          <t>Annuaire statistique de la France, 1954, Institut National de la Statistique et des Études Économiques, Paris, 1955. p. 132-3</t>
        </r>
      </text>
    </comment>
    <comment ref="J11" authorId="0" shapeId="0" xr:uid="{2B678E5F-6FF9-4D5B-A93F-151421382499}">
      <text>
        <r>
          <rPr>
            <sz val="9"/>
            <color indexed="81"/>
            <rFont val="Tahoma"/>
            <family val="2"/>
          </rPr>
          <t>Annuaire statistique de la France, 1954, Institut National de la Statistique et des Études Économiques, Paris, 1955. p. 132-3</t>
        </r>
      </text>
    </comment>
    <comment ref="K11" authorId="0" shapeId="0" xr:uid="{D7D7E024-6D33-4EC1-8CE5-B4D9A13F8DCD}">
      <text>
        <r>
          <rPr>
            <sz val="9"/>
            <color indexed="81"/>
            <rFont val="Tahoma"/>
            <family val="2"/>
          </rPr>
          <t>Annuaire statistique de la France, 1954, Institut National de la Statistique et des Études Économiques, Paris, 1955. p. 132-3</t>
        </r>
      </text>
    </comment>
    <comment ref="B12" authorId="0" shapeId="0" xr:uid="{FEB8C5DA-23E6-414B-8D49-CBDC0CB175C3}">
      <text>
        <r>
          <rPr>
            <sz val="9"/>
            <color indexed="81"/>
            <rFont val="Tahoma"/>
            <family val="2"/>
          </rPr>
          <t>Annuaire statistique de la France, 1957, Institut National de la Statistique et des Études Économiques, Paris, 1958. p. 147-8</t>
        </r>
      </text>
    </comment>
    <comment ref="E12" authorId="0" shapeId="0" xr:uid="{A92CCBFC-3B6B-4927-90AD-A50D1D9EA615}">
      <text>
        <r>
          <rPr>
            <sz val="9"/>
            <color indexed="81"/>
            <rFont val="Tahoma"/>
            <family val="2"/>
          </rPr>
          <t>Annuaire statistique de la France, 1956, Institut National de la Statistique et des Études Économiques, Paris, 1957. p. 165-6</t>
        </r>
      </text>
    </comment>
    <comment ref="F12" authorId="0" shapeId="0" xr:uid="{5973CB1E-F335-4CEC-8524-E0AF375E52CF}">
      <text>
        <r>
          <rPr>
            <sz val="9"/>
            <color indexed="81"/>
            <rFont val="Tahoma"/>
            <family val="2"/>
          </rPr>
          <t>Annuaire statistique de la France, 1956, Institut National de la Statistique et des Études Économiques, Paris, 1957. p. 165-6</t>
        </r>
      </text>
    </comment>
    <comment ref="H12" authorId="0" shapeId="0" xr:uid="{7D97A9DE-79FC-4646-B96D-33AA13627AAF}">
      <text>
        <r>
          <rPr>
            <sz val="9"/>
            <color indexed="81"/>
            <rFont val="Tahoma"/>
            <family val="2"/>
          </rPr>
          <t>Annuaire statistique de la France, 1956, Institut National de la Statistique et des Études Économiques, Paris, 1957. p. 165-6</t>
        </r>
      </text>
    </comment>
    <comment ref="J12" authorId="0" shapeId="0" xr:uid="{91EB56A3-3E12-42C2-B2B8-23ADB58A3ED5}">
      <text>
        <r>
          <rPr>
            <sz val="9"/>
            <color indexed="81"/>
            <rFont val="Tahoma"/>
            <family val="2"/>
          </rPr>
          <t>Annuaire statistique de la France, 1956, Institut National de la Statistique et des Études Économiques, Paris, 1957. p. 165-6</t>
        </r>
      </text>
    </comment>
    <comment ref="K12" authorId="0" shapeId="0" xr:uid="{33E103DD-2E29-41C2-8ACC-FF00F48BBBB5}">
      <text>
        <r>
          <rPr>
            <sz val="9"/>
            <color indexed="81"/>
            <rFont val="Tahoma"/>
            <family val="2"/>
          </rPr>
          <t>Annuaire statistique de la France, 1956, Institut National de la Statistique et des Études Économiques, Paris, 1957. p. 165-6</t>
        </r>
      </text>
    </comment>
    <comment ref="B13" authorId="0" shapeId="0" xr:uid="{368842F0-ED59-4817-948F-1082363453AD}">
      <text>
        <r>
          <rPr>
            <sz val="9"/>
            <color indexed="81"/>
            <rFont val="Tahoma"/>
            <family val="2"/>
          </rPr>
          <t>Annuaire statistique de la France, 1957, Institut National de la Statistique et des Études Économiques, Paris, 1958. p. 147-8</t>
        </r>
      </text>
    </comment>
    <comment ref="E13" authorId="0" shapeId="0" xr:uid="{B7481281-933E-40DA-9CB4-4BB7F68FCF6D}">
      <text>
        <r>
          <rPr>
            <sz val="9"/>
            <color indexed="81"/>
            <rFont val="Tahoma"/>
            <family val="2"/>
          </rPr>
          <t>Annuaire statistique de la France, 1957, Institut National de la Statistique et des Études Économiques, Paris, 1958. p. 147-8</t>
        </r>
      </text>
    </comment>
    <comment ref="F13" authorId="0" shapeId="0" xr:uid="{4D1EC2D0-8516-4F9D-AC41-B103491EC804}">
      <text>
        <r>
          <rPr>
            <sz val="9"/>
            <color indexed="81"/>
            <rFont val="Tahoma"/>
            <family val="2"/>
          </rPr>
          <t>Annuaire statistique de la France, 1957, Institut National de la Statistique et des Études Économiques, Paris, 1958. p. 147-8</t>
        </r>
      </text>
    </comment>
    <comment ref="G13" authorId="0" shapeId="0" xr:uid="{3369B8C9-C8EE-499D-87D1-E8BBA04DD58A}">
      <text>
        <r>
          <rPr>
            <sz val="9"/>
            <color indexed="81"/>
            <rFont val="Tahoma"/>
            <family val="2"/>
          </rPr>
          <t>1500 = for automotive
See: Annuaire statistique de la France, 1957, Institut National de la Statistique et des Études Économiques, Paris, 1958. p. 137</t>
        </r>
      </text>
    </comment>
    <comment ref="H13" authorId="0" shapeId="0" xr:uid="{039058EC-1960-41BA-B084-5F13D4C75D0A}">
      <text>
        <r>
          <rPr>
            <sz val="9"/>
            <color indexed="81"/>
            <rFont val="Tahoma"/>
            <family val="2"/>
          </rPr>
          <t>Annuaire statistique de la France, 1957, Institut National de la Statistique et des Études Économiques, Paris, 1958. p. 147-8</t>
        </r>
      </text>
    </comment>
    <comment ref="J13" authorId="0" shapeId="0" xr:uid="{65F0593A-2435-46DC-8172-A008A5687B9E}">
      <text>
        <r>
          <rPr>
            <sz val="9"/>
            <color indexed="81"/>
            <rFont val="Tahoma"/>
            <family val="2"/>
          </rPr>
          <t>Annuaire statistique de la France, 1957, Institut National de la Statistique et des Études Économiques, Paris, 1958. p. 147-8</t>
        </r>
      </text>
    </comment>
    <comment ref="K13" authorId="0" shapeId="0" xr:uid="{959AA8D3-9143-47D8-9024-FEE9557597BB}">
      <text>
        <r>
          <rPr>
            <sz val="9"/>
            <color indexed="81"/>
            <rFont val="Tahoma"/>
            <family val="2"/>
          </rPr>
          <t>Annuaire statistique de la France, 1957, Institut National de la Statistique et des Études Économiques, Paris, 1958. p. 147-8</t>
        </r>
      </text>
    </comment>
    <comment ref="B14" authorId="0" shapeId="0" xr:uid="{E893AA19-2155-4027-9831-BE772A72C58B}">
      <text>
        <r>
          <rPr>
            <sz val="9"/>
            <color indexed="81"/>
            <rFont val="Tahoma"/>
            <family val="2"/>
          </rPr>
          <t>Annuaire statistique de la France, 1958, Institut National de la Statistique et des Études Économiques, Paris, 1959. p. 158-9</t>
        </r>
      </text>
    </comment>
    <comment ref="E14" authorId="0" shapeId="0" xr:uid="{A37F426E-94D2-467F-A7FF-C44313A2347D}">
      <text>
        <r>
          <rPr>
            <sz val="9"/>
            <color indexed="81"/>
            <rFont val="Tahoma"/>
            <family val="2"/>
          </rPr>
          <t>Annuaire statistique de la France, 1958, Institut National de la Statistique et des Études Économiques, Paris, 1959. p. 158-9</t>
        </r>
      </text>
    </comment>
    <comment ref="F14" authorId="0" shapeId="0" xr:uid="{A0707C67-0CE1-4654-9E31-4D987F0644CD}">
      <text>
        <r>
          <rPr>
            <sz val="9"/>
            <color indexed="81"/>
            <rFont val="Tahoma"/>
            <family val="2"/>
          </rPr>
          <t>Annuaire statistique de la France, 1958, Institut National de la Statistique et des Études Économiques, Paris, 1959. p. 158-9</t>
        </r>
      </text>
    </comment>
    <comment ref="G14" authorId="0" shapeId="0" xr:uid="{47DA17EF-1A6B-4AD6-B342-83626AB499EC}">
      <text>
        <r>
          <rPr>
            <sz val="9"/>
            <color indexed="81"/>
            <rFont val="Tahoma"/>
            <family val="2"/>
          </rPr>
          <t>1700 = for automotive
See: Annuaire statistique de la France, 1958, Institut National de la Statistique et des Études Économiques, Paris, 1959. p. 147</t>
        </r>
      </text>
    </comment>
    <comment ref="H14" authorId="0" shapeId="0" xr:uid="{F841408C-54D3-40D9-8985-4F84A4A077FF}">
      <text>
        <r>
          <rPr>
            <sz val="9"/>
            <color indexed="81"/>
            <rFont val="Tahoma"/>
            <family val="2"/>
          </rPr>
          <t>Annuaire statistique de la France, 1958, Institut National de la Statistique et des Études Économiques, Paris, 1959. p. 158-9</t>
        </r>
      </text>
    </comment>
    <comment ref="J14" authorId="0" shapeId="0" xr:uid="{70B88FAD-309C-4783-98F3-323BCD0719AE}">
      <text>
        <r>
          <rPr>
            <sz val="9"/>
            <color indexed="81"/>
            <rFont val="Tahoma"/>
            <family val="2"/>
          </rPr>
          <t>Annuaire statistique de la France, 1958, Institut National de la Statistique et des Études Économiques, Paris, 1959. p. 158-9</t>
        </r>
      </text>
    </comment>
    <comment ref="K14" authorId="0" shapeId="0" xr:uid="{717B3FCA-B8F3-4B60-A304-52AE9ABD8961}">
      <text>
        <r>
          <rPr>
            <sz val="9"/>
            <color indexed="81"/>
            <rFont val="Tahoma"/>
            <family val="2"/>
          </rPr>
          <t>Annuaire statistique de la France, 1958, Institut National de la Statistique et des Études Économiques, Paris, 1959. p. 158-9</t>
        </r>
      </text>
    </comment>
    <comment ref="B15" authorId="0" shapeId="0" xr:uid="{EFF69E68-B982-42D0-B92B-0FEFB9822CD1}">
      <text>
        <r>
          <rPr>
            <sz val="9"/>
            <color indexed="81"/>
            <rFont val="Tahoma"/>
            <family val="2"/>
          </rPr>
          <t>Annuaire statistique de la France, 1959, Institut National de la Statistique et des Études Économiques, Paris, 1960. p. 158-9</t>
        </r>
      </text>
    </comment>
    <comment ref="E15" authorId="0" shapeId="0" xr:uid="{989DA287-84C8-4B60-A76C-9771BF50D6BF}">
      <text>
        <r>
          <rPr>
            <sz val="9"/>
            <color indexed="81"/>
            <rFont val="Tahoma"/>
            <family val="2"/>
          </rPr>
          <t>Annuaire statistique de la France, 1959, Institut National de la Statistique et des Études Économiques, Paris, 1960. p. 158-9</t>
        </r>
      </text>
    </comment>
    <comment ref="F15" authorId="0" shapeId="0" xr:uid="{2EDAD8D8-A767-47A4-8F4D-710D8F9B2086}">
      <text>
        <r>
          <rPr>
            <sz val="9"/>
            <color indexed="81"/>
            <rFont val="Tahoma"/>
            <family val="2"/>
          </rPr>
          <t>Annuaire statistique de la France, 1959, Institut National de la Statistique et des Études Économiques, Paris, 1960. p. 158-9</t>
        </r>
      </text>
    </comment>
    <comment ref="G15" authorId="0" shapeId="0" xr:uid="{031CE4CB-39EA-4BDE-BC99-9F7F2F6DF41E}">
      <text>
        <r>
          <rPr>
            <sz val="9"/>
            <color indexed="81"/>
            <rFont val="Tahoma"/>
            <family val="2"/>
          </rPr>
          <t>1700 = for automotive
See: Annuaire statistique de la France, 1959, Institut National de la Statistique et des Études Économiques, Paris, 1960. p. 147</t>
        </r>
      </text>
    </comment>
    <comment ref="H15" authorId="0" shapeId="0" xr:uid="{C4B0AE22-2062-4292-B61B-EB4AD727B91C}">
      <text>
        <r>
          <rPr>
            <sz val="9"/>
            <color indexed="81"/>
            <rFont val="Tahoma"/>
            <family val="2"/>
          </rPr>
          <t>Annuaire statistique de la France, 1959, Institut National de la Statistique et des Études Économiques, Paris, 1960. p. 158-9</t>
        </r>
      </text>
    </comment>
    <comment ref="J15" authorId="0" shapeId="0" xr:uid="{03CB2E39-FAA6-4208-A6F4-520D6D1FB5BC}">
      <text>
        <r>
          <rPr>
            <sz val="9"/>
            <color indexed="81"/>
            <rFont val="Tahoma"/>
            <family val="2"/>
          </rPr>
          <t>Annuaire statistique de la France, 1959, Institut National de la Statistique et des Études Économiques, Paris, 1960. p. 158-9</t>
        </r>
      </text>
    </comment>
    <comment ref="K15" authorId="0" shapeId="0" xr:uid="{A3E3ACE3-4BCC-4920-8DD3-C6119FB80D2D}">
      <text>
        <r>
          <rPr>
            <sz val="9"/>
            <color indexed="81"/>
            <rFont val="Tahoma"/>
            <family val="2"/>
          </rPr>
          <t>Annuaire statistique de la France, 1959, Institut National de la Statistique et des Études Économiques, Paris, 1960. p. 158-9</t>
        </r>
      </text>
    </comment>
    <comment ref="B16" authorId="0" shapeId="0" xr:uid="{AC83FE9F-37F4-4D09-98D2-F5037955F930}">
      <text>
        <r>
          <rPr>
            <sz val="9"/>
            <color indexed="81"/>
            <rFont val="Tahoma"/>
            <family val="2"/>
          </rPr>
          <t>Annuaire statistique de la France, 1961, Institut National de la Statistique et des Études Économiques, Paris, 1962. p. 213-4</t>
        </r>
      </text>
    </comment>
    <comment ref="E16" authorId="0" shapeId="0" xr:uid="{ABA9F58C-2EC0-4CB9-9E82-3689B43817B2}">
      <text>
        <r>
          <rPr>
            <sz val="9"/>
            <color indexed="81"/>
            <rFont val="Tahoma"/>
            <family val="2"/>
          </rPr>
          <t>Annuaire statistique de la France, 1961, Institut National de la Statistique et des Études Économiques, Paris, 1962. p. 213-4</t>
        </r>
      </text>
    </comment>
    <comment ref="F16" authorId="0" shapeId="0" xr:uid="{B3616E10-AEB6-46F4-8F3E-895CB81D1AA1}">
      <text>
        <r>
          <rPr>
            <sz val="9"/>
            <color indexed="81"/>
            <rFont val="Tahoma"/>
            <family val="2"/>
          </rPr>
          <t>Annuaire statistique de la France, 1961, Institut National de la Statistique et des Études Économiques, Paris, 1962. p. 213-4</t>
        </r>
      </text>
    </comment>
    <comment ref="G16" authorId="0" shapeId="0" xr:uid="{BF954B09-D82F-46B5-BC0D-548899D796A6}">
      <text>
        <r>
          <rPr>
            <sz val="9"/>
            <color indexed="81"/>
            <rFont val="Tahoma"/>
            <family val="2"/>
          </rPr>
          <t>Annuaire statistique de la France, 1961, Institut National de la Statistique et des Études Économiques, Paris, 1962. p. 213-4</t>
        </r>
      </text>
    </comment>
    <comment ref="H16" authorId="0" shapeId="0" xr:uid="{85BE53E1-6D44-4ECF-8056-949897DC5DCA}">
      <text>
        <r>
          <rPr>
            <sz val="9"/>
            <color indexed="81"/>
            <rFont val="Tahoma"/>
            <family val="2"/>
          </rPr>
          <t>Annuaire statistique de la France, 1961, Institut National de la Statistique et des Études Économiques, Paris, 1962. p. 213-4</t>
        </r>
      </text>
    </comment>
    <comment ref="J16" authorId="0" shapeId="0" xr:uid="{F051B246-00D2-42B1-9C4B-9AB86A549094}">
      <text>
        <r>
          <rPr>
            <sz val="9"/>
            <color indexed="81"/>
            <rFont val="Tahoma"/>
            <family val="2"/>
          </rPr>
          <t>Annuaire statistique de la France, 1961, Institut National de la Statistique et des Études Économiques, Paris, 1962. p. 213-4</t>
        </r>
      </text>
    </comment>
    <comment ref="K16" authorId="0" shapeId="0" xr:uid="{0E919600-C7CC-414E-911C-476D431DD660}">
      <text>
        <r>
          <rPr>
            <sz val="9"/>
            <color indexed="81"/>
            <rFont val="Tahoma"/>
            <family val="2"/>
          </rPr>
          <t>Annuaire statistique de la France, 1961, Institut National de la Statistique et des Études Économiques, Paris, 1962. p. 213-4</t>
        </r>
      </text>
    </comment>
    <comment ref="B17" authorId="0" shapeId="0" xr:uid="{0ACF1BC5-4A0C-4174-83E5-F180CC7EAB1B}">
      <text>
        <r>
          <rPr>
            <sz val="9"/>
            <color indexed="81"/>
            <rFont val="Tahoma"/>
            <family val="2"/>
          </rPr>
          <t>Annuaire statistique de la France, 1961, Institut National de la Statistique et des Études Économiques, Paris, 1962. p. 213-4</t>
        </r>
      </text>
    </comment>
    <comment ref="F17" authorId="0" shapeId="0" xr:uid="{CA6DEA82-3E50-462E-A629-82B1A2801698}">
      <text>
        <r>
          <rPr>
            <sz val="9"/>
            <color indexed="81"/>
            <rFont val="Tahoma"/>
            <family val="2"/>
          </rPr>
          <t>Annuaire statistique de la France, 1961, Institut National de la Statistique et des Études Économiques, Paris, 1962. p. 213-4</t>
        </r>
      </text>
    </comment>
    <comment ref="G17" authorId="0" shapeId="0" xr:uid="{52DBB23A-B161-484E-BF37-54DB8447063A}">
      <text>
        <r>
          <rPr>
            <sz val="9"/>
            <color indexed="81"/>
            <rFont val="Tahoma"/>
            <family val="2"/>
          </rPr>
          <t>Annuaire statistique de la France, 1961, Institut National de la Statistique et des Études Économiques, Paris, 1962. p. 213-4</t>
        </r>
      </text>
    </comment>
    <comment ref="H17" authorId="0" shapeId="0" xr:uid="{60D59861-51B6-487A-9D5E-449360F96A7F}">
      <text>
        <r>
          <rPr>
            <sz val="9"/>
            <color indexed="81"/>
            <rFont val="Tahoma"/>
            <family val="2"/>
          </rPr>
          <t>Annuaire statistique de la France, 1961, Institut National de la Statistique et des Études Économiques, Paris, 1962. p. 213-4</t>
        </r>
      </text>
    </comment>
    <comment ref="J17" authorId="0" shapeId="0" xr:uid="{595E3C06-74D0-458A-A63C-E84E1A936733}">
      <text>
        <r>
          <rPr>
            <sz val="9"/>
            <color indexed="81"/>
            <rFont val="Tahoma"/>
            <family val="2"/>
          </rPr>
          <t>Annuaire statistique de la France, 1961, Institut National de la Statistique et des Études Économiques, Paris, 1962. p. 213-4</t>
        </r>
      </text>
    </comment>
    <comment ref="K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693D61A1-133A-48F0-A4F2-AF56AA6A01CA}">
      <text>
        <r>
          <rPr>
            <sz val="9"/>
            <color indexed="81"/>
            <rFont val="Tahoma"/>
            <family val="2"/>
          </rPr>
          <t>Annuaire statistique de la France, 1962, Institut National de la Statistique et des Études Économiques, Paris, 1963. p. 176-7</t>
        </r>
      </text>
    </comment>
    <comment ref="E18" authorId="0" shapeId="0" xr:uid="{3A40F4FD-1F08-49FC-BA10-D1FB119BD41A}">
      <text>
        <r>
          <rPr>
            <sz val="9"/>
            <color indexed="81"/>
            <rFont val="Tahoma"/>
            <family val="2"/>
          </rPr>
          <t>Annuaire statistique de la France, 1962, Institut National de la Statistique et des Études Économiques, Paris, 1963. p. 176-7</t>
        </r>
      </text>
    </comment>
    <comment ref="F18" authorId="0" shapeId="0" xr:uid="{C65A4C9A-EEDF-4B86-82FC-06E5570609BF}">
      <text>
        <r>
          <rPr>
            <sz val="9"/>
            <color indexed="81"/>
            <rFont val="Tahoma"/>
            <family val="2"/>
          </rPr>
          <t>Annuaire statistique de la France, 1962, Institut National de la Statistique et des Études Économiques, Paris, 1963. p. 176-7</t>
        </r>
      </text>
    </comment>
    <comment ref="G18" authorId="0" shapeId="0" xr:uid="{DE9DC52E-15D7-430E-ABC5-7850CA21CBE7}">
      <text>
        <r>
          <rPr>
            <sz val="9"/>
            <color indexed="81"/>
            <rFont val="Tahoma"/>
            <family val="2"/>
          </rPr>
          <t>Annuaire statistique de la France, 1962, Institut National de la Statistique et des Études Économiques, Paris, 1963. p. 176-7</t>
        </r>
      </text>
    </comment>
    <comment ref="H18" authorId="0" shapeId="0" xr:uid="{81618106-3EEE-4D05-905A-1B2C1A182D26}">
      <text>
        <r>
          <rPr>
            <sz val="9"/>
            <color indexed="81"/>
            <rFont val="Tahoma"/>
            <family val="2"/>
          </rPr>
          <t>Annuaire statistique de la France, 1962, Institut National de la Statistique et des Études Économiques, Paris, 1963. p. 176-7</t>
        </r>
      </text>
    </comment>
    <comment ref="J18" authorId="0" shapeId="0" xr:uid="{310991AD-7006-4B62-8C4F-719B88A8F91F}">
      <text>
        <r>
          <rPr>
            <sz val="9"/>
            <color indexed="81"/>
            <rFont val="Tahoma"/>
            <family val="2"/>
          </rPr>
          <t>Annuaire statistique de la France, 1962, Institut National de la Statistique et des Études Économiques, Paris, 1963. p. 176-7</t>
        </r>
      </text>
    </comment>
    <comment ref="K18" authorId="0" shapeId="0" xr:uid="{39109713-6E0D-4B6A-9E4C-6F41F964C55F}">
      <text>
        <r>
          <rPr>
            <sz val="9"/>
            <color indexed="81"/>
            <rFont val="Tahoma"/>
            <family val="2"/>
          </rPr>
          <t>Annuaire statistique de la France, 1962, Institut National de la Statistique et des Études Économiques, Paris, 1963. p. 176-7</t>
        </r>
      </text>
    </comment>
    <comment ref="B19" authorId="0" shapeId="0" xr:uid="{E65828BC-E748-410E-82A6-D0E8290DA0E4}">
      <text>
        <r>
          <rPr>
            <sz val="9"/>
            <color indexed="81"/>
            <rFont val="Tahoma"/>
            <family val="2"/>
          </rPr>
          <t>Annuaire statistique de la France, 1963, Institut National de la Statistique et des Études Économiques, Paris, 1964. p. 185-6</t>
        </r>
      </text>
    </comment>
    <comment ref="D19" authorId="0" shapeId="0" xr:uid="{058A2F66-5183-42FA-9B61-5F6F59E085F0}">
      <text>
        <r>
          <rPr>
            <sz val="9"/>
            <color indexed="81"/>
            <rFont val="Tahoma"/>
            <family val="2"/>
          </rPr>
          <t>(Boaglio, 1990: 120)</t>
        </r>
      </text>
    </comment>
    <comment ref="E19" authorId="0" shapeId="0" xr:uid="{110BF336-C056-411F-A80E-82CF01ECE991}">
      <text>
        <r>
          <rPr>
            <sz val="9"/>
            <color indexed="81"/>
            <rFont val="Tahoma"/>
            <family val="2"/>
          </rPr>
          <t>Annuaire statistique de la France, 1963, Institut National de la Statistique et des Études Économiques, Paris, 1964. p. 185-6</t>
        </r>
      </text>
    </comment>
    <comment ref="F19" authorId="0" shapeId="0" xr:uid="{FCF25572-3E69-4CFD-A1BC-033D56C616CB}">
      <text>
        <r>
          <rPr>
            <sz val="9"/>
            <color indexed="81"/>
            <rFont val="Tahoma"/>
            <family val="2"/>
          </rPr>
          <t>Annuaire statistique de la France, 1963, Institut National de la Statistique et des Études Économiques, Paris, 1964. p. 185-6</t>
        </r>
      </text>
    </comment>
    <comment ref="G19" authorId="0" shapeId="0" xr:uid="{9A175B91-BBEB-40F7-ABB2-0D220E04C64C}">
      <text>
        <r>
          <rPr>
            <sz val="9"/>
            <color indexed="81"/>
            <rFont val="Tahoma"/>
            <family val="2"/>
          </rPr>
          <t>Annuaire statistique de la France, 1964, Institut National de la Statistique et des Études Économiques, Paris, 1965. p. 230</t>
        </r>
      </text>
    </comment>
    <comment ref="H19" authorId="0" shapeId="0" xr:uid="{5F75AABD-2233-467B-AF56-264EA10CB883}">
      <text>
        <r>
          <rPr>
            <sz val="9"/>
            <color indexed="81"/>
            <rFont val="Tahoma"/>
            <family val="2"/>
          </rPr>
          <t>Annuaire statistique de la France, 1963, Institut National de la Statistique et des Études Économiques, Paris, 1964. p. 185-6</t>
        </r>
      </text>
    </comment>
    <comment ref="J19" authorId="0" shapeId="0" xr:uid="{B05D689D-ACFC-40B3-AAF5-58877BB6FE9E}">
      <text>
        <r>
          <rPr>
            <sz val="9"/>
            <color indexed="81"/>
            <rFont val="Tahoma"/>
            <family val="2"/>
          </rPr>
          <t>Annuaire statistique de la France, 1963, Institut National de la Statistique et des Études Économiques, Paris, 1964. p. 185-6</t>
        </r>
      </text>
    </comment>
    <comment ref="K19" authorId="0" shapeId="0" xr:uid="{5A029BD5-12BE-4A9A-AC53-CEC411C08E14}">
      <text>
        <r>
          <rPr>
            <sz val="9"/>
            <color indexed="81"/>
            <rFont val="Tahoma"/>
            <family val="2"/>
          </rPr>
          <t>Annuaire statistique de la France, 1963, Institut National de la Statistique et des Études Économiques, Paris, 1964. p. 185-6</t>
        </r>
      </text>
    </comment>
    <comment ref="B20" authorId="0" shapeId="0" xr:uid="{4CE7D174-93B9-439E-BDB7-3AF20076A299}">
      <text>
        <r>
          <rPr>
            <sz val="9"/>
            <color indexed="81"/>
            <rFont val="Tahoma"/>
            <family val="2"/>
          </rPr>
          <t>Annuaire statistique de la France, 1964, Institut National de la Statistique et des Études Économiques, Paris, 1965. p. 230</t>
        </r>
      </text>
    </comment>
    <comment ref="E20" authorId="0" shapeId="0" xr:uid="{3CD5385B-1DF1-44F4-A94E-F3608AC8F14E}">
      <text>
        <r>
          <rPr>
            <sz val="9"/>
            <color indexed="81"/>
            <rFont val="Tahoma"/>
            <family val="2"/>
          </rPr>
          <t>Annuaire statistique de la France, 1964, Institut National de la Statistique et des Études Économiques, Paris, 1965. p. 230</t>
        </r>
      </text>
    </comment>
    <comment ref="F20" authorId="0" shapeId="0" xr:uid="{7D799530-1205-472C-90D7-6DCDCC07A90C}">
      <text>
        <r>
          <rPr>
            <sz val="9"/>
            <color indexed="81"/>
            <rFont val="Tahoma"/>
            <family val="2"/>
          </rPr>
          <t>Annuaire statistique de la France, 1964, Institut National de la Statistique et des Études Économiques, Paris, 1965. p. 230</t>
        </r>
      </text>
    </comment>
    <comment ref="G20" authorId="0" shapeId="0" xr:uid="{2CB54331-9CA8-49FF-83DC-A8276F22E17F}">
      <text>
        <r>
          <rPr>
            <sz val="9"/>
            <color indexed="81"/>
            <rFont val="Tahoma"/>
            <family val="2"/>
          </rPr>
          <t>Annuaire statistique de la France, 1964, Institut National de la Statistique et des Études Économiques, Paris, 1965. p. 230</t>
        </r>
      </text>
    </comment>
    <comment ref="H20" authorId="0" shapeId="0" xr:uid="{4FC7B21E-3B51-4488-87F2-08BB02A7D0F3}">
      <text>
        <r>
          <rPr>
            <sz val="9"/>
            <color indexed="81"/>
            <rFont val="Tahoma"/>
            <family val="2"/>
          </rPr>
          <t>Annuaire statistique de la France, 1964, Institut National de la Statistique et des Études Économiques, Paris, 1965. p. 230</t>
        </r>
      </text>
    </comment>
    <comment ref="J20" authorId="0" shapeId="0" xr:uid="{7A20AF52-8C2C-4503-BC69-206607AE4FF5}">
      <text>
        <r>
          <rPr>
            <sz val="9"/>
            <color indexed="81"/>
            <rFont val="Tahoma"/>
            <family val="2"/>
          </rPr>
          <t>Annuaire statistique de la France, 1964, Institut National de la Statistique et des Études Économiques, Paris, 1965. p. 230</t>
        </r>
      </text>
    </comment>
    <comment ref="K20" authorId="0" shapeId="0" xr:uid="{2DCDBC71-9100-40D3-BD29-347BE31C6386}">
      <text>
        <r>
          <rPr>
            <sz val="9"/>
            <color indexed="81"/>
            <rFont val="Tahoma"/>
            <family val="2"/>
          </rPr>
          <t>Annuaire statistique de la France, 1964, Institut National de la Statistique et des Études Économiques, Paris, 1965. p. 230</t>
        </r>
      </text>
    </comment>
    <comment ref="B21" authorId="0" shapeId="0" xr:uid="{13283FE4-F085-4AE1-A369-10D21835927D}">
      <text>
        <r>
          <rPr>
            <sz val="9"/>
            <color indexed="81"/>
            <rFont val="Tahoma"/>
            <family val="2"/>
          </rPr>
          <t>Annuaire statistique de la France, 1965, Institut National de la Statistique et des Études Économiques, Paris, 1966. p. 266</t>
        </r>
      </text>
    </comment>
    <comment ref="E21" authorId="0" shapeId="0" xr:uid="{FD6BCD97-FB85-4C1D-9AE7-B9AAC9C8167D}">
      <text>
        <r>
          <rPr>
            <sz val="9"/>
            <color indexed="81"/>
            <rFont val="Tahoma"/>
            <family val="2"/>
          </rPr>
          <t>Annuaire statistique de la France, 1965, Institut National de la Statistique et des Études Économiques, Paris, 1966. p. 266</t>
        </r>
      </text>
    </comment>
    <comment ref="F21" authorId="0" shapeId="0" xr:uid="{6F5A27FD-3303-4B83-A0B4-5A73553B0D87}">
      <text>
        <r>
          <rPr>
            <sz val="9"/>
            <color indexed="81"/>
            <rFont val="Tahoma"/>
            <family val="2"/>
          </rPr>
          <t>Annuaire statistique de la France, 1965, Institut National de la Statistique et des Études Économiques, Paris, 1966. p. 266</t>
        </r>
      </text>
    </comment>
    <comment ref="G21" authorId="0" shapeId="0" xr:uid="{8FA060DD-D1C0-4941-8D89-CEC3BD2C4FCE}">
      <text>
        <r>
          <rPr>
            <sz val="9"/>
            <color indexed="81"/>
            <rFont val="Tahoma"/>
            <family val="2"/>
          </rPr>
          <t>Annuaire statistique de la France, 1965, Institut National de la Statistique et des Études Économiques, Paris, 1966. p. 266</t>
        </r>
      </text>
    </comment>
    <comment ref="H21" authorId="0" shapeId="0" xr:uid="{978B9C7D-C7AE-46BA-B521-7A0BED1DF790}">
      <text>
        <r>
          <rPr>
            <sz val="9"/>
            <color indexed="81"/>
            <rFont val="Tahoma"/>
            <family val="2"/>
          </rPr>
          <t>Annuaire statistique de la France, 1965, Institut National de la Statistique et des Études Économiques, Paris, 1966. p. 266</t>
        </r>
      </text>
    </comment>
    <comment ref="J21" authorId="0" shapeId="0" xr:uid="{7BD7BB3B-948A-4A9B-A71F-5A7F2E9842CB}">
      <text>
        <r>
          <rPr>
            <sz val="9"/>
            <color indexed="81"/>
            <rFont val="Tahoma"/>
            <family val="2"/>
          </rPr>
          <t>Annuaire statistique de la France, 1965, Institut National de la Statistique et des Études Économiques, Paris, 1966. p. 266</t>
        </r>
      </text>
    </comment>
    <comment ref="K21" authorId="0" shapeId="0" xr:uid="{FEA3F18C-74BA-4DD7-A776-8964DB0BD0AC}">
      <text>
        <r>
          <rPr>
            <sz val="9"/>
            <color indexed="81"/>
            <rFont val="Tahoma"/>
            <family val="2"/>
          </rPr>
          <t>Annuaire statistique de la France, 1965, Institut National de la Statistique et des Études Économiques, Paris, 1966. p. 266</t>
        </r>
      </text>
    </comment>
    <comment ref="B22" authorId="0" shapeId="0" xr:uid="{A49D866F-1A00-4AEA-97C2-92719650D143}">
      <text>
        <r>
          <rPr>
            <sz val="9"/>
            <color indexed="81"/>
            <rFont val="Tahoma"/>
            <family val="2"/>
          </rPr>
          <t>Annuaire statistique de la France, 1967, Institut National de la Statistique et des Études Économiques, Paris, 1968. p. 372</t>
        </r>
      </text>
    </comment>
    <comment ref="F22" authorId="0" shapeId="0" xr:uid="{C00C327E-2DC4-4D40-BA81-92A00D213140}">
      <text>
        <r>
          <rPr>
            <sz val="9"/>
            <color indexed="81"/>
            <rFont val="Tahoma"/>
            <family val="2"/>
          </rPr>
          <t>Annuaire statistique de la France, 1967, Institut National de la Statistique et des Études Économiques, Paris, 1968. p. 372</t>
        </r>
      </text>
    </comment>
    <comment ref="G22" authorId="0" shapeId="0" xr:uid="{2D32E2AC-F15A-4A8B-BD78-28F54798B72B}">
      <text>
        <r>
          <rPr>
            <sz val="9"/>
            <color indexed="81"/>
            <rFont val="Tahoma"/>
            <family val="2"/>
          </rPr>
          <t>Annuaire statistique de la France, 1967, Institut National de la Statistique et des Études Économiques, Paris, 1968. p. 372</t>
        </r>
      </text>
    </comment>
    <comment ref="H22" authorId="0" shapeId="0" xr:uid="{354C2C77-4C76-42C4-A137-C7707A158764}">
      <text>
        <r>
          <rPr>
            <sz val="9"/>
            <color indexed="81"/>
            <rFont val="Tahoma"/>
            <family val="2"/>
          </rPr>
          <t>Annuaire statistique de la France, 1967, Institut National de la Statistique et des Études Économiques, Paris, 1968. p. 372</t>
        </r>
      </text>
    </comment>
    <comment ref="J22" authorId="0" shapeId="0" xr:uid="{758E1BAC-D16C-4914-9AC0-EECFA79C5E3F}">
      <text>
        <r>
          <rPr>
            <sz val="9"/>
            <color indexed="81"/>
            <rFont val="Tahoma"/>
            <family val="2"/>
          </rPr>
          <t>Annuaire statistique de la France, 1967, Institut National de la Statistique et des Études Économiques, Paris, 1968. p. 372</t>
        </r>
      </text>
    </comment>
    <comment ref="K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9016021E-BC2C-4079-991C-D61A449BBC86}">
      <text>
        <r>
          <rPr>
            <sz val="9"/>
            <color indexed="81"/>
            <rFont val="Tahoma"/>
            <family val="2"/>
          </rPr>
          <t>Annuaire statistique de la France, 1967, Institut National de la Statistique et des Études Économiques, Paris, 1968. p. 372</t>
        </r>
      </text>
    </comment>
    <comment ref="E23" authorId="0" shapeId="0" xr:uid="{7629A7E5-361B-40FB-8180-66089255898F}">
      <text>
        <r>
          <rPr>
            <sz val="9"/>
            <color indexed="81"/>
            <rFont val="Tahoma"/>
            <family val="2"/>
          </rPr>
          <t>Annuaire statistique de la France, 1967, Institut National de la Statistique et des Études Économiques, Paris, 1968. p. 372</t>
        </r>
      </text>
    </comment>
    <comment ref="F23" authorId="0" shapeId="0" xr:uid="{32922E4A-9E85-4FDC-B0FC-CBF05B0CC92B}">
      <text>
        <r>
          <rPr>
            <sz val="9"/>
            <color indexed="81"/>
            <rFont val="Tahoma"/>
            <family val="2"/>
          </rPr>
          <t>Annuaire statistique de la France, 1967, Institut National de la Statistique et des Études Économiques, Paris, 1968. p. 372</t>
        </r>
      </text>
    </comment>
    <comment ref="G23" authorId="0" shapeId="0" xr:uid="{9BFF0064-0585-42E1-81F7-13582F3729AB}">
      <text>
        <r>
          <rPr>
            <sz val="9"/>
            <color indexed="81"/>
            <rFont val="Tahoma"/>
            <family val="2"/>
          </rPr>
          <t>Annuaire statistique de la France, 1967, Institut National de la Statistique et des Études Économiques, Paris, 1968. p. 372</t>
        </r>
      </text>
    </comment>
    <comment ref="H23" authorId="0" shapeId="0" xr:uid="{097219E9-0EF2-4F78-A86E-E048CE14D245}">
      <text>
        <r>
          <rPr>
            <sz val="9"/>
            <color indexed="81"/>
            <rFont val="Tahoma"/>
            <family val="2"/>
          </rPr>
          <t>Annuaire statistique de la France, 1967, Institut National de la Statistique et des Études Économiques, Paris, 1968. p. 372</t>
        </r>
      </text>
    </comment>
    <comment ref="J23" authorId="0" shapeId="0" xr:uid="{F64E64C7-C3FA-4413-B42E-D26E0D53C11E}">
      <text>
        <r>
          <rPr>
            <sz val="9"/>
            <color indexed="81"/>
            <rFont val="Tahoma"/>
            <family val="2"/>
          </rPr>
          <t>Annuaire statistique de la France, 1967, Institut National de la Statistique et des Études Économiques, Paris, 1968. p. 372</t>
        </r>
      </text>
    </comment>
    <comment ref="K23" authorId="0" shapeId="0" xr:uid="{089D4F32-C542-49D8-8936-D9DB8002633D}">
      <text>
        <r>
          <rPr>
            <sz val="9"/>
            <color indexed="81"/>
            <rFont val="Tahoma"/>
            <family val="2"/>
          </rPr>
          <t>Annuaire statistique de la France, 1967, Institut National de la Statistique et des Études Économiques, Paris, 1968. p. 372</t>
        </r>
      </text>
    </comment>
    <comment ref="B24" authorId="0" shapeId="0" xr:uid="{0191CEC0-55C9-4548-B77E-39B461A7DC5C}">
      <text>
        <r>
          <rPr>
            <sz val="9"/>
            <color indexed="81"/>
            <rFont val="Tahoma"/>
            <family val="2"/>
          </rPr>
          <t>Annuaire statistique de la France, 1978, Institut National de la Statistique et des Études Économiques, Paris, 1979. p. 311-3</t>
        </r>
      </text>
    </comment>
    <comment ref="H24" authorId="0" shapeId="0" xr:uid="{B3A3FAEF-AF50-492C-943A-BEDF142EE565}">
      <text>
        <r>
          <rPr>
            <sz val="9"/>
            <color indexed="81"/>
            <rFont val="Tahoma"/>
            <family val="2"/>
          </rPr>
          <t>Annuaire statistique de la France, 1978, Institut National de la Statistique et des Études Économiques, Paris, 1979. p. 311-3</t>
        </r>
      </text>
    </comment>
    <comment ref="J24" authorId="0" shapeId="0" xr:uid="{7C35FE72-FDFB-4984-A1F1-29453A365552}">
      <text>
        <r>
          <rPr>
            <sz val="9"/>
            <color indexed="81"/>
            <rFont val="Tahoma"/>
            <family val="2"/>
          </rPr>
          <t>Annuaire statistique de la France, 1978, Institut National de la Statistique et des Études Économiques, Paris, 1979. p. 311-3</t>
        </r>
      </text>
    </comment>
    <comment ref="K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118DE31D-45B7-408C-A7A3-58C5A6FF52B4}">
      <text>
        <r>
          <rPr>
            <sz val="9"/>
            <color indexed="81"/>
            <rFont val="Tahoma"/>
            <family val="2"/>
          </rPr>
          <t>Annuaire statistique de la France, 1978, Institut National de la Statistique et des Études Économiques, Paris, 1979. p. 311-3</t>
        </r>
      </text>
    </comment>
    <comment ref="D25" authorId="0" shapeId="0" xr:uid="{D1497B17-1D37-4369-99C3-3EEEACFD788B}">
      <text>
        <r>
          <rPr>
            <sz val="9"/>
            <color indexed="81"/>
            <rFont val="Tahoma"/>
            <family val="2"/>
          </rPr>
          <t>Industries du verre, CNPF and INSEE, 1971, Monographies de l'industrie et du commerce en France, n° 1, p. 114</t>
        </r>
      </text>
    </comment>
    <comment ref="H25" authorId="0" shapeId="0" xr:uid="{F4E98670-5772-4A7F-97DF-04325ED81A96}">
      <text>
        <r>
          <rPr>
            <sz val="9"/>
            <color indexed="81"/>
            <rFont val="Tahoma"/>
            <family val="2"/>
          </rPr>
          <t>Annuaire statistique de la France, 1978, Institut National de la Statistique et des Études Économiques, Paris, 1979. p. 311-3</t>
        </r>
      </text>
    </comment>
    <comment ref="J25" authorId="0" shapeId="0" xr:uid="{42F87CEB-6077-426B-ACBE-A95ECA7427EE}">
      <text>
        <r>
          <rPr>
            <sz val="9"/>
            <color indexed="81"/>
            <rFont val="Tahoma"/>
            <family val="2"/>
          </rPr>
          <t>Annuaire statistique de la France, 1978, Institut National de la Statistique et des Études Économiques, Paris, 1979. p. 311-3</t>
        </r>
      </text>
    </comment>
    <comment ref="K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BEF9AB4D-9FC0-4F98-8474-1527057A092E}">
      <text>
        <r>
          <rPr>
            <sz val="9"/>
            <color indexed="81"/>
            <rFont val="Tahoma"/>
            <family val="2"/>
          </rPr>
          <t>Annuaire statistique de la France, 1978, Institut National de la Statistique et des Études Économiques, Paris, 1979. p. 311-3</t>
        </r>
      </text>
    </comment>
    <comment ref="H26" authorId="0" shapeId="0" xr:uid="{1871E4CC-6BF0-434B-BCB9-216F2346A76B}">
      <text>
        <r>
          <rPr>
            <sz val="9"/>
            <color indexed="81"/>
            <rFont val="Tahoma"/>
            <family val="2"/>
          </rPr>
          <t>Annuaire statistique de la France, 1978, Institut National de la Statistique et des Études Économiques, Paris, 1979. p. 311-3</t>
        </r>
      </text>
    </comment>
    <comment ref="J26" authorId="0" shapeId="0" xr:uid="{C26D21D7-E07A-475D-98C9-28C9946D0032}">
      <text>
        <r>
          <rPr>
            <sz val="9"/>
            <color indexed="81"/>
            <rFont val="Tahoma"/>
            <family val="2"/>
          </rPr>
          <t>Annuaire statistique de la France, 1978, Institut National de la Statistique et des Études Économiques, Paris, 1979. p. 311-3</t>
        </r>
      </text>
    </comment>
    <comment ref="K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21E075A1-4AF2-4C7E-A04F-3CE8311D743C}">
      <text>
        <r>
          <rPr>
            <sz val="9"/>
            <color indexed="81"/>
            <rFont val="Tahoma"/>
            <family val="2"/>
          </rPr>
          <t>Annuaire statistique de la France, 1978, Institut National de la Statistique et des Études Économiques, Paris, 1979. p. 311-3</t>
        </r>
      </text>
    </comment>
    <comment ref="H27" authorId="0" shapeId="0" xr:uid="{14C7333E-6A08-4E9C-9C06-AB0EE3A79ECD}">
      <text>
        <r>
          <rPr>
            <sz val="9"/>
            <color indexed="81"/>
            <rFont val="Tahoma"/>
            <family val="2"/>
          </rPr>
          <t>Annuaire statistique de la France, 1978, Institut National de la Statistique et des Études Économiques, Paris, 1979. p. 311-3</t>
        </r>
      </text>
    </comment>
    <comment ref="J27" authorId="0" shapeId="0" xr:uid="{E9FE23A5-8B97-4ED6-9E78-9868811D3D0C}">
      <text>
        <r>
          <rPr>
            <sz val="9"/>
            <color indexed="81"/>
            <rFont val="Tahoma"/>
            <family val="2"/>
          </rPr>
          <t>Annuaire statistique de la France, 1978, Institut National de la Statistique et des Études Économiques, Paris, 1979. p. 311-3</t>
        </r>
      </text>
    </comment>
    <comment ref="K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630DAEBB-B98D-44BE-931A-6D1B021DB843}">
      <text>
        <r>
          <rPr>
            <sz val="9"/>
            <color indexed="81"/>
            <rFont val="Tahoma"/>
            <family val="2"/>
          </rPr>
          <t>Annuaire statistique de la France, 1978, Institut National de la Statistique et des Études Économiques, Paris, 1979. p. 311-3</t>
        </r>
      </text>
    </comment>
    <comment ref="H28" authorId="0" shapeId="0" xr:uid="{84E12A52-4F3E-4A86-A917-C3FA5BD871BA}">
      <text>
        <r>
          <rPr>
            <sz val="9"/>
            <color indexed="81"/>
            <rFont val="Tahoma"/>
            <family val="2"/>
          </rPr>
          <t>Annuaire statistique de la France, 1978, Institut National de la Statistique et des Études Économiques, Paris, 1979. p. 311-3</t>
        </r>
      </text>
    </comment>
    <comment ref="J28" authorId="0" shapeId="0" xr:uid="{29FABEB5-433C-4302-B45D-250142EFE549}">
      <text>
        <r>
          <rPr>
            <sz val="9"/>
            <color indexed="81"/>
            <rFont val="Tahoma"/>
            <family val="2"/>
          </rPr>
          <t>Annuaire statistique de la France, 1978, Institut National de la Statistique et des Études Économiques, Paris, 1979. p. 311-3</t>
        </r>
      </text>
    </comment>
    <comment ref="K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E143FC3D-5605-4987-B8AC-DE64648ECBD9}">
      <text>
        <r>
          <rPr>
            <sz val="9"/>
            <color indexed="81"/>
            <rFont val="Tahoma"/>
            <family val="2"/>
          </rPr>
          <t>Annuaire statistique de la France, 1978, Institut National de la Statistique et des Études Économiques, Paris, 1979. p. 311-3</t>
        </r>
      </text>
    </comment>
    <comment ref="H29" authorId="0" shapeId="0" xr:uid="{B028F262-5C16-43A9-9644-252626353205}">
      <text>
        <r>
          <rPr>
            <sz val="9"/>
            <color indexed="81"/>
            <rFont val="Tahoma"/>
            <family val="2"/>
          </rPr>
          <t>Annuaire statistique de la France, 1978, Institut National de la Statistique et des Études Économiques, Paris, 1979. p. 311-3</t>
        </r>
      </text>
    </comment>
    <comment ref="J29" authorId="0" shapeId="0" xr:uid="{03804745-AE62-48E8-8768-BE35FB39C10B}">
      <text>
        <r>
          <rPr>
            <sz val="9"/>
            <color indexed="81"/>
            <rFont val="Tahoma"/>
            <family val="2"/>
          </rPr>
          <t>Annuaire statistique de la France, 1978, Institut National de la Statistique et des Études Économiques, Paris, 1979. p. 311-3</t>
        </r>
      </text>
    </comment>
    <comment ref="K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4028DF32-6301-4580-A948-B6E49DB3E2CF}">
      <text>
        <r>
          <rPr>
            <sz val="9"/>
            <color indexed="81"/>
            <rFont val="Tahoma"/>
            <family val="2"/>
          </rPr>
          <t>Annuaire statistique de la France, 1978, Institut National de la Statistique et des Études Économiques, Paris, 1979. p. 311-3</t>
        </r>
      </text>
    </comment>
    <comment ref="H30" authorId="0" shapeId="0" xr:uid="{3C751121-2C20-4E7A-AB1D-7BB8EFC391D5}">
      <text>
        <r>
          <rPr>
            <sz val="9"/>
            <color indexed="81"/>
            <rFont val="Tahoma"/>
            <family val="2"/>
          </rPr>
          <t>Annuaire statistique de la France, 1978, Institut National de la Statistique et des Études Économiques, Paris, 1979. p. 311-3</t>
        </r>
      </text>
    </comment>
    <comment ref="J30" authorId="0" shapeId="0" xr:uid="{FB77A041-2969-4579-8A37-49BB10FB6106}">
      <text>
        <r>
          <rPr>
            <sz val="9"/>
            <color indexed="81"/>
            <rFont val="Tahoma"/>
            <family val="2"/>
          </rPr>
          <t>Annuaire statistique de la France, 1978, Institut National de la Statistique et des Études Économiques, Paris, 1979. p. 311-3</t>
        </r>
      </text>
    </comment>
    <comment ref="K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962437A5-2684-495F-ADD7-ABA02454E995}">
      <text>
        <r>
          <rPr>
            <sz val="9"/>
            <color indexed="81"/>
            <rFont val="Tahoma"/>
            <family val="2"/>
          </rPr>
          <t>Annuaire statistique de la France, 1978, Institut National de la Statistique et des Études Économiques, Paris, 1979. p. 311-3</t>
        </r>
      </text>
    </comment>
    <comment ref="H31" authorId="0" shapeId="0" xr:uid="{44C5D01F-FEE4-4FC8-B65D-C3201F905D10}">
      <text>
        <r>
          <rPr>
            <sz val="9"/>
            <color indexed="81"/>
            <rFont val="Tahoma"/>
            <family val="2"/>
          </rPr>
          <t>Annuaire statistique de la France, 1978, Institut National de la Statistique et des Études Économiques, Paris, 1979. p. 311-3</t>
        </r>
      </text>
    </comment>
    <comment ref="J31" authorId="0" shapeId="0" xr:uid="{6C29E4A4-C79C-4963-B5B2-B3229B38F655}">
      <text>
        <r>
          <rPr>
            <sz val="9"/>
            <color indexed="81"/>
            <rFont val="Tahoma"/>
            <family val="2"/>
          </rPr>
          <t>Annuaire statistique de la France, 1978, Institut National de la Statistique et des Études Économiques, Paris, 1979. p. 311-3</t>
        </r>
      </text>
    </comment>
    <comment ref="K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9250FA0-3AE9-40B6-935D-E13BFF764144}">
      <text>
        <r>
          <rPr>
            <sz val="9"/>
            <color indexed="81"/>
            <rFont val="Tahoma"/>
            <family val="2"/>
          </rPr>
          <t>Annuaire statistique de la France, 1978, Institut National de la Statistique et des Études Économiques, Paris, 1979. p. 311-3</t>
        </r>
      </text>
    </comment>
    <comment ref="H32" authorId="0" shapeId="0" xr:uid="{64154DD0-2C23-4955-B5A1-0D9AAEDD0DFF}">
      <text>
        <r>
          <rPr>
            <sz val="9"/>
            <color indexed="81"/>
            <rFont val="Tahoma"/>
            <family val="2"/>
          </rPr>
          <t>Annuaire statistique de la France, 1978, Institut National de la Statistique et des Études Économiques, Paris, 1979. p. 311-3</t>
        </r>
      </text>
    </comment>
    <comment ref="J32" authorId="0" shapeId="0" xr:uid="{3344969B-F5AF-4842-BEF5-78A32E5E59B8}">
      <text>
        <r>
          <rPr>
            <sz val="9"/>
            <color indexed="81"/>
            <rFont val="Tahoma"/>
            <family val="2"/>
          </rPr>
          <t>Annuaire statistique de la France, 1978, Institut National de la Statistique et des Études Économiques, Paris, 1979. p. 311-3</t>
        </r>
      </text>
    </comment>
    <comment ref="K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B8C876C7-82C4-4B76-A2FE-77C8E7811B1B}">
      <text>
        <r>
          <rPr>
            <sz val="9"/>
            <color indexed="81"/>
            <rFont val="Tahoma"/>
            <family val="2"/>
          </rPr>
          <t>Annuaire statistique de la France, 1978, Institut National de la Statistique et des Études Économiques, Paris, 1979. p. 311-3</t>
        </r>
      </text>
    </comment>
    <comment ref="H33" authorId="0" shapeId="0" xr:uid="{23EC5074-6004-49A7-9BB5-D5B90879F4E4}">
      <text>
        <r>
          <rPr>
            <sz val="9"/>
            <color indexed="81"/>
            <rFont val="Tahoma"/>
            <family val="2"/>
          </rPr>
          <t>Annuaire statistique de la France, 1978, Institut National de la Statistique et des Études Économiques, Paris, 1979. p. 311-3</t>
        </r>
      </text>
    </comment>
    <comment ref="J33" authorId="0" shapeId="0" xr:uid="{2386695A-5A41-4AC2-A779-155DDEEC3E5D}">
      <text>
        <r>
          <rPr>
            <sz val="9"/>
            <color indexed="81"/>
            <rFont val="Tahoma"/>
            <family val="2"/>
          </rPr>
          <t>Annuaire statistique de la France, 1978, Institut National de la Statistique et des Études Économiques, Paris, 1979. p. 311-3</t>
        </r>
      </text>
    </comment>
    <comment ref="K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CAD639C8-A4B0-4454-8A24-4AC8E822BE87}">
      <text>
        <r>
          <rPr>
            <sz val="9"/>
            <color indexed="81"/>
            <rFont val="Tahoma"/>
            <family val="2"/>
          </rPr>
          <t>Annuaire statistique de la France, 1978, Institut National de la Statistique et des Études Économiques, Paris, 1979. p. 311-3</t>
        </r>
      </text>
    </comment>
    <comment ref="H34" authorId="0" shapeId="0" xr:uid="{D3EBCC58-12CF-47BF-8978-700306CA4F5A}">
      <text>
        <r>
          <rPr>
            <sz val="9"/>
            <color indexed="81"/>
            <rFont val="Tahoma"/>
            <family val="2"/>
          </rPr>
          <t>Annuaire statistique de la France, 1978, Institut National de la Statistique et des Études Économiques, Paris, 1979. p. 311-3</t>
        </r>
      </text>
    </comment>
    <comment ref="J34" authorId="0" shapeId="0" xr:uid="{4A34F515-290C-477A-A0E4-93EA8D5BCDF0}">
      <text>
        <r>
          <rPr>
            <sz val="9"/>
            <color indexed="81"/>
            <rFont val="Tahoma"/>
            <family val="2"/>
          </rPr>
          <t>Annuaire statistique de la France, 1978, Institut National de la Statistique et des Études Économiques, Paris, 1979. p. 311-3</t>
        </r>
      </text>
    </comment>
    <comment ref="K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7182D13B-3D2B-4DA1-BD7B-99ACD2F26626}">
      <text>
        <r>
          <rPr>
            <sz val="9"/>
            <color indexed="81"/>
            <rFont val="Tahoma"/>
            <family val="2"/>
          </rPr>
          <t>Annuaire statistique de la France, 1979, Institut National de la Statistique et des Études Économiques, Paris, 1980. p. 311-3</t>
        </r>
      </text>
    </comment>
    <comment ref="H35" authorId="0" shapeId="0" xr:uid="{8E082DE9-4D94-4217-94BF-5C434DFBAEFA}">
      <text>
        <r>
          <rPr>
            <sz val="9"/>
            <color indexed="81"/>
            <rFont val="Tahoma"/>
            <family val="2"/>
          </rPr>
          <t>Annuaire statistique de la France, 1979, Institut National de la Statistique et des Études Économiques, Paris, 1980. p. 311-3</t>
        </r>
      </text>
    </comment>
    <comment ref="K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B465F1FC-99A3-49A9-A75A-F12B750EBCA1}">
      <text>
        <r>
          <rPr>
            <sz val="9"/>
            <color indexed="81"/>
            <rFont val="Tahoma"/>
            <family val="2"/>
          </rPr>
          <t>Annuaire statistique de la France, 1981, Institut National de la Statistique et des Études Économiques, Paris, 1982. p. 421</t>
        </r>
      </text>
    </comment>
    <comment ref="C36" authorId="0" shapeId="0" xr:uid="{03209BF8-7AA4-4DE3-8711-34D7206C15A9}">
      <text>
        <r>
          <rPr>
            <sz val="9"/>
            <color indexed="81"/>
            <rFont val="Tahoma"/>
            <family val="2"/>
          </rPr>
          <t>Annuaire statistique de la France, 1985, Institut National de la Statistique et des Études Économiques, Paris, 1986. p. 553</t>
        </r>
      </text>
    </comment>
    <comment ref="H36" authorId="0" shapeId="0" xr:uid="{47817267-0F24-43FE-A8F8-949A79974B11}">
      <text>
        <r>
          <rPr>
            <sz val="9"/>
            <color indexed="81"/>
            <rFont val="Tahoma"/>
            <family val="2"/>
          </rPr>
          <t>Annuaire statistique de la France, 1981, Institut National de la Statistique et des Études Économiques, Paris, 1982. p. 421</t>
        </r>
      </text>
    </comment>
    <comment ref="K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9F6ADB99-1A98-4450-A417-5A7285F8C1AF}">
      <text>
        <r>
          <rPr>
            <sz val="9"/>
            <color indexed="81"/>
            <rFont val="Tahoma"/>
            <family val="2"/>
          </rPr>
          <t>Annuaire statistique de la France, 1981, Institut National de la Statistique et des Études Économiques, Paris, 1982. p. 421</t>
        </r>
      </text>
    </comment>
    <comment ref="C37" authorId="0" shapeId="0" xr:uid="{11011547-CF97-4D28-B1F3-871CCCCB8E10}">
      <text>
        <r>
          <rPr>
            <sz val="9"/>
            <color indexed="81"/>
            <rFont val="Tahoma"/>
            <family val="2"/>
          </rPr>
          <t>Annuaire statistique de la France, 1985, Institut National de la Statistique et des Études Économiques, Paris, 1986. p. 553</t>
        </r>
      </text>
    </comment>
    <comment ref="D37" authorId="0" shapeId="0" xr:uid="{23984497-B620-4D57-97F6-AD1724BE74A7}">
      <text>
        <r>
          <rPr>
            <sz val="9"/>
            <color indexed="81"/>
            <rFont val="Tahoma"/>
            <family val="2"/>
          </rPr>
          <t>Les Comptes de l'industrie : la situation de l' industrie française en 1980, INSEE, 1981, p. 71</t>
        </r>
      </text>
    </comment>
    <comment ref="H37" authorId="0" shapeId="0" xr:uid="{AEBE3949-F230-4A47-9859-7EB24966C8CC}">
      <text>
        <r>
          <rPr>
            <sz val="9"/>
            <color indexed="81"/>
            <rFont val="Tahoma"/>
            <family val="2"/>
          </rPr>
          <t>Annuaire statistique de la France, 1981, Institut National de la Statistique et des Études Économiques, Paris, 1982. p. 421</t>
        </r>
      </text>
    </comment>
    <comment ref="K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CBB340D9-943E-4306-9C39-D0A6CF6DBB28}">
      <text>
        <r>
          <rPr>
            <sz val="9"/>
            <color indexed="81"/>
            <rFont val="Tahoma"/>
            <family val="2"/>
          </rPr>
          <t>Annuaire statistique de la France, 1982, Institut National de la Statistique et des Études Économiques, Paris, 1983. p. 497</t>
        </r>
      </text>
    </comment>
    <comment ref="C38" authorId="0" shapeId="0" xr:uid="{ED22E35A-4108-4380-81A7-1CC4B5DADAB0}">
      <text>
        <r>
          <rPr>
            <sz val="9"/>
            <color indexed="81"/>
            <rFont val="Tahoma"/>
            <family val="2"/>
          </rPr>
          <t>Annuaire statistique de la France, 1985, Institut National de la Statistique et des Études Économiques, Paris, 1986. p. 553</t>
        </r>
      </text>
    </comment>
    <comment ref="H38" authorId="0" shapeId="0" xr:uid="{18A631A7-B9CA-4880-A32D-C94B1F7D69D8}">
      <text>
        <r>
          <rPr>
            <sz val="9"/>
            <color indexed="81"/>
            <rFont val="Tahoma"/>
            <family val="2"/>
          </rPr>
          <t>Annuaire statistique de la France, 1982, Institut National de la Statistique et des Études Économiques, Paris, 1983. p. 497</t>
        </r>
      </text>
    </comment>
    <comment ref="K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7A61409D-B864-41C6-8F87-B489932A489D}">
      <text>
        <r>
          <rPr>
            <sz val="9"/>
            <color indexed="81"/>
            <rFont val="Tahoma"/>
            <family val="2"/>
          </rPr>
          <t>Annuaire statistique de la France, 1983, Institut National de la Statistique et des Études Économiques, Paris, 1984. p. 419</t>
        </r>
      </text>
    </comment>
    <comment ref="C39" authorId="0" shapeId="0" xr:uid="{A5D48374-0D33-4BF9-B374-4F27B17F2183}">
      <text>
        <r>
          <rPr>
            <sz val="9"/>
            <color indexed="81"/>
            <rFont val="Tahoma"/>
            <family val="2"/>
          </rPr>
          <t>Annuaire statistique de la France, 1985, Institut National de la Statistique et des Études Économiques, Paris, 1986. p. 553</t>
        </r>
      </text>
    </comment>
    <comment ref="H39" authorId="0" shapeId="0" xr:uid="{F3CC5D79-DFCA-46B8-8FDE-393438986A0C}">
      <text>
        <r>
          <rPr>
            <sz val="9"/>
            <color indexed="81"/>
            <rFont val="Tahoma"/>
            <family val="2"/>
          </rPr>
          <t>Annuaire statistique de la France, 1983, Institut National de la Statistique et des Études Économiques, Paris, 1984. p. 419</t>
        </r>
      </text>
    </comment>
    <comment ref="K39" authorId="0" shapeId="0" xr:uid="{F1F6C9DB-6BB0-491F-ADBC-DE27DDFA7417}">
      <text>
        <r>
          <rPr>
            <sz val="9"/>
            <color indexed="81"/>
            <rFont val="Tahoma"/>
            <family val="2"/>
          </rPr>
          <t>Annuaire statistique de la France, 1983, Institut National de la Statistique et des Études Économiques, Paris, 1984. p. 419</t>
        </r>
      </text>
    </comment>
    <comment ref="N39" authorId="0" shapeId="0" xr:uid="{8E029744-6B6C-46AE-A174-D28D9212EB30}">
      <text>
        <r>
          <rPr>
            <sz val="9"/>
            <color indexed="81"/>
            <rFont val="Tahoma"/>
            <family val="2"/>
          </rPr>
          <t>Annuaire statistique de la France, 1987, Institut National de la Statistique et des Études Économiques, Paris, 1988. p. 591</t>
        </r>
      </text>
    </comment>
    <comment ref="C40" authorId="0" shapeId="0" xr:uid="{C27B908D-5784-4AF9-A9EF-9015E2450687}">
      <text>
        <r>
          <rPr>
            <sz val="9"/>
            <color indexed="81"/>
            <rFont val="Tahoma"/>
            <family val="2"/>
          </rPr>
          <t>Annuaire statistique de la France, 1985, Institut National de la Statistique et des Études Économiques, Paris, 1986. p. 553</t>
        </r>
      </text>
    </comment>
    <comment ref="N40" authorId="0" shapeId="0" xr:uid="{932E61AE-DA44-4586-A410-6B7A5731BAB0}">
      <text>
        <r>
          <rPr>
            <sz val="9"/>
            <color indexed="81"/>
            <rFont val="Tahoma"/>
            <family val="2"/>
          </rPr>
          <t>Annuaire statistique de la France, 1987, Institut National de la Statistique et des Études Économiques, Paris, 1988. p. 591</t>
        </r>
      </text>
    </comment>
    <comment ref="C41" authorId="0" shapeId="0" xr:uid="{73807AE7-2482-4D39-8477-100A62653B69}">
      <text>
        <r>
          <rPr>
            <sz val="9"/>
            <color indexed="81"/>
            <rFont val="Tahoma"/>
            <family val="2"/>
          </rPr>
          <t>Annuaire statistique de la France, 1985, Institut National de la Statistique et des Études Économiques, Paris, 1986. p. 553</t>
        </r>
      </text>
    </comment>
    <comment ref="N41" authorId="0" shapeId="0" xr:uid="{FF4B41DA-2449-48DF-8C30-4EB4D6DD2516}">
      <text>
        <r>
          <rPr>
            <sz val="9"/>
            <color indexed="81"/>
            <rFont val="Tahoma"/>
            <family val="2"/>
          </rPr>
          <t>Annuaire statistique de la France, 1989, Institut National de la Statistique et des Études Économiques, Paris, 1990. p. 573</t>
        </r>
      </text>
    </comment>
    <comment ref="C42" authorId="0" shapeId="0" xr:uid="{4805F26C-BBDC-4A2A-9502-7B23024B91ED}">
      <text>
        <r>
          <rPr>
            <sz val="9"/>
            <color indexed="81"/>
            <rFont val="Tahoma"/>
            <family val="2"/>
          </rPr>
          <t>"L'industrie du verre en France", Verre, vol 1, no. 4, July-August 1995, p. 34-35</t>
        </r>
      </text>
    </comment>
    <comment ref="N42" authorId="0" shapeId="0" xr:uid="{A1E7234B-6C12-48A5-BC57-E489980F9F2A}">
      <text>
        <r>
          <rPr>
            <sz val="9"/>
            <color indexed="81"/>
            <rFont val="Tahoma"/>
            <family val="2"/>
          </rPr>
          <t>Annuaire statistique de la France, 1989, Institut National de la Statistique et des Études Économiques, Paris, 1990. p. 573</t>
        </r>
      </text>
    </comment>
    <comment ref="C43" authorId="0" shapeId="0" xr:uid="{3297D85D-62C0-4DF8-86F6-37A9D46632D5}">
      <text>
        <r>
          <rPr>
            <sz val="9"/>
            <color indexed="81"/>
            <rFont val="Tahoma"/>
            <family val="2"/>
          </rPr>
          <t>"L'industrie du verre en France", Verre, vol 1, no. 4, July-August 1995, p. 34-35</t>
        </r>
      </text>
    </comment>
    <comment ref="N43" authorId="0" shapeId="0" xr:uid="{0CDA5522-30BD-481E-91EE-9F67288676DC}">
      <text>
        <r>
          <rPr>
            <sz val="9"/>
            <color indexed="81"/>
            <rFont val="Tahoma"/>
            <family val="2"/>
          </rPr>
          <t>Annuaire statistique de la France, 1991-92, Institut National de la Statistique et des Études Économiques, Paris, 1993. p. 551</t>
        </r>
      </text>
    </comment>
    <comment ref="C44" authorId="0" shapeId="0" xr:uid="{6CC7F956-4D64-45CC-8689-07F85755E9C8}">
      <text>
        <r>
          <rPr>
            <sz val="9"/>
            <color indexed="81"/>
            <rFont val="Tahoma"/>
            <family val="2"/>
          </rPr>
          <t>"L'industrie du verre en France", Verre, vol 1, no. 4, July-August 1995, p. 34-35</t>
        </r>
      </text>
    </comment>
    <comment ref="N44" authorId="0" shapeId="0" xr:uid="{517D0C5E-AC3E-4397-86EE-7BB104372444}">
      <text>
        <r>
          <rPr>
            <sz val="9"/>
            <color indexed="81"/>
            <rFont val="Tahoma"/>
            <family val="2"/>
          </rPr>
          <t>Annuaire statistique de la France, 1991-92, Institut National de la Statistique et des Études Économiques, Paris, 1993. p. 551</t>
        </r>
      </text>
    </comment>
    <comment ref="C45" authorId="0" shapeId="0" xr:uid="{2BA8AE0B-4227-4C1B-9F0C-ADF074AD9641}">
      <text>
        <r>
          <rPr>
            <sz val="9"/>
            <color indexed="81"/>
            <rFont val="Tahoma"/>
            <family val="2"/>
          </rPr>
          <t>"L'industrie du verre en France", Verre, vol 1, no. 4, July-August 1995, p. 34-35</t>
        </r>
      </text>
    </comment>
    <comment ref="N45" authorId="0" shapeId="0" xr:uid="{02F77506-D543-4198-A601-DAB15B93D8BE}">
      <text>
        <r>
          <rPr>
            <sz val="9"/>
            <color indexed="81"/>
            <rFont val="Tahoma"/>
            <family val="2"/>
          </rPr>
          <t>Annuaire statistique de la France, 1991-92, Institut National de la Statistique et des Études Économiques, Paris, 1993. p. 551</t>
        </r>
      </text>
    </comment>
    <comment ref="C46" authorId="0" shapeId="0" xr:uid="{59AB9BC8-F330-4069-8893-C7A33920532A}">
      <text>
        <r>
          <rPr>
            <sz val="9"/>
            <color indexed="81"/>
            <rFont val="Tahoma"/>
            <family val="2"/>
          </rPr>
          <t>"L'industrie du verre en France", Verre, vol 1, no. 4, July-August 1995, p. 34-35</t>
        </r>
      </text>
    </comment>
    <comment ref="N46" authorId="0" shapeId="0" xr:uid="{9FEEF4FE-8655-4664-8F18-1D5A93F1FB42}">
      <text>
        <r>
          <rPr>
            <sz val="9"/>
            <color indexed="81"/>
            <rFont val="Tahoma"/>
            <family val="2"/>
          </rPr>
          <t>Annuaire statistique de la France, 1991-92, Institut National de la Statistique et des Études Économiques, Paris, 1993. p. 551</t>
        </r>
      </text>
    </comment>
    <comment ref="C47" authorId="0" shapeId="0" xr:uid="{B5404496-9EAD-42D6-919D-87DC457ABF3A}">
      <text>
        <r>
          <rPr>
            <sz val="9"/>
            <color indexed="81"/>
            <rFont val="Tahoma"/>
            <family val="2"/>
          </rPr>
          <t>"L'industrie du verre en France", Verre, vol 1, no. 4, July-August 1995, p. 34-35</t>
        </r>
      </text>
    </comment>
    <comment ref="N47" authorId="0" shapeId="0" xr:uid="{F4175C34-5B56-48FE-8EEB-12E08997EE57}">
      <text>
        <r>
          <rPr>
            <sz val="9"/>
            <color indexed="81"/>
            <rFont val="Tahoma"/>
            <family val="2"/>
          </rPr>
          <t>Annuaire statistique de la France, 1991-92, Institut National de la Statistique et des Études Économiques, Paris, 1993. p. 551</t>
        </r>
      </text>
    </comment>
    <comment ref="C48" authorId="0" shapeId="0" xr:uid="{F399DEAC-776D-4290-8F05-4879B0C6DC68}">
      <text>
        <r>
          <rPr>
            <sz val="9"/>
            <color indexed="81"/>
            <rFont val="Tahoma"/>
            <family val="2"/>
          </rPr>
          <t>"L'industrie du verre en France", Verre, vol 1, no. 4, July-August 1995, p. 34-35</t>
        </r>
      </text>
    </comment>
    <comment ref="N48" authorId="0" shapeId="0" xr:uid="{825D18E8-6F12-428A-A94D-8EB62024A992}">
      <text>
        <r>
          <rPr>
            <sz val="9"/>
            <color indexed="81"/>
            <rFont val="Tahoma"/>
            <family val="2"/>
          </rPr>
          <t>Annuaire statistique de la France, 1993, Institut National de la Statistique et des Études Économiques, Paris, 1994. p. 551</t>
        </r>
      </text>
    </comment>
    <comment ref="C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N49" authorId="0" shapeId="0" xr:uid="{5F2511C6-4C72-400A-A0CE-0B88410C9848}">
      <text>
        <r>
          <rPr>
            <sz val="9"/>
            <color indexed="81"/>
            <rFont val="Tahoma"/>
            <family val="2"/>
          </rPr>
          <t>Annuaire statistique de la France, 1994, Institut National de la Statistique et des Études Économiques, Paris, 1995. p. 593</t>
        </r>
      </text>
    </comment>
    <comment ref="C50" authorId="0" shapeId="0" xr:uid="{C2C62BD6-DB80-41CC-B3B0-1DFD4A17F472}">
      <text>
        <r>
          <rPr>
            <sz val="9"/>
            <color indexed="81"/>
            <rFont val="Tahoma"/>
            <family val="2"/>
          </rPr>
          <t>"Statistiques de l'industrie du verre", Verre, vol. 8, n°2, March-April 1994, p. 109</t>
        </r>
      </text>
    </comment>
    <comment ref="N50" authorId="0" shapeId="0" xr:uid="{BE4E09DC-B2B7-4B34-BC91-355BAFB1A703}">
      <text>
        <r>
          <rPr>
            <sz val="9"/>
            <color indexed="81"/>
            <rFont val="Tahoma"/>
            <family val="2"/>
          </rPr>
          <t>Annuaire statistique de la France, 1994, Institut National de la Statistique et des Études Économiques, Paris, 1995. p. 593</t>
        </r>
      </text>
    </comment>
    <comment ref="C51" authorId="0" shapeId="0" xr:uid="{CA88BFE8-50A6-427D-85B8-F2EF00C134FE}">
      <text>
        <r>
          <rPr>
            <sz val="9"/>
            <color indexed="81"/>
            <rFont val="Tahoma"/>
            <family val="2"/>
          </rPr>
          <t>"Statistiques de l'industrie verrière française en 1994", Verre, vol. 1, n°2, March-April 1995, p. 26-7</t>
        </r>
      </text>
    </comment>
    <comment ref="D51" authorId="0" shapeId="0" xr:uid="{108D1411-E8FE-49FC-81A4-337C6874655A}">
      <text>
        <r>
          <rPr>
            <sz val="9"/>
            <color indexed="81"/>
            <rFont val="Tahoma"/>
            <family val="2"/>
          </rPr>
          <t>"L'industrie du verre en France", Verre, vol 1, no. 4, July-August 1995, p. 34-35</t>
        </r>
      </text>
    </comment>
    <comment ref="N51" authorId="0" shapeId="0" xr:uid="{DDD23B62-A7AE-4E9E-9392-0FDE9FECD422}">
      <text>
        <r>
          <rPr>
            <sz val="9"/>
            <color indexed="81"/>
            <rFont val="Tahoma"/>
            <family val="2"/>
          </rPr>
          <t>Annuaire statistique de la France, 1997, Institut National de la Statistique et des Études Économiques, Paris, 1998. p. 691</t>
        </r>
      </text>
    </comment>
    <comment ref="O51" authorId="0" shapeId="0" xr:uid="{DBFD3C7B-08BF-4E35-BFC3-3EA16BDB337C}">
      <text>
        <r>
          <rPr>
            <sz val="9"/>
            <color indexed="81"/>
            <rFont val="Tahoma"/>
            <family val="2"/>
          </rPr>
          <t>"Statistiques du verre plat en France", Verre, vol. 3, n° 5, September-October 1997, p. 42-43</t>
        </r>
      </text>
    </comment>
    <comment ref="P51" authorId="0" shapeId="0" xr:uid="{A05AEE25-BE83-49F2-A8B4-2086069614BA}">
      <text>
        <r>
          <rPr>
            <sz val="9"/>
            <color indexed="81"/>
            <rFont val="Tahoma"/>
            <family val="2"/>
          </rPr>
          <t>"Statistiques du verre plat en France", Verre, vol. 3, n° 5, September-October 1997, p. 42-43</t>
        </r>
      </text>
    </comment>
    <comment ref="C52" authorId="0" shapeId="0" xr:uid="{9A6DE3C5-F443-4B87-9F08-89230F7F7482}">
      <text>
        <r>
          <rPr>
            <sz val="9"/>
            <color indexed="81"/>
            <rFont val="Tahoma"/>
            <family val="2"/>
          </rPr>
          <t>"Le verre plat européen: stragies et réalités", Verre, vol. 2, n° 5, septembre-octobre 1996, p. 40-6</t>
        </r>
      </text>
    </comment>
    <comment ref="N52" authorId="0" shapeId="0" xr:uid="{54DD236D-EBB8-4BB5-81E3-9ACECD7FB205}">
      <text>
        <r>
          <rPr>
            <sz val="9"/>
            <color indexed="81"/>
            <rFont val="Tahoma"/>
            <family val="2"/>
          </rPr>
          <t>Annuaire statistique de la France, 1997, Institut National de la Statistique et des Études Économiques, Paris, 1998. p. 691</t>
        </r>
      </text>
    </comment>
    <comment ref="O52" authorId="0" shapeId="0" xr:uid="{E9E2C86C-310B-4AA7-AC26-971ECA5D6FAD}">
      <text>
        <r>
          <rPr>
            <sz val="9"/>
            <color indexed="81"/>
            <rFont val="Tahoma"/>
            <family val="2"/>
          </rPr>
          <t>"Statistiques du verre plat en France", Verre, vol. 3, n° 5, September-October 1997, p. 42-43</t>
        </r>
      </text>
    </comment>
    <comment ref="P52" authorId="0" shapeId="0" xr:uid="{6937FAF9-B9F5-4150-A013-FA413D249FDC}">
      <text>
        <r>
          <rPr>
            <sz val="9"/>
            <color indexed="81"/>
            <rFont val="Tahoma"/>
            <family val="2"/>
          </rPr>
          <t>"Statistiques du verre plat en France", Verre, vol. 3, n° 5, September-October 1997, p. 42-43</t>
        </r>
      </text>
    </comment>
    <comment ref="C53" authorId="0" shapeId="0" xr:uid="{FD30F92E-BC62-4C5B-A354-7429E72190D5}">
      <text>
        <r>
          <rPr>
            <sz val="9"/>
            <color indexed="81"/>
            <rFont val="Tahoma"/>
            <family val="2"/>
          </rPr>
          <t>"Statistiques de l'industrie verrière fançaise en 1996", Verre, vol. 3, n° 2, mars-avril 1997, p. 32-33</t>
        </r>
      </text>
    </comment>
    <comment ref="N53" authorId="0" shapeId="0" xr:uid="{5CFA633E-C255-42C4-BEB1-6E3CBEC44F47}">
      <text>
        <r>
          <rPr>
            <sz val="9"/>
            <color indexed="81"/>
            <rFont val="Tahoma"/>
            <family val="2"/>
          </rPr>
          <t>Annuaire statistique de la France, 1997, Institut National de la Statistique et des Études Économiques, Paris, 1998. p. 691</t>
        </r>
      </text>
    </comment>
    <comment ref="O53" authorId="0" shapeId="0" xr:uid="{94B8AFB2-C001-4E09-96CD-4B19470B2337}">
      <text>
        <r>
          <rPr>
            <sz val="9"/>
            <color indexed="81"/>
            <rFont val="Tahoma"/>
            <family val="2"/>
          </rPr>
          <t>"Statistiques du verre plat en France", Verre, vol. 3, n° 5, September-October 1997, p. 42-43</t>
        </r>
      </text>
    </comment>
    <comment ref="P53" authorId="0" shapeId="0" xr:uid="{23B19701-1AC6-4923-A8B4-42F34818CAE3}">
      <text>
        <r>
          <rPr>
            <sz val="9"/>
            <color indexed="81"/>
            <rFont val="Tahoma"/>
            <family val="2"/>
          </rPr>
          <t>"Statistiques du verre plat en France", Verre, vol. 3, n° 5, September-October 1997, p. 42-43</t>
        </r>
      </text>
    </comment>
    <comment ref="C54" authorId="0" shapeId="0" xr:uid="{22E0FCEF-B881-49C0-B7D2-E6845E5A7101}">
      <text>
        <r>
          <rPr>
            <sz val="9"/>
            <color indexed="81"/>
            <rFont val="Tahoma"/>
            <family val="2"/>
          </rPr>
          <t>"Statistiques de l'industrie verrière en 1997", Verre, vol. 4, n°2, March-April 1998, p. 58-9</t>
        </r>
      </text>
    </comment>
    <comment ref="O54" authorId="0" shapeId="0" xr:uid="{959AC26E-CBCC-4DEC-8560-09863F60F4B2}">
      <text>
        <r>
          <rPr>
            <sz val="9"/>
            <color indexed="81"/>
            <rFont val="Tahoma"/>
            <family val="2"/>
          </rPr>
          <t>PRODCOM, Eurostat, 2020
Code: 23121230
Label: Toughened (tempered) safety glass, n.e.c.</t>
        </r>
      </text>
    </comment>
    <comment ref="C55" authorId="0" shapeId="0" xr:uid="{4811262D-538F-46E6-BC99-539216137CB2}">
      <text>
        <r>
          <rPr>
            <sz val="9"/>
            <color indexed="81"/>
            <rFont val="Tahoma"/>
            <family val="2"/>
          </rPr>
          <t>"L'industrie verrière française en 2003", Verre, vol. 10, n° 5, October 2004, p. 52-6</t>
        </r>
      </text>
    </comment>
    <comment ref="N55" authorId="0" shapeId="0" xr:uid="{BD693CD3-0DB4-4B0D-974A-1ACF4B7D23E5}">
      <text>
        <r>
          <rPr>
            <sz val="9"/>
            <color indexed="81"/>
            <rFont val="Tahoma"/>
            <family val="2"/>
          </rPr>
          <t xml:space="preserve">PRODCOM, Eurostat, 2020
Code: 23121330
Label: Multiple-walled insulating units of glass </t>
        </r>
      </text>
    </comment>
    <comment ref="O55" authorId="0" shapeId="0" xr:uid="{17C3FCA3-8582-46E8-B635-0A3C205A5F8E}">
      <text>
        <r>
          <rPr>
            <sz val="9"/>
            <color indexed="81"/>
            <rFont val="Tahoma"/>
            <family val="2"/>
          </rPr>
          <t>PRODCOM, Eurostat, 2020
Code: 23121230
Label: Toughened (tempered) safety glass, n.e.c.</t>
        </r>
      </text>
    </comment>
    <comment ref="P55" authorId="0" shapeId="0" xr:uid="{9558DA2A-68D2-44DC-BF92-6BB69F0C1C7A}">
      <text>
        <r>
          <rPr>
            <sz val="9"/>
            <color indexed="81"/>
            <rFont val="Tahoma"/>
            <family val="2"/>
          </rPr>
          <t>PRODCOM, Eurostat, 2020
Code: 23121270
Label: Laminated safety glass, n.e.c.</t>
        </r>
      </text>
    </comment>
    <comment ref="C56" authorId="0" shapeId="0" xr:uid="{F46C0D4B-E8F3-4810-8718-913BC43B8B4A}">
      <text>
        <r>
          <rPr>
            <sz val="9"/>
            <color indexed="81"/>
            <rFont val="Tahoma"/>
            <family val="2"/>
          </rPr>
          <t>"L'industrie verrière française en 2003", Verre, vol. 10 n°5 octobre 2004, 52-56</t>
        </r>
      </text>
    </comment>
    <comment ref="N56" authorId="0" shapeId="0" xr:uid="{BAB244C9-B46F-4C1C-B39E-8A9EDD00A709}">
      <text>
        <r>
          <rPr>
            <sz val="9"/>
            <color indexed="81"/>
            <rFont val="Tahoma"/>
            <family val="2"/>
          </rPr>
          <t xml:space="preserve">PRODCOM, Eurostat, 2020
Code: 23121330
Label: Multiple-walled insulating units of glass </t>
        </r>
      </text>
    </comment>
    <comment ref="O56" authorId="0" shapeId="0" xr:uid="{1BC29155-BD7E-4A4D-AC0D-E0A233A1B0EB}">
      <text>
        <r>
          <rPr>
            <sz val="9"/>
            <color indexed="81"/>
            <rFont val="Tahoma"/>
            <family val="2"/>
          </rPr>
          <t>PRODCOM, Eurostat, 2020
Code: 23121230
Label: Toughened (tempered) safety glass, n.e.c.</t>
        </r>
      </text>
    </comment>
    <comment ref="P56" authorId="0" shapeId="0" xr:uid="{D7250795-E583-4719-869A-DD8981F0DE4F}">
      <text>
        <r>
          <rPr>
            <sz val="9"/>
            <color indexed="81"/>
            <rFont val="Tahoma"/>
            <family val="2"/>
          </rPr>
          <t>PRODCOM, Eurostat, 2020
Code: 23121270
Label: Laminated safety glass, n.e.c.</t>
        </r>
      </text>
    </comment>
    <comment ref="C57" authorId="0" shapeId="0" xr:uid="{4D33A3D7-BB36-419D-8223-01AA51ECAF99}">
      <text>
        <r>
          <rPr>
            <sz val="9"/>
            <color indexed="81"/>
            <rFont val="Tahoma"/>
            <family val="2"/>
          </rPr>
          <t>"L'industrie verrière française en 2003", Verre, vol. 10 n°5 octobre 2004, 52-56</t>
        </r>
      </text>
    </comment>
    <comment ref="N57" authorId="0" shapeId="0" xr:uid="{199C7D39-0E25-4898-A6C2-0AACBA614FA9}">
      <text>
        <r>
          <rPr>
            <sz val="9"/>
            <color indexed="81"/>
            <rFont val="Tahoma"/>
            <family val="2"/>
          </rPr>
          <t xml:space="preserve">PRODCOM, Eurostat, 2020
Code: 23121330
Label: Multiple-walled insulating units of glass </t>
        </r>
      </text>
    </comment>
    <comment ref="O57" authorId="0" shapeId="0" xr:uid="{FF7E30A2-FBEB-41A4-9B0B-D3666FD47A77}">
      <text>
        <r>
          <rPr>
            <sz val="9"/>
            <color indexed="81"/>
            <rFont val="Tahoma"/>
            <family val="2"/>
          </rPr>
          <t>PRODCOM, Eurostat, 2020
Code: 23121230
Label: Toughened (tempered) safety glass, n.e.c.</t>
        </r>
      </text>
    </comment>
    <comment ref="P57" authorId="0" shapeId="0" xr:uid="{BEF3B338-683E-4338-A22A-A1B02FC5474B}">
      <text>
        <r>
          <rPr>
            <sz val="9"/>
            <color indexed="81"/>
            <rFont val="Tahoma"/>
            <family val="2"/>
          </rPr>
          <t>PRODCOM, Eurostat, 2020
Code: 23121270
Label: Laminated safety glass, n.e.c.</t>
        </r>
      </text>
    </comment>
    <comment ref="C58" authorId="0" shapeId="0" xr:uid="{CD6420F0-E628-44E1-BEA5-B933D098E632}">
      <text>
        <r>
          <rPr>
            <sz val="9"/>
            <color indexed="81"/>
            <rFont val="Tahoma"/>
            <family val="2"/>
          </rPr>
          <t>"L'industrie verrière française en 2003", Verre, vol. 10 n°5 octobre 2004, 52-56</t>
        </r>
      </text>
    </comment>
    <comment ref="N58" authorId="0" shapeId="0" xr:uid="{28A45039-8DBE-4519-AB99-D04EC8A396B3}">
      <text>
        <r>
          <rPr>
            <sz val="9"/>
            <color indexed="81"/>
            <rFont val="Tahoma"/>
            <family val="2"/>
          </rPr>
          <t xml:space="preserve">PRODCOM, Eurostat, 2020
Code: 23121330
Label: Multiple-walled insulating units of glass </t>
        </r>
      </text>
    </comment>
    <comment ref="O58" authorId="0" shapeId="0" xr:uid="{9607A19A-BE2C-4F5C-ACAD-51F4BF3140F3}">
      <text>
        <r>
          <rPr>
            <sz val="9"/>
            <color indexed="81"/>
            <rFont val="Tahoma"/>
            <family val="2"/>
          </rPr>
          <t>PRODCOM, Eurostat, 2020
Code: 23121230
Label: Toughened (tempered) safety glass, n.e.c.</t>
        </r>
      </text>
    </comment>
    <comment ref="P58" authorId="0" shapeId="0" xr:uid="{03577CD0-91E7-4C0B-B6DC-C4FA18C0CC09}">
      <text>
        <r>
          <rPr>
            <sz val="9"/>
            <color indexed="81"/>
            <rFont val="Tahoma"/>
            <family val="2"/>
          </rPr>
          <t>PRODCOM, Eurostat, 2020
Code: 23121270
Label: Laminated safety glass, n.e.c.</t>
        </r>
      </text>
    </comment>
    <comment ref="C59" authorId="0" shapeId="0" xr:uid="{C9FA6131-4EC5-4C17-A4F9-30FE42F9B5CD}">
      <text>
        <r>
          <rPr>
            <sz val="9"/>
            <color indexed="81"/>
            <rFont val="Tahoma"/>
            <family val="2"/>
          </rPr>
          <t>"L'industrie française du verre", Verre, vol. 11 n°3 Juin 2005, 68_72</t>
        </r>
      </text>
    </comment>
    <comment ref="D59" authorId="0" shapeId="0" xr:uid="{0DF707E3-761D-409C-99C9-3C1CD0AC0C13}">
      <text>
        <r>
          <rPr>
            <sz val="9"/>
            <color indexed="81"/>
            <rFont val="Tahoma"/>
            <family val="2"/>
          </rPr>
          <t>Verre Online, portail de l’industrie du verre française,
http://www.verreonline.fr/junior/indu00.php
(accessed  October 6 2019)</t>
        </r>
      </text>
    </comment>
    <comment ref="C60" authorId="0" shapeId="0" xr:uid="{17D9D6D3-AACE-4F44-AF33-6D0E9D6470B8}">
      <text>
        <r>
          <rPr>
            <sz val="9"/>
            <color indexed="81"/>
            <rFont val="Tahoma"/>
            <family val="2"/>
          </rPr>
          <t>"L'industrie française du verre en 2003", Verre, vol. 10 n°5, October 2004, 52-6</t>
        </r>
      </text>
    </comment>
    <comment ref="N60" authorId="0" shapeId="0" xr:uid="{3B4D5377-BE45-4AF0-B42F-E5573453EC1B}">
      <text>
        <r>
          <rPr>
            <sz val="9"/>
            <color indexed="81"/>
            <rFont val="Tahoma"/>
            <family val="2"/>
          </rPr>
          <t xml:space="preserve">PRODCOM, Eurostat, 2020
Code: 23121330
Label: Multiple-walled insulating units of glass </t>
        </r>
      </text>
    </comment>
    <comment ref="P60" authorId="0" shapeId="0" xr:uid="{D7992CF9-B532-4DF3-9D90-43B07DD9A07E}">
      <text>
        <r>
          <rPr>
            <sz val="9"/>
            <color indexed="81"/>
            <rFont val="Tahoma"/>
            <family val="2"/>
          </rPr>
          <t>PRODCOM, Eurostat, 2020
Code: 23121270
Label: Laminated safety glass, n.e.c.</t>
        </r>
      </text>
    </comment>
    <comment ref="C61" authorId="0" shapeId="0" xr:uid="{5FAC6FFF-C7AB-4273-9D89-4B05758AC22A}">
      <text>
        <r>
          <rPr>
            <sz val="9"/>
            <color indexed="81"/>
            <rFont val="Tahoma"/>
            <family val="2"/>
          </rPr>
          <t>"L'industrie française du verre", Verre, vol. 11 n°3 Juin 2005, p. 68-72</t>
        </r>
      </text>
    </comment>
    <comment ref="D61" authorId="0" shapeId="0" xr:uid="{EB883FF0-5EDF-4C25-AD66-35988533AFA8}">
      <text>
        <r>
          <rPr>
            <sz val="9"/>
            <color indexed="81"/>
            <rFont val="Tahoma"/>
            <family val="2"/>
          </rPr>
          <t>"L'industrie verrière française en 2003", Verre, vol. 10 n°5 octobre 2004, 52-56</t>
        </r>
      </text>
    </comment>
    <comment ref="N61" authorId="0" shapeId="0" xr:uid="{145076F5-E385-4A79-B0D2-2BF31DE0EB5F}">
      <text>
        <r>
          <rPr>
            <sz val="9"/>
            <color indexed="81"/>
            <rFont val="Tahoma"/>
            <family val="2"/>
          </rPr>
          <t xml:space="preserve">PRODCOM, Eurostat, 2020
Code: 23121330
Label: Multiple-walled insulating units of glass </t>
        </r>
      </text>
    </comment>
    <comment ref="O61" authorId="0" shapeId="0" xr:uid="{D5DDB4ED-ECDD-4F9A-91FF-A9D2682B7F23}">
      <text>
        <r>
          <rPr>
            <sz val="9"/>
            <color indexed="81"/>
            <rFont val="Tahoma"/>
            <family val="2"/>
          </rPr>
          <t>PRODCOM, Eurostat, 2020
Code: 23121230
Label: Toughened (tempered) safety glass, n.e.c.</t>
        </r>
      </text>
    </comment>
    <comment ref="P61" authorId="0" shapeId="0" xr:uid="{C15DC969-2832-4774-BE51-BD877DFC5EBF}">
      <text>
        <r>
          <rPr>
            <sz val="9"/>
            <color indexed="81"/>
            <rFont val="Tahoma"/>
            <family val="2"/>
          </rPr>
          <t>PRODCOM, Eurostat, 2020
Code: 23121270
Label: Laminated safety glass, n.e.c.</t>
        </r>
      </text>
    </comment>
    <comment ref="C62" authorId="0" shapeId="0" xr:uid="{6DB0907B-B883-4E55-9ED1-7F713128AF7A}">
      <text>
        <r>
          <rPr>
            <sz val="9"/>
            <color indexed="81"/>
            <rFont val="Tahoma"/>
            <family val="2"/>
          </rPr>
          <t>"L'industrie française du verre", Verre, vol. 11 n°3 Juin 2005, 68_72</t>
        </r>
      </text>
    </comment>
    <comment ref="N62" authorId="0" shapeId="0" xr:uid="{C7E96746-251F-48F9-8851-7AD9938CDFCB}">
      <text>
        <r>
          <rPr>
            <sz val="9"/>
            <color indexed="81"/>
            <rFont val="Tahoma"/>
            <family val="2"/>
          </rPr>
          <t xml:space="preserve">PRODCOM, Eurostat, 2020
Code: 23121330
Label: Multiple-walled insulating units of glass </t>
        </r>
      </text>
    </comment>
    <comment ref="O62" authorId="0" shapeId="0" xr:uid="{1074DEE6-882B-4800-A250-647A4EBAB741}">
      <text>
        <r>
          <rPr>
            <sz val="9"/>
            <color indexed="81"/>
            <rFont val="Tahoma"/>
            <family val="2"/>
          </rPr>
          <t>PRODCOM, Eurostat, 2020
Code: 23121230
Label: Toughened (tempered) safety glass, n.e.c.</t>
        </r>
      </text>
    </comment>
    <comment ref="P62" authorId="0" shapeId="0" xr:uid="{75DEF1D4-8B30-41DD-AE2D-3592C30AF638}">
      <text>
        <r>
          <rPr>
            <sz val="9"/>
            <color indexed="81"/>
            <rFont val="Tahoma"/>
            <family val="2"/>
          </rPr>
          <t>PRODCOM, Eurostat, 2020
Code: 23121270
Label: Laminated safety glass, n.e.c.</t>
        </r>
      </text>
    </comment>
    <comment ref="C63" authorId="0" shapeId="0" xr:uid="{05C99B5A-7242-4DF3-B576-A575ADDACFD1}">
      <text>
        <r>
          <rPr>
            <sz val="9"/>
            <color indexed="81"/>
            <rFont val="Tahoma"/>
            <family val="2"/>
          </rPr>
          <t>"Lindustrie verrière française en 2006", Verre, vol.13, no. 6, dec 2007, 66-9</t>
        </r>
      </text>
    </comment>
    <comment ref="N63" authorId="0" shapeId="0" xr:uid="{7DC4F8D9-2090-480C-8299-BF7429CBF7C5}">
      <text>
        <r>
          <rPr>
            <sz val="9"/>
            <color indexed="81"/>
            <rFont val="Tahoma"/>
            <family val="2"/>
          </rPr>
          <t xml:space="preserve">PRODCOM, Eurostat, 2020
Code: 23121330
Label: Multiple-walled insulating units of glass </t>
        </r>
      </text>
    </comment>
    <comment ref="O63" authorId="0" shapeId="0" xr:uid="{E34512A8-6E02-4F56-9B27-E7F239E9A79F}">
      <text>
        <r>
          <rPr>
            <sz val="9"/>
            <color indexed="81"/>
            <rFont val="Tahoma"/>
            <family val="2"/>
          </rPr>
          <t>PRODCOM, Eurostat, 2020
Code: 23121230
Label: Toughened (tempered) safety glass, n.e.c.</t>
        </r>
      </text>
    </comment>
    <comment ref="P63" authorId="0" shapeId="0" xr:uid="{EEACD3B0-0D39-4A9A-A603-BFB1B91163A2}">
      <text>
        <r>
          <rPr>
            <sz val="9"/>
            <color indexed="81"/>
            <rFont val="Tahoma"/>
            <family val="2"/>
          </rPr>
          <t>PRODCOM, Eurostat, 2020
Code: 23121270
Label: Laminated safety glass, n.e.c.</t>
        </r>
      </text>
    </comment>
    <comment ref="C64" authorId="0" shapeId="0" xr:uid="{EA201989-7BD6-4CB6-9108-A9DD8FF988D9}">
      <text>
        <r>
          <rPr>
            <sz val="9"/>
            <color indexed="81"/>
            <rFont val="Tahoma"/>
            <family val="2"/>
          </rPr>
          <t>"L'industrie verrière française en 2007", Verre, vol. 14, n°4, august 2008, p. 10-3</t>
        </r>
      </text>
    </comment>
    <comment ref="N64" authorId="0" shapeId="0" xr:uid="{ADA85C24-1557-485C-AF31-A94B48DB06FF}">
      <text>
        <r>
          <rPr>
            <sz val="9"/>
            <color indexed="81"/>
            <rFont val="Tahoma"/>
            <family val="2"/>
          </rPr>
          <t xml:space="preserve">PRODCOM, Eurostat, 2020
Code: 23121330
Label: Multiple-walled insulating units of glass </t>
        </r>
      </text>
    </comment>
    <comment ref="O64" authorId="0" shapeId="0" xr:uid="{8A6E0FD0-C5EA-4B40-8D8A-410466136D8B}">
      <text>
        <r>
          <rPr>
            <sz val="9"/>
            <color indexed="81"/>
            <rFont val="Tahoma"/>
            <family val="2"/>
          </rPr>
          <t>PRODCOM, Eurostat, 2020
Code: 23121230
Label: Toughened (tempered) safety glass, n.e.c.</t>
        </r>
      </text>
    </comment>
    <comment ref="P64" authorId="0" shapeId="0" xr:uid="{171FD594-BAD8-4D3D-86BD-537EB56BD1A4}">
      <text>
        <r>
          <rPr>
            <sz val="9"/>
            <color indexed="81"/>
            <rFont val="Tahoma"/>
            <family val="2"/>
          </rPr>
          <t>PRODCOM, Eurostat, 2020
Code: 23121270
Label: Laminated safety glass, n.e.c.</t>
        </r>
      </text>
    </comment>
    <comment ref="C65" authorId="0" shapeId="0" xr:uid="{A4DA013E-AC30-415E-A5C3-7028F2850EE1}">
      <text>
        <r>
          <rPr>
            <sz val="9"/>
            <color indexed="81"/>
            <rFont val="Tahoma"/>
            <family val="2"/>
          </rPr>
          <t>"L'évolution générale de l'industrie du verre en 2008", Verre, vol. 15, n°5, nov. 2009, p. 37-9</t>
        </r>
      </text>
    </comment>
    <comment ref="N65" authorId="0" shapeId="0" xr:uid="{0DF39D50-D738-4EF9-815C-50194703B939}">
      <text>
        <r>
          <rPr>
            <sz val="9"/>
            <color indexed="81"/>
            <rFont val="Tahoma"/>
            <family val="2"/>
          </rPr>
          <t xml:space="preserve">PRODCOM, Eurostat, 2020
Code: 23121330
Label: Multiple-walled insulating units of glass </t>
        </r>
      </text>
    </comment>
    <comment ref="O65" authorId="0" shapeId="0" xr:uid="{F0D5B377-BFA3-4082-9A6F-6B05985B2677}">
      <text>
        <r>
          <rPr>
            <sz val="9"/>
            <color indexed="81"/>
            <rFont val="Tahoma"/>
            <family val="2"/>
          </rPr>
          <t>PRODCOM, Eurostat, 2020
Code: 23121230
Label: Toughened (tempered) safety glass, n.e.c.</t>
        </r>
      </text>
    </comment>
    <comment ref="P65" authorId="0" shapeId="0" xr:uid="{67C24F64-F30C-4C9E-B3FE-D0234405C777}">
      <text>
        <r>
          <rPr>
            <sz val="9"/>
            <color indexed="81"/>
            <rFont val="Tahoma"/>
            <family val="2"/>
          </rPr>
          <t>PRODCOM, Eurostat, 2020
Code: 23121270
Label: Laminated safety glass, n.e.c.</t>
        </r>
      </text>
    </comment>
    <comment ref="C66" authorId="0" shapeId="0" xr:uid="{B9167F23-4557-441E-B2F1-E6FC9117206F}">
      <text>
        <r>
          <rPr>
            <b/>
            <sz val="9"/>
            <color indexed="81"/>
            <rFont val="Tahoma"/>
            <family val="2"/>
          </rPr>
          <t>jean:</t>
        </r>
        <r>
          <rPr>
            <sz val="9"/>
            <color indexed="81"/>
            <rFont val="Tahoma"/>
            <family val="2"/>
          </rPr>
          <t xml:space="preserve">
Rapport d'activité 2013, Fédération des industries du verre.
http://www.verre-avenir.fr/Espace-Communication/Espace-Presse/Communiques-de-presse</t>
        </r>
      </text>
    </comment>
    <comment ref="N66" authorId="0" shapeId="0" xr:uid="{FE55B507-78BF-4278-A0C5-45284538797D}">
      <text>
        <r>
          <rPr>
            <sz val="9"/>
            <color indexed="81"/>
            <rFont val="Tahoma"/>
            <family val="2"/>
          </rPr>
          <t xml:space="preserve">PRODCOM, Eurostat, 2020
Code: 23121330
Label: Multiple-walled insulating units of glass </t>
        </r>
      </text>
    </comment>
    <comment ref="O66" authorId="0" shapeId="0" xr:uid="{09BD6D4D-219E-48F0-99F7-4A15098E25CA}">
      <text>
        <r>
          <rPr>
            <sz val="9"/>
            <color indexed="81"/>
            <rFont val="Tahoma"/>
            <family val="2"/>
          </rPr>
          <t>PRODCOM, Eurostat, 2020
Code: 23121230
Label: Toughened (tempered) safety glass, n.e.c.</t>
        </r>
      </text>
    </comment>
    <comment ref="P66" authorId="0" shapeId="0" xr:uid="{E01CC1A8-21D9-4A9D-8D6D-7813645B82EC}">
      <text>
        <r>
          <rPr>
            <sz val="9"/>
            <color indexed="81"/>
            <rFont val="Tahoma"/>
            <family val="2"/>
          </rPr>
          <t>PRODCOM, Eurostat, 2020
Code: 23121270
Label: Laminated safety glass, n.e.c.</t>
        </r>
      </text>
    </comment>
    <comment ref="C67" authorId="0" shapeId="0" xr:uid="{22789D38-1379-40C5-868E-8E77CC513627}">
      <text>
        <r>
          <rPr>
            <b/>
            <sz val="9"/>
            <color indexed="81"/>
            <rFont val="Tahoma"/>
            <family val="2"/>
          </rPr>
          <t>jean:</t>
        </r>
        <r>
          <rPr>
            <sz val="9"/>
            <color indexed="81"/>
            <rFont val="Tahoma"/>
            <family val="2"/>
          </rPr>
          <t xml:space="preserve">
Rapport d'activité 2013, Fédération des industries du verre.
http://www.verre-avenir.fr/Espace-Communication/Espace-Presse/Communiques-de-presse</t>
        </r>
      </text>
    </comment>
    <comment ref="N67" authorId="0" shapeId="0" xr:uid="{93229A4D-7E79-406E-BD03-5C92323E8069}">
      <text>
        <r>
          <rPr>
            <sz val="9"/>
            <color indexed="81"/>
            <rFont val="Tahoma"/>
            <family val="2"/>
          </rPr>
          <t xml:space="preserve">PRODCOM, Eurostat, 2020
Code: 23121330
Label: Multiple-walled insulating units of glass </t>
        </r>
      </text>
    </comment>
    <comment ref="O67" authorId="0" shapeId="0" xr:uid="{32D96FCD-BE52-4989-BB4F-B1ABDF501C44}">
      <text>
        <r>
          <rPr>
            <sz val="9"/>
            <color indexed="81"/>
            <rFont val="Tahoma"/>
            <family val="2"/>
          </rPr>
          <t>PRODCOM, Eurostat, 2020
Code: 23121230
Label: Toughened (tempered) safety glass, n.e.c.</t>
        </r>
      </text>
    </comment>
    <comment ref="P67" authorId="0" shapeId="0" xr:uid="{33CCA0FF-80D3-46F5-87E5-2E910E861045}">
      <text>
        <r>
          <rPr>
            <sz val="9"/>
            <color indexed="81"/>
            <rFont val="Tahoma"/>
            <family val="2"/>
          </rPr>
          <t>PRODCOM, Eurostat, 2020
Code: 23121270
Label: Laminated safety glass, n.e.c.</t>
        </r>
      </text>
    </comment>
    <comment ref="C68" authorId="0" shapeId="0" xr:uid="{BFC6D6EF-1C34-4040-94F3-E4608FD6C59D}">
      <text>
        <r>
          <rPr>
            <sz val="9"/>
            <color indexed="81"/>
            <rFont val="Tahoma"/>
            <family val="2"/>
          </rPr>
          <t>Rapport d'activité 2013, Fédération des industries du verre.
http://www.verre-avenir.fr/Espace-Communication/Espace-Presse/Communiques-de-presse</t>
        </r>
      </text>
    </comment>
    <comment ref="N68" authorId="0" shapeId="0" xr:uid="{FF852DF5-7BB7-4F3C-9408-6262DAE93E18}">
      <text>
        <r>
          <rPr>
            <sz val="9"/>
            <color indexed="81"/>
            <rFont val="Tahoma"/>
            <family val="2"/>
          </rPr>
          <t xml:space="preserve">PRODCOM, Eurostat, 2020
Code: 23121330
Label: Multiple-walled insulating units of glass </t>
        </r>
      </text>
    </comment>
    <comment ref="O68" authorId="0" shapeId="0" xr:uid="{3582A291-1B29-4FE9-A13B-F6D425A1C45A}">
      <text>
        <r>
          <rPr>
            <sz val="9"/>
            <color indexed="81"/>
            <rFont val="Tahoma"/>
            <family val="2"/>
          </rPr>
          <t>PRODCOM, Eurostat, 2020
Code: 23121230
Label: Toughened (tempered) safety glass, n.e.c.</t>
        </r>
      </text>
    </comment>
    <comment ref="P68" authorId="0" shapeId="0" xr:uid="{49EB2181-B8BB-43B2-865F-3DDE68F1123A}">
      <text>
        <r>
          <rPr>
            <sz val="9"/>
            <color indexed="81"/>
            <rFont val="Tahoma"/>
            <family val="2"/>
          </rPr>
          <t>PRODCOM, Eurostat, 2020
Code: 23121270
Label: Laminated safety glass, n.e.c.</t>
        </r>
      </text>
    </comment>
    <comment ref="C69" authorId="0" shapeId="0" xr:uid="{9A3AA04C-B996-4B37-B89B-784B8716E3FD}">
      <text>
        <r>
          <rPr>
            <sz val="9"/>
            <color indexed="81"/>
            <rFont val="Tahoma"/>
            <family val="2"/>
          </rPr>
          <t>Rapport d'activité 2013, Fédération des industries du verre.
http://www.verre-avenir.fr/Espace-Communication/Espace-Presse/Communiques-de-presse</t>
        </r>
      </text>
    </comment>
    <comment ref="N69" authorId="0" shapeId="0" xr:uid="{2FC7E9B1-B0F6-489E-94A3-FE212771E569}">
      <text>
        <r>
          <rPr>
            <sz val="9"/>
            <color indexed="81"/>
            <rFont val="Tahoma"/>
            <family val="2"/>
          </rPr>
          <t xml:space="preserve">PRODCOM, Eurostat, 2020
Code: 23121330
Label: Multiple-walled insulating units of glass </t>
        </r>
      </text>
    </comment>
    <comment ref="O69" authorId="0" shapeId="0" xr:uid="{584E21CF-C6ED-4887-B439-B1412F41E140}">
      <text>
        <r>
          <rPr>
            <sz val="9"/>
            <color indexed="81"/>
            <rFont val="Tahoma"/>
            <family val="2"/>
          </rPr>
          <t>PRODCOM, Eurostat, 2020
Code: 23121230
Label: Toughened (tempered) safety glass, n.e.c.</t>
        </r>
      </text>
    </comment>
    <comment ref="P69" authorId="0" shapeId="0" xr:uid="{0873C19F-A5DB-482E-BE08-8F43CF28B07A}">
      <text>
        <r>
          <rPr>
            <sz val="9"/>
            <color indexed="81"/>
            <rFont val="Tahoma"/>
            <family val="2"/>
          </rPr>
          <t>PRODCOM, Eurostat, 2020
Code: 23121270
Label: Laminated safety glass, n.e.c.</t>
        </r>
      </text>
    </comment>
    <comment ref="C70" authorId="0" shapeId="0" xr:uid="{00233CE8-CA0C-4301-A2A2-945B2C6265DA}">
      <text>
        <r>
          <rPr>
            <b/>
            <sz val="9"/>
            <color indexed="81"/>
            <rFont val="Tahoma"/>
            <family val="2"/>
          </rPr>
          <t>jean:</t>
        </r>
        <r>
          <rPr>
            <sz val="9"/>
            <color indexed="81"/>
            <rFont val="Tahoma"/>
            <family val="2"/>
          </rPr>
          <t xml:space="preserve">
Rapport d'activité 2013, Fédération des industries du verre.
http://www.verre-avenir.fr/Espace-Communication/Espace-Presse/Communiques-de-presse</t>
        </r>
      </text>
    </comment>
    <comment ref="N70" authorId="0" shapeId="0" xr:uid="{63806239-DE57-4805-B1E0-0612E861110E}">
      <text>
        <r>
          <rPr>
            <sz val="9"/>
            <color indexed="81"/>
            <rFont val="Tahoma"/>
            <family val="2"/>
          </rPr>
          <t xml:space="preserve">PRODCOM, Eurostat, 2020
Code: 23121330
Label: Multiple-walled insulating units of glass </t>
        </r>
      </text>
    </comment>
    <comment ref="O70" authorId="0" shapeId="0" xr:uid="{34C5A451-C59B-4C06-9908-C66A16EADE69}">
      <text>
        <r>
          <rPr>
            <sz val="9"/>
            <color indexed="81"/>
            <rFont val="Tahoma"/>
            <family val="2"/>
          </rPr>
          <t>PRODCOM, Eurostat, 2020
Code: 23121230
Label: Toughened (tempered) safety glass, n.e.c.</t>
        </r>
      </text>
    </comment>
    <comment ref="P70" authorId="0" shapeId="0" xr:uid="{2ED36059-8DE9-419E-94D3-853265EBEED0}">
      <text>
        <r>
          <rPr>
            <sz val="9"/>
            <color indexed="81"/>
            <rFont val="Tahoma"/>
            <family val="2"/>
          </rPr>
          <t>PRODCOM, Eurostat, 2020
Code: 23121270
Label: Laminated safety glass, n.e.c.</t>
        </r>
      </text>
    </comment>
    <comment ref="N71" authorId="0" shapeId="0" xr:uid="{7C5CE02C-012B-46BE-B10B-D789EC129E05}">
      <text>
        <r>
          <rPr>
            <sz val="9"/>
            <color indexed="81"/>
            <rFont val="Tahoma"/>
            <family val="2"/>
          </rPr>
          <t xml:space="preserve">PRODCOM, Eurostat, 2020
Code: 23121330
Label: Multiple-walled insulating units of glass </t>
        </r>
      </text>
    </comment>
    <comment ref="O71" authorId="0" shapeId="0" xr:uid="{EF441F3A-AD84-4838-84B6-318AF358BE0F}">
      <text>
        <r>
          <rPr>
            <sz val="9"/>
            <color indexed="81"/>
            <rFont val="Tahoma"/>
            <family val="2"/>
          </rPr>
          <t>PRODCOM, Eurostat, 2020
Code: 23121230
Label: Toughened (tempered) safety glass, n.e.c.</t>
        </r>
      </text>
    </comment>
    <comment ref="P71" authorId="0" shapeId="0" xr:uid="{CF199295-D3D4-4D86-91A5-F3812518EC6B}">
      <text>
        <r>
          <rPr>
            <sz val="9"/>
            <color indexed="81"/>
            <rFont val="Tahoma"/>
            <family val="2"/>
          </rPr>
          <t>PRODCOM, Eurostat, 2020
Code: 23121270
Label: Laminated safety glass, n.e.c.</t>
        </r>
      </text>
    </comment>
    <comment ref="N72" authorId="0" shapeId="0" xr:uid="{FDCBA571-0FF9-43C8-A200-5E01F00DFE98}">
      <text>
        <r>
          <rPr>
            <sz val="9"/>
            <color indexed="81"/>
            <rFont val="Tahoma"/>
            <family val="2"/>
          </rPr>
          <t xml:space="preserve">PRODCOM, Eurostat, 2020
Code: 23121330
Label: Multiple-walled insulating units of glass </t>
        </r>
      </text>
    </comment>
    <comment ref="O72" authorId="0" shapeId="0" xr:uid="{FA49B3A5-BACB-4CA3-A50C-4873B6EE899D}">
      <text>
        <r>
          <rPr>
            <sz val="9"/>
            <color indexed="81"/>
            <rFont val="Tahoma"/>
            <family val="2"/>
          </rPr>
          <t>PRODCOM, Eurostat, 2020
Code: 23121230
Label: Toughened (tempered) safety glass, n.e.c.</t>
        </r>
      </text>
    </comment>
    <comment ref="P72" authorId="0" shapeId="0" xr:uid="{CC91613B-9BAC-4548-BA06-8BCB5B69EE9C}">
      <text>
        <r>
          <rPr>
            <sz val="9"/>
            <color indexed="81"/>
            <rFont val="Tahoma"/>
            <family val="2"/>
          </rPr>
          <t>PRODCOM, Eurostat, 2020
Code: 23121270
Label: Laminated safety glass, n.e.c.</t>
        </r>
      </text>
    </comment>
    <comment ref="N73" authorId="0" shapeId="0" xr:uid="{4EEC977C-F516-4E7F-A7FB-AB2603609DBA}">
      <text>
        <r>
          <rPr>
            <sz val="9"/>
            <color indexed="81"/>
            <rFont val="Tahoma"/>
            <family val="2"/>
          </rPr>
          <t xml:space="preserve">PRODCOM, Eurostat, 2020
Code: 23121330
Label: Multiple-walled insulating units of glass </t>
        </r>
      </text>
    </comment>
    <comment ref="O73" authorId="0" shapeId="0" xr:uid="{9BE8C625-2D6C-4F7B-A76D-BE06BBEC3A79}">
      <text>
        <r>
          <rPr>
            <sz val="9"/>
            <color indexed="81"/>
            <rFont val="Tahoma"/>
            <family val="2"/>
          </rPr>
          <t>PRODCOM, Eurostat, 2020
Code: 23121230
Label: Toughened (tempered) safety glass, n.e.c.</t>
        </r>
      </text>
    </comment>
    <comment ref="P73" authorId="0" shapeId="0" xr:uid="{4083EE0A-2BDF-40A4-A6ED-300E59CF86BD}">
      <text>
        <r>
          <rPr>
            <sz val="9"/>
            <color indexed="81"/>
            <rFont val="Tahoma"/>
            <family val="2"/>
          </rPr>
          <t>PRODCOM, Eurostat, 2020
Code: 23121270
Label: Laminated safety glass, n.e.c.</t>
        </r>
      </text>
    </comment>
    <comment ref="N74" authorId="0" shapeId="0" xr:uid="{2261C341-93AA-4BE1-BF53-48B958980633}">
      <text>
        <r>
          <rPr>
            <sz val="9"/>
            <color indexed="81"/>
            <rFont val="Tahoma"/>
            <family val="2"/>
          </rPr>
          <t xml:space="preserve">PRODCOM, Eurostat, 2020
Code: 23121330
Label: Multiple-walled insulating units of glass </t>
        </r>
      </text>
    </comment>
    <comment ref="O74" authorId="0" shapeId="0" xr:uid="{74034256-E90B-45D9-BBF4-C61E03C26AEB}">
      <text>
        <r>
          <rPr>
            <sz val="9"/>
            <color indexed="81"/>
            <rFont val="Tahoma"/>
            <family val="2"/>
          </rPr>
          <t>PRODCOM, Eurostat, 2020
Code: 23121230
Label: Toughened (tempered) safety glass, n.e.c.</t>
        </r>
      </text>
    </comment>
    <comment ref="P74" authorId="0" shapeId="0" xr:uid="{51DC10BF-7598-4805-A9E4-DF95D5CB35DA}">
      <text>
        <r>
          <rPr>
            <sz val="9"/>
            <color indexed="81"/>
            <rFont val="Tahoma"/>
            <family val="2"/>
          </rPr>
          <t>PRODCOM, Eurostat, 2020
Code: 23121270
Label: Laminated safety glass, n.e.c.</t>
        </r>
      </text>
    </comment>
    <comment ref="N75" authorId="0" shapeId="0" xr:uid="{B049187A-49B0-48AD-8E4D-55539A4B3CBA}">
      <text>
        <r>
          <rPr>
            <sz val="9"/>
            <color indexed="81"/>
            <rFont val="Tahoma"/>
            <family val="2"/>
          </rPr>
          <t xml:space="preserve">PRODCOM, Eurostat, 2020
Code: 23121330
Label: Multiple-walled insulating units of glass </t>
        </r>
      </text>
    </comment>
    <comment ref="O75" authorId="0" shapeId="0" xr:uid="{27379353-CC85-464F-92F9-9AF1AAE06E62}">
      <text>
        <r>
          <rPr>
            <sz val="9"/>
            <color indexed="81"/>
            <rFont val="Tahoma"/>
            <family val="2"/>
          </rPr>
          <t>PRODCOM, Eurostat, 2020
Code: 23121230
Label: Toughened (tempered) safety glass, n.e.c.</t>
        </r>
      </text>
    </comment>
    <comment ref="P75" authorId="0" shapeId="0" xr:uid="{6DD84419-7172-4CEC-8AD3-D84E27E65D96}">
      <text>
        <r>
          <rPr>
            <sz val="9"/>
            <color indexed="81"/>
            <rFont val="Tahoma"/>
            <family val="2"/>
          </rPr>
          <t>PRODCOM, Eurostat, 2020
Code: 23121270
Label: Laminated safety glass, n.e.c.</t>
        </r>
      </text>
    </comment>
    <comment ref="N76" authorId="0" shapeId="0" xr:uid="{C144DA42-CDB6-4968-AFEF-5BD6E43195B5}">
      <text>
        <r>
          <rPr>
            <sz val="9"/>
            <color indexed="81"/>
            <rFont val="Tahoma"/>
            <family val="2"/>
          </rPr>
          <t xml:space="preserve">PRODCOM, Eurostat, 2020
Code: 23121330
Label: Multiple-walled insulating units of glass </t>
        </r>
      </text>
    </comment>
    <comment ref="O76" authorId="0" shapeId="0" xr:uid="{E33A8F1A-357A-4DB2-B1F9-F9320E51001D}">
      <text>
        <r>
          <rPr>
            <sz val="9"/>
            <color indexed="81"/>
            <rFont val="Tahoma"/>
            <family val="2"/>
          </rPr>
          <t>PRODCOM, Eurostat, 2020
Code: 23121230
Label: Toughened (tempered) safety glass, n.e.c.</t>
        </r>
      </text>
    </comment>
    <comment ref="P76" authorId="0" shapeId="0" xr:uid="{328E9B2B-C9EC-4695-A933-1155E5540E17}">
      <text>
        <r>
          <rPr>
            <sz val="9"/>
            <color indexed="81"/>
            <rFont val="Tahoma"/>
            <family val="2"/>
          </rPr>
          <t>PRODCOM, Eurostat, 2020
Code: 23121270
Label: Laminated safety glass, n.e.c.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F3C5A8AC-D29F-4D0B-894A-3B9AEEB51E30}">
      <text>
        <r>
          <rPr>
            <sz val="9"/>
            <color indexed="81"/>
            <rFont val="Tahoma"/>
            <family val="2"/>
          </rPr>
          <t>Unless otherwise indicated in a note attached to the cell, all data collected in this column comes from:
PRODCOM, Eurostat, 2020
Code: 23121270
Label: Laminated safety glass, n.e.c.</t>
        </r>
      </text>
    </comment>
    <comment ref="E1" authorId="0" shapeId="0" xr:uid="{BD4BADA0-DE67-4089-AC54-35F492E94616}">
      <text>
        <r>
          <rPr>
            <sz val="9"/>
            <color indexed="81"/>
            <rFont val="Tahoma"/>
            <family val="2"/>
          </rPr>
          <t>Unless otherwise indicated in a note attached to the cell, all data collected in this column comes from:
PRODCOM, Eurostat, 2020
Code: 23121230
Label: Toughened (tempered) safety glass, n.e.c.</t>
        </r>
      </text>
    </comment>
    <comment ref="F1" authorId="0" shapeId="0" xr:uid="{9A795A97-8E85-472D-9864-FFAEC3A67401}">
      <text>
        <r>
          <rPr>
            <sz val="9"/>
            <color indexed="81"/>
            <rFont val="Tahoma"/>
            <family val="2"/>
          </rPr>
          <t xml:space="preserve">Unless otherwise indicated in a note attached to the cell, all data collected in this column comes from:
PRODCOM, Eurostat, 2020
Code: 23111217 
Label: Non-wired sheets, of float, surface ground or polished glass, having an absorbent or reflecting layer, not otherwise worked, of a thickness &gt; 3,5 mm </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53" authorId="0" shapeId="0" xr:uid="{1422174F-A305-4A00-979D-FB5BF82BB481}">
      <text>
        <r>
          <rPr>
            <sz val="9"/>
            <color indexed="81"/>
            <rFont val="Tahoma"/>
            <family val="2"/>
          </rPr>
          <t>"Statistiques de l'industrie verrière fançaise en 1996", Verre, vol. 3, n° 2, mars-avril 1997, p. 32-33
Verre coulé : 34.119
Verre à vitres: 13.615
Glace polie: 318.491
Verre de sécurité: 72.092
Verre plat travaillé: 14.557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8656C1FD-1CB9-444A-93AE-CA7C1173391B}">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D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E1" authorId="0" shapeId="0" xr:uid="{407598A0-3D89-47C8-8CF4-0D6CE7B79293}">
      <text>
        <r>
          <rPr>
            <sz val="9"/>
            <color indexed="81"/>
            <rFont val="Tahoma"/>
            <family val="2"/>
          </rPr>
          <t>Unless otherwise indicated in a note attached to the cell, all data collected in this column comes from:
PRODCOM, Eurostat, 2020
Code: 23121270
Label: Laminated safety glass, n.e.c.</t>
        </r>
      </text>
    </comment>
    <comment ref="F1" authorId="0" shapeId="0" xr:uid="{9EA51376-C50E-4D36-9F77-D4B90BC1DEA0}">
      <text>
        <r>
          <rPr>
            <sz val="9"/>
            <color indexed="81"/>
            <rFont val="Tahoma"/>
            <family val="2"/>
          </rPr>
          <t>Unless otherwise indicated in a note attached to the cell, all data collected in this column comes from:
PRODCOM, Eurostat, 2020
Code: 23121230
Label: Toughened (tempered) safety glass, n.e.c.</t>
        </r>
      </text>
    </comment>
    <comment ref="G1" authorId="0" shapeId="0" xr:uid="{20A40AEC-088F-456D-B9FF-D171E1DE5793}">
      <text>
        <r>
          <rPr>
            <sz val="9"/>
            <color indexed="81"/>
            <rFont val="Tahoma"/>
            <family val="2"/>
          </rPr>
          <t xml:space="preserve">Unless otherwise indicated in a note attached to the cell, all data collected in this column comes from:
PRODCOM, Eurostat, 2020
Code: 23111217 
Label: Non-wired sheets, of float, surface ground or polished glass, having an absorbent or reflecting layer, not otherwise worked, of a thickness &gt; 3,5 mm </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D46" authorId="0" shapeId="0" xr:uid="{CA437B3E-2577-4FB8-97EB-F2E96B917164}">
      <text>
        <r>
          <rPr>
            <sz val="9"/>
            <color indexed="81"/>
            <rFont val="Tahoma"/>
            <family val="2"/>
          </rPr>
          <t xml:space="preserve">Production industrielle: industrie du verre, Service des études et des statistiques </t>
        </r>
      </text>
    </comment>
    <comment ref="D47" authorId="0" shapeId="0" xr:uid="{2E09A6A6-B08F-4E2D-91AE-668B44571A2A}">
      <text>
        <r>
          <rPr>
            <sz val="9"/>
            <color indexed="81"/>
            <rFont val="Tahoma"/>
            <family val="2"/>
          </rPr>
          <t xml:space="preserve">Production industrielle: industrie du verre, Service des études et des statistiques </t>
        </r>
      </text>
    </comment>
    <comment ref="D48" authorId="0" shapeId="0" xr:uid="{9CFE04C8-9E1F-434B-8A69-39BBB8206F02}">
      <text>
        <r>
          <rPr>
            <sz val="9"/>
            <color indexed="81"/>
            <rFont val="Tahoma"/>
            <family val="2"/>
          </rPr>
          <t xml:space="preserve">Production industrielle: industrie du verre, Service des études et des statistiques </t>
        </r>
      </text>
    </comment>
    <comment ref="D49" authorId="0" shapeId="0" xr:uid="{A75FE1BB-DB88-443E-B41F-75CC108A65F0}">
      <text>
        <r>
          <rPr>
            <sz val="9"/>
            <color indexed="81"/>
            <rFont val="Tahoma"/>
            <family val="2"/>
          </rPr>
          <t xml:space="preserve">Production industrielle: industrie du verre, Service des études et des statistiques </t>
        </r>
      </text>
    </comment>
    <comment ref="D50" authorId="0" shapeId="0" xr:uid="{66C2F4FD-9754-4BFE-A2E2-738CE462C82E}">
      <text>
        <r>
          <rPr>
            <sz val="9"/>
            <color indexed="81"/>
            <rFont val="Tahoma"/>
            <family val="2"/>
          </rPr>
          <t xml:space="preserve">Production industrielle: industrie du verre, Service des études et des statistiques </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3" authorId="0" shapeId="0" xr:uid="{C55ED228-8C8B-4E48-8DCC-99D2F9F5BA4F}">
      <text>
        <r>
          <rPr>
            <sz val="9"/>
            <color indexed="81"/>
            <rFont val="Tahoma"/>
            <family val="2"/>
          </rPr>
          <t>"Statistiques de l'industrie verrière fançaise en 1996", Verre, vol. 3, n° 2, mars-avril 1997, p. 32-33
Verre coulé : 2.83
Verre à vitres: 5.818
Glace polie: 539.536
Verre de sécurité: 64.541
Verre plat travaillé: 13.795</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E1DED9F-F923-44A9-A20C-F143CE66C2DA}">
      <text>
        <r>
          <rPr>
            <sz val="9"/>
            <color indexed="81"/>
            <rFont val="Tahoma"/>
            <family val="2"/>
          </rPr>
          <t>Workforce employed in the factories</t>
        </r>
      </text>
    </comment>
    <comment ref="C1" authorId="0" shapeId="0" xr:uid="{DC009AC2-D5CF-4C02-BEDB-00CFDC57989C}">
      <text>
        <r>
          <rPr>
            <sz val="9"/>
            <color indexed="81"/>
            <rFont val="Tahoma"/>
            <family val="2"/>
          </rPr>
          <t>Can include fiberglass...</t>
        </r>
      </text>
    </comment>
    <comment ref="B3" authorId="0" shapeId="0" xr:uid="{7F0F16BA-804E-4A22-A559-810C8E71A2F9}">
      <text>
        <r>
          <rPr>
            <sz val="9"/>
            <color indexed="81"/>
            <rFont val="Tahoma"/>
            <family val="2"/>
          </rPr>
          <t>L'industrie du verre, Fédération des chambres syndicales de l'industrie du verre, 1954, p.39</t>
        </r>
      </text>
    </comment>
    <comment ref="B4" authorId="0" shapeId="0" xr:uid="{C3002041-1CA1-46D9-A042-A07DC35C8074}">
      <text>
        <r>
          <rPr>
            <sz val="9"/>
            <color indexed="81"/>
            <rFont val="Tahoma"/>
            <family val="2"/>
          </rPr>
          <t>L'industrie du verre, Fédération des chambres syndicales de l'industrie du verre, 1954, p.39</t>
        </r>
      </text>
    </comment>
    <comment ref="B5" authorId="0" shapeId="0" xr:uid="{D7776FA9-D7B2-4214-82C2-C876A1218E46}">
      <text>
        <r>
          <rPr>
            <sz val="9"/>
            <color indexed="81"/>
            <rFont val="Tahoma"/>
            <family val="2"/>
          </rPr>
          <t>L'industrie du verre, Fédération des chambres syndicales de l'industrie du verre, 1954, p.39</t>
        </r>
      </text>
    </comment>
    <comment ref="B6" authorId="0" shapeId="0" xr:uid="{476ACF16-A368-45D9-AE21-03C11EFBEBF1}">
      <text>
        <r>
          <rPr>
            <sz val="9"/>
            <color indexed="81"/>
            <rFont val="Tahoma"/>
            <family val="2"/>
          </rPr>
          <t>L'industrie du verre, Fédération des chambres syndicales de l'industrie du verre, 1954, p.39</t>
        </r>
      </text>
    </comment>
    <comment ref="B7" authorId="0" shapeId="0" xr:uid="{AD0AA00B-FC86-40FF-82BA-FA75975F742C}">
      <text>
        <r>
          <rPr>
            <sz val="9"/>
            <color indexed="81"/>
            <rFont val="Tahoma"/>
            <family val="2"/>
          </rPr>
          <t>L'industrie du verre, Fédération des chambres syndicales de l'industrie du verre, 1954, p.39</t>
        </r>
      </text>
    </comment>
    <comment ref="B8" authorId="0" shapeId="0" xr:uid="{3D9786B3-8350-49A8-8EAA-1EE9C38E9135}">
      <text>
        <r>
          <rPr>
            <sz val="9"/>
            <color indexed="81"/>
            <rFont val="Tahoma"/>
            <family val="2"/>
          </rPr>
          <t>L'industrie du verre, Fédération des chambres syndicales de l'industrie du verre, 1954, p.39</t>
        </r>
      </text>
    </comment>
    <comment ref="B9" authorId="0" shapeId="0" xr:uid="{99D20621-0399-4A35-9A29-E76C27A410AC}">
      <text>
        <r>
          <rPr>
            <sz val="9"/>
            <color indexed="81"/>
            <rFont val="Tahoma"/>
            <family val="2"/>
          </rPr>
          <t>L'industrie du verre, Fédération des chambres syndicales de l'industrie du verre, 1954, p.39</t>
        </r>
      </text>
    </comment>
    <comment ref="B10" authorId="0" shapeId="0" xr:uid="{5E4CC8EB-6397-423E-8931-8BF53D9EAA1D}">
      <text>
        <r>
          <rPr>
            <sz val="9"/>
            <color indexed="81"/>
            <rFont val="Tahoma"/>
            <family val="2"/>
          </rPr>
          <t>Annuaire statistique de la France, 1953, Institut National de la Statistique et des Études Économiques, Paris, 1954. p. 156-9</t>
        </r>
      </text>
    </comment>
    <comment ref="B11" authorId="0" shapeId="0" xr:uid="{56164C54-4353-4166-B9A8-73552F14D38A}">
      <text>
        <r>
          <rPr>
            <sz val="9"/>
            <color indexed="81"/>
            <rFont val="Tahoma"/>
            <family val="2"/>
          </rPr>
          <t>Annuaire statistique de la France, 1954, Institut National de la Statistique et des Études Économiques, Paris, 1955. p. 132-3</t>
        </r>
      </text>
    </comment>
    <comment ref="B12" authorId="0" shapeId="0" xr:uid="{5FAA68C4-E400-48BD-97F5-AD7D654A3E32}">
      <text>
        <r>
          <rPr>
            <sz val="9"/>
            <color indexed="81"/>
            <rFont val="Tahoma"/>
            <family val="2"/>
          </rPr>
          <t>Annuaire statistique de la France, 1955, Institut National de la Statistique et des Études Économiques, Paris, 1956. p. 165-6</t>
        </r>
      </text>
    </comment>
    <comment ref="B13" authorId="0" shapeId="0" xr:uid="{775A9ED4-58C0-4CE1-BD56-E70F3B0B079C}">
      <text>
        <r>
          <rPr>
            <sz val="9"/>
            <color indexed="81"/>
            <rFont val="Tahoma"/>
            <family val="2"/>
          </rPr>
          <t>Annuaire statistique de la France, 1957, Institut National de la Statistique et des Études Économiques, Paris, 1958. p. 147-8</t>
        </r>
      </text>
    </comment>
    <comment ref="B14" authorId="0" shapeId="0" xr:uid="{14667DA8-29D1-4927-B5AE-A90968CE736F}">
      <text>
        <r>
          <rPr>
            <sz val="9"/>
            <color indexed="81"/>
            <rFont val="Tahoma"/>
            <family val="2"/>
          </rPr>
          <t>Annuaire statistique de la France, 1958, Institut National de la Statistique et des Études Économiques, Paris, 1959. p. 158-9</t>
        </r>
      </text>
    </comment>
    <comment ref="B15" authorId="0" shapeId="0" xr:uid="{0FAA21C6-A526-42B0-8D10-522B6B927186}">
      <text>
        <r>
          <rPr>
            <sz val="9"/>
            <color indexed="81"/>
            <rFont val="Tahoma"/>
            <family val="2"/>
          </rPr>
          <t>Annuaire statistique de la France, 1959, Institut National de la Statistique et des Études Économiques, Paris, 1960. p. 158-9</t>
        </r>
      </text>
    </comment>
    <comment ref="B16" authorId="0" shapeId="0" xr:uid="{6F449587-47BF-42DA-944A-BED20C5DFF50}">
      <text>
        <r>
          <rPr>
            <sz val="9"/>
            <color indexed="81"/>
            <rFont val="Tahoma"/>
            <family val="2"/>
          </rPr>
          <t>Annuaire statistique de la France, 1961, Institut National de la Statistique et des Études Économiques, Paris, 1962. p. 213-4</t>
        </r>
      </text>
    </comment>
    <comment ref="B17" authorId="0" shapeId="0" xr:uid="{721C5F78-B552-450A-858C-DA2BB59E3C21}">
      <text>
        <r>
          <rPr>
            <sz val="9"/>
            <color indexed="81"/>
            <rFont val="Tahoma"/>
            <family val="2"/>
          </rPr>
          <t>Annuaire statistique de la France, 1961, Institut National de la Statistique et des Études Économiques, Paris, 1962. p. 213-4</t>
        </r>
      </text>
    </comment>
    <comment ref="B18" authorId="0" shapeId="0" xr:uid="{64B43D16-4A11-481B-87A5-0D9900F5B33A}">
      <text>
        <r>
          <rPr>
            <sz val="9"/>
            <color indexed="81"/>
            <rFont val="Tahoma"/>
            <family val="2"/>
          </rPr>
          <t>Annuaire statistique de la France, 1962, Institut National de la Statistique et des Études Économiques, Paris, 1963. p. 176-7</t>
        </r>
      </text>
    </comment>
    <comment ref="B19" authorId="0" shapeId="0" xr:uid="{6B5828F8-BE38-4FF6-A739-B8C1EB323ECE}">
      <text>
        <r>
          <rPr>
            <sz val="9"/>
            <color indexed="81"/>
            <rFont val="Tahoma"/>
            <family val="2"/>
          </rPr>
          <t>Annuaire statistique de la France, 1963, Institut National de la Statistique et des Études Économiques, Paris, 1964. p. 185-6</t>
        </r>
      </text>
    </comment>
    <comment ref="B20" authorId="0" shapeId="0" xr:uid="{7A2916AA-7772-43B8-B227-8CBABE76F1F2}">
      <text>
        <r>
          <rPr>
            <sz val="9"/>
            <color indexed="81"/>
            <rFont val="Tahoma"/>
            <family val="2"/>
          </rPr>
          <t>Annuaire statistique de la France, 1964, Institut National de la Statistique et des Études Économiques, Paris, 1965. p. 230</t>
        </r>
      </text>
    </comment>
    <comment ref="B21" authorId="0" shapeId="0" xr:uid="{3143240F-2C75-4BDE-9A6B-C2532D3D354D}">
      <text>
        <r>
          <rPr>
            <sz val="9"/>
            <color indexed="81"/>
            <rFont val="Tahoma"/>
            <family val="2"/>
          </rPr>
          <t>Annuaire statistique de la France, 1965, Institut National de la Statistique et des Études Économiques, Paris, 1966. p. 266</t>
        </r>
      </text>
    </comment>
    <comment ref="B22" authorId="0" shapeId="0" xr:uid="{A87015E3-C74E-4223-B7C8-F4695B30FD52}">
      <text>
        <r>
          <rPr>
            <sz val="9"/>
            <color indexed="81"/>
            <rFont val="Tahoma"/>
            <family val="2"/>
          </rPr>
          <t>Annuaire statistique de la France, 1967, Institut National de la Statistique et des Études Économiques, Paris, 1968. p. 372</t>
        </r>
      </text>
    </comment>
    <comment ref="B23" authorId="0" shapeId="0" xr:uid="{7607D17F-EF56-4E0E-B677-4DDF76BB4DEC}">
      <text>
        <r>
          <rPr>
            <sz val="9"/>
            <color indexed="81"/>
            <rFont val="Tahoma"/>
            <family val="2"/>
          </rPr>
          <t>Annuaire statistique de la France, 1967, Institut National de la Statistique et des Études Économiques, Paris, 1968. p. 372</t>
        </r>
      </text>
    </comment>
    <comment ref="B26" authorId="0" shapeId="0" xr:uid="{99E309FC-114A-4620-B85F-D2575853874E}">
      <text>
        <r>
          <rPr>
            <sz val="9"/>
            <color indexed="81"/>
            <rFont val="Tahoma"/>
            <family val="2"/>
          </rPr>
          <t>Les structures industrielles françaises, 1970: Verre, Ministère du développement industriel et scientifique, Paris.</t>
        </r>
      </text>
    </comment>
    <comment ref="B27" authorId="0" shapeId="0" xr:uid="{48A64738-717D-4CC1-B6EA-F6931AE25147}">
      <text>
        <r>
          <rPr>
            <sz val="9"/>
            <color indexed="81"/>
            <rFont val="Tahoma"/>
            <family val="2"/>
          </rPr>
          <t>Annuaire statistique de la France, 1978, Institut National de la Statistique et des Études Économiques, Paris, 1979. p. 311-3</t>
        </r>
      </text>
    </comment>
    <comment ref="B28" authorId="0" shapeId="0" xr:uid="{B91D5E86-3EBB-48EA-A4AC-364E8F410663}">
      <text>
        <r>
          <rPr>
            <sz val="9"/>
            <color indexed="81"/>
            <rFont val="Tahoma"/>
            <family val="2"/>
          </rPr>
          <t>Annuaire statistique de la France, 1978, Institut National de la Statistique et des Études Économiques, Paris, 1979. p. 311-3</t>
        </r>
      </text>
    </comment>
    <comment ref="B29" authorId="0" shapeId="0" xr:uid="{D110B50C-E4A5-44C4-85B4-FA2DCD7FE7E9}">
      <text>
        <r>
          <rPr>
            <sz val="9"/>
            <color indexed="81"/>
            <rFont val="Tahoma"/>
            <family val="2"/>
          </rPr>
          <t>Annuaire statistique de la France, 1978, Institut National de la Statistique et des Études Économiques, Paris, 1979. p. 311-3</t>
        </r>
      </text>
    </comment>
    <comment ref="B30" authorId="0" shapeId="0" xr:uid="{3A29681C-6344-466C-859E-AB549038626D}">
      <text>
        <r>
          <rPr>
            <sz val="9"/>
            <color indexed="81"/>
            <rFont val="Tahoma"/>
            <family val="2"/>
          </rPr>
          <t>Annuaire statistique de la France, 1978, Institut National de la Statistique et des Études Économiques, Paris, 1979. p. 311-3</t>
        </r>
      </text>
    </comment>
    <comment ref="B41" authorId="0" shapeId="0" xr:uid="{4BED390A-2F71-42DE-95D3-6951CB731AD3}">
      <text>
        <r>
          <rPr>
            <sz val="9"/>
            <color indexed="81"/>
            <rFont val="Tahoma"/>
            <family val="2"/>
          </rPr>
          <t>Annuaire statistique de la France, 1986, Institut National de la Statistique et des Études Économiques, Paris, 1987. p. 553</t>
        </r>
      </text>
    </comment>
    <comment ref="B45" authorId="0" shapeId="0" xr:uid="{51B51DA5-BE6D-407F-87B0-FBE82DAB23C1}">
      <text>
        <r>
          <rPr>
            <sz val="9"/>
            <color indexed="81"/>
            <rFont val="Tahoma"/>
            <family val="2"/>
          </rPr>
          <t>Annuaire statistique de la France, 1989, Institut National de la Statistique et des Études Économiques, Paris, 1990. p. 573</t>
        </r>
      </text>
    </comment>
    <comment ref="C52" authorId="0" shapeId="0" xr:uid="{A3D961B9-99C2-4195-B2DE-512C988089B2}">
      <text>
        <r>
          <rPr>
            <sz val="9"/>
            <color indexed="81"/>
            <rFont val="Tahoma"/>
            <family val="2"/>
          </rPr>
          <t>Annuaire statistique de la France, 1997, Institut National de la Statistique et des Études Économiques, Paris, 1998. p. 691</t>
        </r>
      </text>
    </comment>
    <comment ref="D52" authorId="0" shapeId="0" xr:uid="{55E3F1E5-415E-4099-A22C-5D5EDFD3DB86}">
      <text>
        <r>
          <rPr>
            <sz val="9"/>
            <color indexed="81"/>
            <rFont val="Tahoma"/>
            <family val="2"/>
          </rPr>
          <t>Annuaire statistique de la France, 1997, Institut National de la Statistique et des Études Économiques, Paris, 1998. p. 691</t>
        </r>
      </text>
    </comment>
    <comment ref="C53" authorId="0" shapeId="0" xr:uid="{740CDFEA-9B55-4107-B364-0065E380DE63}">
      <text>
        <r>
          <rPr>
            <sz val="9"/>
            <color indexed="81"/>
            <rFont val="Tahoma"/>
            <family val="2"/>
          </rPr>
          <t>"Statistiques de l'industrie verrière fançaise en 1996", Verre, vol. 3, n° 2, mars-avril 1997, p. 32-33</t>
        </r>
      </text>
    </comment>
    <comment ref="C57" authorId="0" shapeId="0" xr:uid="{2B305776-9876-4A66-BD80-CA37C57FCB7C}">
      <text>
        <r>
          <rPr>
            <sz val="9"/>
            <color indexed="81"/>
            <rFont val="Tahoma"/>
            <family val="2"/>
          </rPr>
          <t>"Lindustre française du verre", Verre, vol. 6, n°2, March-April 2000, p. 65-7</t>
        </r>
      </text>
    </comment>
    <comment ref="D57" authorId="0" shapeId="0" xr:uid="{916C47F9-6F20-401E-B8FC-0DD3CFDAE4C1}">
      <text>
        <r>
          <rPr>
            <sz val="9"/>
            <color indexed="81"/>
            <rFont val="Tahoma"/>
            <family val="2"/>
          </rPr>
          <t>"Lindustre française du verre", Verre, vol. 6, n°2, March-April 2000, p. 65-7</t>
        </r>
      </text>
    </comment>
    <comment ref="C58" authorId="0" shapeId="0" xr:uid="{BD484D1E-2F53-4970-9E93-06642E53FDD5}">
      <text>
        <r>
          <rPr>
            <sz val="9"/>
            <color indexed="81"/>
            <rFont val="Tahoma"/>
            <family val="2"/>
          </rPr>
          <t>Verre, vol. 7, n°3, october 2001, p. 23</t>
        </r>
      </text>
    </comment>
    <comment ref="D58" authorId="0" shapeId="0" xr:uid="{FA31404D-74CD-49EF-8680-667482CDA567}">
      <text>
        <r>
          <rPr>
            <sz val="9"/>
            <color indexed="81"/>
            <rFont val="Tahoma"/>
            <family val="2"/>
          </rPr>
          <t>"L'industre française du verre", Verre, vol. 7, n°3, october 2001, p. 23</t>
        </r>
      </text>
    </comment>
    <comment ref="C62" authorId="0" shapeId="0" xr:uid="{23463CF4-B4D8-473C-B4D8-013332697115}">
      <text>
        <r>
          <rPr>
            <b/>
            <sz val="9"/>
            <color indexed="81"/>
            <rFont val="Tahoma"/>
            <family val="2"/>
          </rPr>
          <t>Verre, vol. 11 n°3 Juin 2005</t>
        </r>
        <r>
          <rPr>
            <sz val="9"/>
            <color indexed="81"/>
            <rFont val="Tahoma"/>
            <family val="2"/>
          </rPr>
          <t xml:space="preserve">
Transformation = 10474 pers. </t>
        </r>
      </text>
    </comment>
    <comment ref="C64" authorId="0" shapeId="0" xr:uid="{0F9B6520-3EFB-452A-B83C-C3F344D37346}">
      <text>
        <r>
          <rPr>
            <sz val="9"/>
            <color indexed="81"/>
            <rFont val="Tahoma"/>
            <family val="2"/>
          </rPr>
          <t>Annuaire statistique de la France, 2007, Institut National de la Statistique et des Études Économiques, Paris, 2008. p. 411</t>
        </r>
      </text>
    </comment>
    <comment ref="D64" authorId="0" shapeId="0" xr:uid="{D6D33490-5440-406C-8C69-40FFCDBA9F04}">
      <text>
        <r>
          <rPr>
            <sz val="9"/>
            <color indexed="81"/>
            <rFont val="Tahoma"/>
            <family val="2"/>
          </rPr>
          <t>Annuaire statistique de la France, 1981, Institut National de la Statistique et des Études Économiques, Paris, 1982. p. 421</t>
        </r>
      </text>
    </comment>
    <comment ref="C65" authorId="0" shapeId="0" xr:uid="{2068D63A-4FCA-44A6-B3D6-064634DF20A9}">
      <text>
        <r>
          <rPr>
            <sz val="9"/>
            <color indexed="81"/>
            <rFont val="Tahoma"/>
            <family val="2"/>
          </rPr>
          <t>"L'évolution générale de l'industrie du verre en 2008", Verre vol. 15, n°5, November 2009, p. 37-9</t>
        </r>
      </text>
    </comment>
    <comment ref="C70" authorId="0" shapeId="0" xr:uid="{3BD0C099-1D2E-4805-8FB9-5BB550B4CF24}">
      <text>
        <r>
          <rPr>
            <sz val="9"/>
            <color indexed="81"/>
            <rFont val="Tahoma"/>
            <family val="2"/>
          </rPr>
          <t>Rapport d'activité 2013, Fédération des industries du verre.
http://www.verre-avenir.fr/Espace-Communication/Espace-Presse/Communiques-de-presse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32425D1F-54D7-4A26-BCB6-5CB864ABBAD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19354-FFF1-4EE1-B177-6674612F089F}">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86B2776D-7BC0-4515-8F6D-04521731E01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91764A04-5709-4A53-AD54-02E14310B8F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ACAC53A9-E515-4F92-B4D6-8119A2880C7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E3DDE548-9F53-4803-95BE-0C78C8FE848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070EFCCD-FF9C-4B68-AB65-06BB3D47C48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591B48D8-0A98-4F2F-AC5D-D3C5D4F3D06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1412E177-23CB-4BB4-9569-8CFE1CDE824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9B93EDB-346F-4F7B-AE17-CF2F877904E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B6565DE-F51A-4D35-98FA-F313E285D16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2687B00-B487-487F-8B75-53DFD94E160C}">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C1" authorId="0" shapeId="0" xr:uid="{16A2E75E-7696-4A00-8FFB-C88E840CEDA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D1" authorId="0" shapeId="0" xr:uid="{8FA4B062-4406-49F8-841B-1CF7C645B98C}">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E1" authorId="0" shapeId="0" xr:uid="{3AF5D6C6-0FDA-4E3A-A72D-B8399E30C9C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F1" authorId="0" shapeId="0" xr:uid="{FF05A44B-6007-434B-A63C-BC782B69A72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G1" authorId="0" shapeId="0" xr:uid="{AB7D3A99-51E1-4CB6-9DAA-3FA2D71D5E46}">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H1" authorId="0" shapeId="0" xr:uid="{D2F8AA00-BE79-444C-A6FD-1EEE3ECC6766}">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I1" authorId="0" shapeId="0" xr:uid="{A310108B-9D67-485E-967A-FD01B3B7B8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L1" authorId="0" shapeId="0" xr:uid="{6920E995-194B-4854-BF2D-D9AE13C18DE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347</t>
        </r>
      </text>
    </comment>
    <comment ref="M1" authorId="0" shapeId="0" xr:uid="{3835A7F4-3BB4-4F44-A03D-7A1E1E55CA99}">
      <text>
        <r>
          <rPr>
            <sz val="9"/>
            <color indexed="81"/>
            <rFont val="Tahoma"/>
            <family val="2"/>
          </rPr>
          <t>Note: electricity from the power supply. The electricity produced by the company is already included in the consumption of coal or fuel oil.
Unless otherwise indicated in a note attached to the cell, all data collected in this column comes from:
Boaglio, Evolution des conditions de production dans l'industrie du verre en France de la révolution à nos jours, 1990. p. 347</t>
        </r>
      </text>
    </comment>
    <comment ref="N1" authorId="0" shapeId="0" xr:uid="{E2788E93-36D9-4211-A068-CDDA52E533D6}">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347</t>
        </r>
      </text>
    </comment>
    <comment ref="B11" authorId="0" shapeId="0" xr:uid="{10B62965-E418-40EE-8BC2-1C82FCCD72D4}">
      <text>
        <r>
          <rPr>
            <sz val="9"/>
            <color indexed="81"/>
            <rFont val="Tahoma"/>
            <family val="2"/>
          </rPr>
          <t>See also:
L'industrie du verre, Fédération des chambres syndicales de l'industrie du verre, 1954, p.96</t>
        </r>
      </text>
    </comment>
    <comment ref="C11" authorId="0" shapeId="0" xr:uid="{47BC052F-A495-40B6-9FF5-9D1304531E29}">
      <text>
        <r>
          <rPr>
            <sz val="9"/>
            <color indexed="81"/>
            <rFont val="Tahoma"/>
            <family val="2"/>
          </rPr>
          <t>See also:
L'industrie du verre, Fédération des chambres syndicales de l'industrie du verre, 1954, p.96</t>
        </r>
      </text>
    </comment>
    <comment ref="D11" authorId="0" shapeId="0" xr:uid="{6C0823EF-F72B-45AD-BA41-9AD65C9FD7DB}">
      <text>
        <r>
          <rPr>
            <sz val="9"/>
            <color indexed="81"/>
            <rFont val="Tahoma"/>
            <family val="2"/>
          </rPr>
          <t>See also:
L'industrie du verre, Fédération des chambres syndicales de l'industrie du verre, 1954, p.96</t>
        </r>
      </text>
    </comment>
    <comment ref="E11" authorId="0" shapeId="0" xr:uid="{C0DB3043-30D4-4C15-9D76-124C59DBDC3D}">
      <text>
        <r>
          <rPr>
            <sz val="9"/>
            <color indexed="81"/>
            <rFont val="Tahoma"/>
            <family val="2"/>
          </rPr>
          <t>See also:
L'industrie du verre, Fédération des chambres syndicales de l'industrie du verre, 1954, p.96</t>
        </r>
      </text>
    </comment>
    <comment ref="F11" authorId="0" shapeId="0" xr:uid="{795AF96D-FADD-4B7D-8C12-8D2CEF4A1EC3}">
      <text>
        <r>
          <rPr>
            <sz val="9"/>
            <color indexed="81"/>
            <rFont val="Tahoma"/>
            <family val="2"/>
          </rPr>
          <t>See also:
L'industrie du verre, Fédération des chambres syndicales de l'industrie du verre, 1954, p.96</t>
        </r>
      </text>
    </comment>
    <comment ref="G11" authorId="0" shapeId="0" xr:uid="{911979A0-4D9B-4FC6-99C8-48F8A6B17C88}">
      <text>
        <r>
          <rPr>
            <sz val="9"/>
            <color indexed="81"/>
            <rFont val="Tahoma"/>
            <family val="2"/>
          </rPr>
          <t>See also:
L'industrie du verre, Fédération des chambres syndicales de l'industrie du verre, 1954, p.96</t>
        </r>
      </text>
    </comment>
    <comment ref="H11" authorId="0" shapeId="0" xr:uid="{0E2E4E01-3D07-4E80-95AA-844DF44BB906}">
      <text>
        <r>
          <rPr>
            <sz val="9"/>
            <color indexed="81"/>
            <rFont val="Tahoma"/>
            <family val="2"/>
          </rPr>
          <t>See also:
L'industrie du verre, Fédération des chambres syndicales de l'industrie du verre, 1954, p.96</t>
        </r>
      </text>
    </comment>
    <comment ref="I11" authorId="0" shapeId="0" xr:uid="{93F0DF63-E03D-4CE8-B290-5DF3E0895E76}">
      <text>
        <r>
          <rPr>
            <sz val="9"/>
            <color indexed="81"/>
            <rFont val="Tahoma"/>
            <family val="2"/>
          </rPr>
          <t>See also:
L'industrie du verre, Fédération des chambres syndicales de l'industrie du verre, 1954, p.96</t>
        </r>
      </text>
    </comment>
    <comment ref="K11" authorId="0" shapeId="0" xr:uid="{7A609409-7BDA-4BBC-8E59-92B042B36491}">
      <text>
        <r>
          <rPr>
            <sz val="9"/>
            <color indexed="81"/>
            <rFont val="Tahoma"/>
            <family val="2"/>
          </rPr>
          <t>See also:
L'industrie du verre, Fédération des chambres syndicales de l'industrie du verre, 1954, p.96</t>
        </r>
      </text>
    </comment>
    <comment ref="N11" authorId="0" shapeId="0" xr:uid="{767A0D5F-F981-4CC9-8003-DAB1EA24CE1C}">
      <text>
        <r>
          <rPr>
            <sz val="9"/>
            <color indexed="81"/>
            <rFont val="Tahoma"/>
            <family val="2"/>
          </rPr>
          <t>L'industrie du verre, Fédération des chambres syndicales de l'industrie du verre, 1954, p.74</t>
        </r>
      </text>
    </comment>
    <comment ref="B14" authorId="0" shapeId="0" xr:uid="{F73BB6C4-F912-4149-9620-83DF7C39EB88}">
      <text>
        <r>
          <rPr>
            <sz val="9"/>
            <color indexed="81"/>
            <rFont val="Tahoma"/>
            <family val="2"/>
          </rPr>
          <t>See also:
L'industrie du verre, La documentation française illustrée, 1957, p. 8</t>
        </r>
      </text>
    </comment>
    <comment ref="C14" authorId="0" shapeId="0" xr:uid="{F0E18A88-5630-4725-B024-49A42C54D6C9}">
      <text>
        <r>
          <rPr>
            <sz val="9"/>
            <color indexed="81"/>
            <rFont val="Tahoma"/>
            <family val="2"/>
          </rPr>
          <t>See also:
L'industrie du verre, La documentation française illustrée, 1957, p. 8</t>
        </r>
      </text>
    </comment>
    <comment ref="D14" authorId="0" shapeId="0" xr:uid="{51DDA2B6-805A-465A-9C37-2FBABC913C91}">
      <text>
        <r>
          <rPr>
            <sz val="9"/>
            <color indexed="81"/>
            <rFont val="Tahoma"/>
            <family val="2"/>
          </rPr>
          <t>See also:
L'industrie du verre, La documentation française illustrée, 1957, p. 8</t>
        </r>
      </text>
    </comment>
    <comment ref="E14" authorId="0" shapeId="0" xr:uid="{9599564C-19D6-4BE4-9BD8-723B02DA8DC5}">
      <text>
        <r>
          <rPr>
            <sz val="9"/>
            <color indexed="81"/>
            <rFont val="Tahoma"/>
            <family val="2"/>
          </rPr>
          <t>See also:
L'industrie du verre, La documentation française illustrée, 1957, p. 8</t>
        </r>
      </text>
    </comment>
    <comment ref="F14" authorId="0" shapeId="0" xr:uid="{7AC17BA9-6C19-4815-8CB0-2F231922A03F}">
      <text>
        <r>
          <rPr>
            <sz val="9"/>
            <color indexed="81"/>
            <rFont val="Tahoma"/>
            <family val="2"/>
          </rPr>
          <t>See also:
L'industrie du verre, La documentation française illustrée, 1957, p. 8</t>
        </r>
      </text>
    </comment>
    <comment ref="G14" authorId="0" shapeId="0" xr:uid="{BC06E176-3295-48C8-962A-089B46E16D9E}">
      <text>
        <r>
          <rPr>
            <sz val="9"/>
            <color indexed="81"/>
            <rFont val="Tahoma"/>
            <family val="2"/>
          </rPr>
          <t>See also:
L'industrie du verre, La documentation française illustrée, 1957, p. 8</t>
        </r>
      </text>
    </comment>
    <comment ref="H14" authorId="0" shapeId="0" xr:uid="{45A489B1-2B26-4518-8AAA-DE9884F10897}">
      <text>
        <r>
          <rPr>
            <sz val="9"/>
            <color indexed="81"/>
            <rFont val="Tahoma"/>
            <family val="2"/>
          </rPr>
          <t>See also:
L'industrie du verre, La documentation française illustrée, 1957, p. 8</t>
        </r>
      </text>
    </comment>
    <comment ref="I14" authorId="0" shapeId="0" xr:uid="{AB694597-2702-41FE-8C82-CB56011AF9FB}">
      <text>
        <r>
          <rPr>
            <sz val="9"/>
            <color indexed="81"/>
            <rFont val="Tahoma"/>
            <family val="2"/>
          </rPr>
          <t>See also:
L'industrie du verre, La documentation française illustrée, 1957, p. 8</t>
        </r>
      </text>
    </comment>
    <comment ref="B29" authorId="0" shapeId="0" xr:uid="{1BC09E26-B6B7-4054-8E73-507DD2570621}">
      <text>
        <r>
          <rPr>
            <sz val="9"/>
            <color indexed="81"/>
            <rFont val="Tahoma"/>
            <family val="2"/>
          </rPr>
          <t>Industries du verre, CNPF and INSEE, 1971, Monographies de l'industrie et du commerce en France, n° 1, p. 19</t>
        </r>
      </text>
    </comment>
    <comment ref="C29" authorId="0" shapeId="0" xr:uid="{3490C2AA-A873-4179-BE94-D54B55FDE4FA}">
      <text>
        <r>
          <rPr>
            <sz val="9"/>
            <color indexed="81"/>
            <rFont val="Tahoma"/>
            <family val="2"/>
          </rPr>
          <t>Industries du verre, CNPF and INSEE, 1971, Monographies de l'industrie et du commerce en France, n° 1, p. 19</t>
        </r>
      </text>
    </comment>
    <comment ref="D29" authorId="0" shapeId="0" xr:uid="{5C8D999B-8E48-48F9-AC1E-D0259F8A5E90}">
      <text>
        <r>
          <rPr>
            <sz val="9"/>
            <color indexed="81"/>
            <rFont val="Tahoma"/>
            <family val="2"/>
          </rPr>
          <t>Industries du verre, CNPF and INSEE, 1971, Monographies de l'industrie et du commerce en France, n° 1, p. 19</t>
        </r>
      </text>
    </comment>
    <comment ref="E29" authorId="0" shapeId="0" xr:uid="{842F170E-242E-4F02-9612-A673A7F067A6}">
      <text>
        <r>
          <rPr>
            <sz val="9"/>
            <color indexed="81"/>
            <rFont val="Tahoma"/>
            <family val="2"/>
          </rPr>
          <t>Industries du verre, CNPF and INSEE, 1971, Monographies de l'industrie et du commerce en France, n° 1, p. 19</t>
        </r>
      </text>
    </comment>
    <comment ref="F29" authorId="0" shapeId="0" xr:uid="{35FF58DE-86A3-4411-BB2E-B93842825C25}">
      <text>
        <r>
          <rPr>
            <sz val="9"/>
            <color indexed="81"/>
            <rFont val="Tahoma"/>
            <family val="2"/>
          </rPr>
          <t>Industries du verre, CNPF and INSEE, 1971, Monographies de l'industrie et du commerce en France, n° 1, p. 19</t>
        </r>
      </text>
    </comment>
    <comment ref="G29" authorId="0" shapeId="0" xr:uid="{9480DC34-152A-4061-9719-5E35D8BF236E}">
      <text>
        <r>
          <rPr>
            <sz val="9"/>
            <color indexed="81"/>
            <rFont val="Tahoma"/>
            <family val="2"/>
          </rPr>
          <t>Industries du verre, CNPF and INSEE, 1971, Monographies de l'industrie et du commerce en France, n° 1, p. 19</t>
        </r>
      </text>
    </comment>
    <comment ref="H29" authorId="0" shapeId="0" xr:uid="{510D88CF-554F-4945-9162-8D636E8BA0B5}">
      <text>
        <r>
          <rPr>
            <sz val="9"/>
            <color indexed="81"/>
            <rFont val="Tahoma"/>
            <family val="2"/>
          </rPr>
          <t>Industries du verre, CNPF and INSEE, 1971, Monographies de l'industrie et du commerce en France, n° 1, p. 19</t>
        </r>
      </text>
    </comment>
    <comment ref="I29" authorId="0" shapeId="0" xr:uid="{4336FE42-42EA-4B52-99E2-B54C1382B934}">
      <text>
        <r>
          <rPr>
            <sz val="9"/>
            <color indexed="81"/>
            <rFont val="Tahoma"/>
            <family val="2"/>
          </rPr>
          <t>Industries du verre, CNPF and INSEE, 1971, Monographies de l'industrie et du commerce en France, n° 1, p. 19</t>
        </r>
      </text>
    </comment>
    <comment ref="B68" authorId="0" shapeId="0" xr:uid="{81E29402-E70B-4C3F-8344-2ECAE1CB996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C68" authorId="0" shapeId="0" xr:uid="{B57D1700-34A4-423B-9191-F4BBEF18BED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D68" authorId="0" shapeId="0" xr:uid="{1ACD969E-BEA5-4CE4-91F1-3C134A32A292}">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E68" authorId="0" shapeId="0" xr:uid="{993D3004-E295-4A6C-BB9A-6BB130DBCB3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F68" authorId="0" shapeId="0" xr:uid="{2DD54A62-F4AF-4046-BBBA-5900B12AEC57}">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G68" authorId="0" shapeId="0" xr:uid="{1AC48550-E719-42B0-BFB1-8DE9D1D05F68}">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H68" authorId="0" shapeId="0" xr:uid="{7DD48DD4-9DED-4C20-80A8-305015727EF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I68" authorId="0" shapeId="0" xr:uid="{6467B69C-8AB8-499A-B52C-CA4809A0FA89}">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23" authorId="0" shapeId="0" xr:uid="{B4CE6F15-F244-4D25-9904-0625BCA881B9}">
      <text>
        <r>
          <rPr>
            <sz val="9"/>
            <color indexed="81"/>
            <rFont val="Tahoma"/>
            <family val="2"/>
          </rPr>
          <t>Boaglio, Evolution des conditions de production dans l'industrie du verre en France de la révolution à nos jours, 1990. p. 337</t>
        </r>
      </text>
    </comment>
    <comment ref="C23" authorId="0" shapeId="0" xr:uid="{56F762D3-1D99-4594-BB7D-117409B754D3}">
      <text>
        <r>
          <rPr>
            <sz val="9"/>
            <color indexed="81"/>
            <rFont val="Tahoma"/>
            <family val="2"/>
          </rPr>
          <t>Boaglio, Evolution des conditions de production dans l'industrie du verre en France de la révolution à nos jours, 1990. p. 337</t>
        </r>
      </text>
    </comment>
    <comment ref="D23" authorId="0" shapeId="0" xr:uid="{9A5E0FDD-F907-4223-962E-3E15CE10D8DF}">
      <text>
        <r>
          <rPr>
            <sz val="9"/>
            <color indexed="81"/>
            <rFont val="Tahoma"/>
            <family val="2"/>
          </rPr>
          <t>Boaglio, Evolution des conditions de production dans l'industrie du verre en France de la révolution à nos jours, 1990. p. 337</t>
        </r>
      </text>
    </comment>
    <comment ref="E23" authorId="0" shapeId="0" xr:uid="{5C48FC12-5DF7-4EC5-AF89-8986560E3908}">
      <text>
        <r>
          <rPr>
            <sz val="9"/>
            <color indexed="81"/>
            <rFont val="Tahoma"/>
            <family val="2"/>
          </rPr>
          <t>Boaglio, Evolution des conditions de production dans l'industrie du verre en France de la révolution à nos jours, 1990. p. 337</t>
        </r>
      </text>
    </comment>
    <comment ref="F23" authorId="0" shapeId="0" xr:uid="{EB307D01-6A54-4719-A998-CC346FC99195}">
      <text>
        <r>
          <rPr>
            <sz val="9"/>
            <color indexed="81"/>
            <rFont val="Tahoma"/>
            <family val="2"/>
          </rPr>
          <t>Boaglio, Evolution des conditions de production dans l'industrie du verre en France de la révolution à nos jours, 1990. p. 337</t>
        </r>
      </text>
    </comment>
    <comment ref="G23" authorId="0" shapeId="0" xr:uid="{ACF95A0F-07B4-4F0E-8680-AED4D29E9A19}">
      <text>
        <r>
          <rPr>
            <sz val="9"/>
            <color indexed="81"/>
            <rFont val="Tahoma"/>
            <family val="2"/>
          </rPr>
          <t>Boaglio, Evolution des conditions de production dans l'industrie du verre en France de la révolution à nos jours, 1990. p. 337</t>
        </r>
      </text>
    </comment>
    <comment ref="H23" authorId="0" shapeId="0" xr:uid="{C87BAA8C-8E6F-494A-AF0E-34F76E0AEB82}">
      <text>
        <r>
          <rPr>
            <sz val="9"/>
            <color indexed="81"/>
            <rFont val="Tahoma"/>
            <family val="2"/>
          </rPr>
          <t>Boaglio, Evolution des conditions de production dans l'industrie du verre en France de la révolution à nos jours, 1990. p. 337</t>
        </r>
      </text>
    </comment>
    <comment ref="I23" authorId="0" shapeId="0" xr:uid="{73095E4B-DC80-4504-889A-231AB2158BE3}">
      <text>
        <r>
          <rPr>
            <sz val="9"/>
            <color indexed="81"/>
            <rFont val="Tahoma"/>
            <family val="2"/>
          </rPr>
          <t>Boaglio, Evolution des conditions de production dans l'industrie du verre en France de la révolution à nos jours, 1990. p. 337</t>
        </r>
      </text>
    </comment>
    <comment ref="L27" authorId="0" shapeId="0" xr:uid="{4C5E1F68-24EE-42E2-A065-A42F8DD1270F}">
      <text>
        <r>
          <rPr>
            <sz val="9"/>
            <color indexed="81"/>
            <rFont val="Tahoma"/>
            <family val="2"/>
          </rPr>
          <t>Boaglio, Evolution des conditions de production dans l'industrie du verre en France de la révolution à nos jours, 1990. p. 347</t>
        </r>
      </text>
    </comment>
    <comment ref="M27" authorId="0" shapeId="0" xr:uid="{5354CED0-E320-475E-9206-12D1AAC0F928}">
      <text>
        <r>
          <rPr>
            <sz val="9"/>
            <color indexed="81"/>
            <rFont val="Tahoma"/>
            <family val="2"/>
          </rPr>
          <t>Boaglio, Evolution des conditions de production dans l'industrie du verre en France de la révolution à nos jours, 1990. p. 347</t>
        </r>
      </text>
    </comment>
    <comment ref="L34" authorId="0" shapeId="0" xr:uid="{9D4A6F88-FFE1-4671-92A4-67E72DDB7220}">
      <text>
        <r>
          <rPr>
            <sz val="9"/>
            <color indexed="81"/>
            <rFont val="Tahoma"/>
            <family val="2"/>
          </rPr>
          <t>Boaglio, Evolution des conditions de production dans l'industrie du verre en France de la révolution à nos jours, 1990. p. 347</t>
        </r>
      </text>
    </comment>
    <comment ref="M34" authorId="0" shapeId="0" xr:uid="{17BFAD5B-9779-4938-BC72-4CD91AD02B1D}">
      <text>
        <r>
          <rPr>
            <sz val="9"/>
            <color indexed="81"/>
            <rFont val="Tahoma"/>
            <family val="2"/>
          </rPr>
          <t>Boaglio, Evolution des conditions de production dans l'industrie du verre en France de la révolution à nos jours, 1990. p. 347</t>
        </r>
      </text>
    </comment>
    <comment ref="B47" authorId="0" shapeId="0" xr:uid="{BD9919CA-5D95-4378-BD81-191F4E178922}">
      <text>
        <r>
          <rPr>
            <sz val="9"/>
            <color indexed="81"/>
            <rFont val="Tahoma"/>
            <family val="2"/>
          </rPr>
          <t>Boaglio, Evolution des conditions de production dans l'industrie du verre en France de la révolution à nos jours, 1990. p. 341</t>
        </r>
      </text>
    </comment>
    <comment ref="C47" authorId="0" shapeId="0" xr:uid="{45F34676-4DE8-4DFD-B6AA-1A12DE70034E}">
      <text>
        <r>
          <rPr>
            <sz val="9"/>
            <color indexed="81"/>
            <rFont val="Tahoma"/>
            <family val="2"/>
          </rPr>
          <t>Boaglio, Evolution des conditions de production dans l'industrie du verre en France de la révolution à nos jours, 1990. p. 341</t>
        </r>
      </text>
    </comment>
    <comment ref="D47" authorId="0" shapeId="0" xr:uid="{A40BA8B8-02D3-445C-A7BA-816DC224EAB5}">
      <text>
        <r>
          <rPr>
            <sz val="9"/>
            <color indexed="81"/>
            <rFont val="Tahoma"/>
            <family val="2"/>
          </rPr>
          <t>Boaglio, Evolution des conditions de production dans l'industrie du verre en France de la révolution à nos jours, 1990. p. 341</t>
        </r>
      </text>
    </comment>
    <comment ref="E47" authorId="0" shapeId="0" xr:uid="{6CA8CCD8-7711-4ADE-B9E2-D01CF1BDCB85}">
      <text>
        <r>
          <rPr>
            <sz val="9"/>
            <color indexed="81"/>
            <rFont val="Tahoma"/>
            <family val="2"/>
          </rPr>
          <t>Boaglio, Evolution des conditions de production dans l'industrie du verre en France de la révolution à nos jours, 1990. p. 341</t>
        </r>
      </text>
    </comment>
    <comment ref="F47" authorId="0" shapeId="0" xr:uid="{38E18B1F-8B68-4FC4-8BA3-1496C2433D3F}">
      <text>
        <r>
          <rPr>
            <sz val="9"/>
            <color indexed="81"/>
            <rFont val="Tahoma"/>
            <family val="2"/>
          </rPr>
          <t>Boaglio, Evolution des conditions de production dans l'industrie du verre en France de la révolution à nos jours, 1990. p. 341</t>
        </r>
      </text>
    </comment>
    <comment ref="G47" authorId="0" shapeId="0" xr:uid="{7EBCA0B1-4630-4536-B9A6-92E767645D06}">
      <text>
        <r>
          <rPr>
            <sz val="9"/>
            <color indexed="81"/>
            <rFont val="Tahoma"/>
            <family val="2"/>
          </rPr>
          <t>Boaglio, Evolution des conditions de production dans l'industrie du verre en France de la révolution à nos jours, 1990. p. 341</t>
        </r>
      </text>
    </comment>
    <comment ref="H47" authorId="0" shapeId="0" xr:uid="{FCBCA371-01FC-4945-8F94-419E1F4F2B10}">
      <text>
        <r>
          <rPr>
            <sz val="9"/>
            <color indexed="81"/>
            <rFont val="Tahoma"/>
            <family val="2"/>
          </rPr>
          <t>Boaglio, Evolution des conditions de production dans l'industrie du verre en France de la révolution à nos jours, 1990. p. 341</t>
        </r>
      </text>
    </comment>
    <comment ref="I47" authorId="0" shapeId="0" xr:uid="{11E090C7-2DA4-464E-BF5F-C34C5B24EA88}">
      <text>
        <r>
          <rPr>
            <sz val="9"/>
            <color indexed="81"/>
            <rFont val="Tahoma"/>
            <family val="2"/>
          </rPr>
          <t>Boaglio, Evolution des conditions de production dans l'industrie du verre en France de la révolution à nos jours, 1990. p. 341</t>
        </r>
      </text>
    </comment>
    <comment ref="B68" authorId="0" shapeId="0" xr:uid="{10A86F0A-D5F3-4EA6-B90F-05DF04F60817}">
      <text>
        <r>
          <rPr>
            <sz val="9"/>
            <color indexed="81"/>
            <rFont val="Tahoma"/>
            <family val="2"/>
          </rPr>
          <t>Life Cycle Assessment of Float Glass, PE International, 2011
https://glassforeurope.com/report-life-cycle-assessment-of-float-glass/
(accessed September 30, 2020)</t>
        </r>
      </text>
    </comment>
    <comment ref="C68"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8" authorId="0" shapeId="0" xr:uid="{DAAC465F-673E-4717-BD8C-314D2DA0900F}">
      <text>
        <r>
          <rPr>
            <sz val="9"/>
            <color indexed="81"/>
            <rFont val="Tahoma"/>
            <family val="2"/>
          </rPr>
          <t>Life Cycle Assessment of Float Glass, PE International, 2011
https://glassforeurope.com/report-life-cycle-assessment-of-float-glass/
(accessed September 30, 2020)</t>
        </r>
      </text>
    </comment>
    <comment ref="E68" authorId="0" shapeId="0" xr:uid="{D41D25B7-AD85-4267-9439-3F6FD1BDDDF1}">
      <text>
        <r>
          <rPr>
            <sz val="9"/>
            <color indexed="81"/>
            <rFont val="Tahoma"/>
            <family val="2"/>
          </rPr>
          <t>Life Cycle Assessment of Float Glass, PE International, 2011
https://glassforeurope.com/report-life-cycle-assessment-of-float-glass/
(accessed September 30, 2020)</t>
        </r>
      </text>
    </comment>
    <comment ref="F68" authorId="0" shapeId="0" xr:uid="{A4A559F4-544D-4D86-B336-A2B8C94BA4E1}">
      <text>
        <r>
          <rPr>
            <sz val="9"/>
            <color indexed="81"/>
            <rFont val="Tahoma"/>
            <family val="2"/>
          </rPr>
          <t>Life Cycle Assessment of Float Glass, PE International, 2011
https://glassforeurope.com/report-life-cycle-assessment-of-float-glass/
(accessed September 30, 2020)</t>
        </r>
      </text>
    </comment>
    <comment ref="G68" authorId="0" shapeId="0" xr:uid="{00321031-5F71-412E-B3B9-31615C45DACE}">
      <text>
        <r>
          <rPr>
            <sz val="9"/>
            <color indexed="81"/>
            <rFont val="Tahoma"/>
            <family val="2"/>
          </rPr>
          <t>Life Cycle Assessment of Float Glass, PE International, 2011
https://glassforeurope.com/report-life-cycle-assessment-of-float-glass/
(accessed September 30, 2020)</t>
        </r>
      </text>
    </comment>
    <comment ref="H68" authorId="0" shapeId="0" xr:uid="{FC4F3FDF-C343-4D3D-B0DE-E8E5DFB3A122}">
      <text>
        <r>
          <rPr>
            <sz val="9"/>
            <color indexed="81"/>
            <rFont val="Tahoma"/>
            <family val="2"/>
          </rPr>
          <t>Life Cycle Assessment of Float Glass, PE International, 2011
https://glassforeurope.com/report-life-cycle-assessment-of-float-glass/
(accessed September 30, 2020)</t>
        </r>
      </text>
    </comment>
    <comment ref="I68" authorId="0" shapeId="0" xr:uid="{93BD405E-E12A-465E-BD65-E1CBD61EFAAB}">
      <text>
        <r>
          <rPr>
            <sz val="9"/>
            <color indexed="81"/>
            <rFont val="Tahoma"/>
            <family val="2"/>
          </rPr>
          <t>Life Cycle Assessment of Float Glass, PE International, 2011
https://glassforeurope.com/report-life-cycle-assessment-of-float-glass/
(accessed September 30, 2020)</t>
        </r>
      </text>
    </comment>
    <comment ref="M68" authorId="0" shapeId="0" xr:uid="{72BA71C2-09F2-4628-BFD9-AB2B574A0A54}">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N68" authorId="0" shapeId="0" xr:uid="{53006719-D43A-4F23-AC46-6608849048E8}">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List>
</comments>
</file>

<file path=xl/sharedStrings.xml><?xml version="1.0" encoding="utf-8"?>
<sst xmlns="http://schemas.openxmlformats.org/spreadsheetml/2006/main" count="105" uniqueCount="63">
  <si>
    <t>year</t>
  </si>
  <si>
    <t>glazing, "000 m²</t>
  </si>
  <si>
    <t>residential glazing, "000 m²</t>
  </si>
  <si>
    <t>residential, single, "000 m²</t>
  </si>
  <si>
    <t>residential, double, "000 m²</t>
  </si>
  <si>
    <t>flat glass, kt</t>
  </si>
  <si>
    <t>IGU, "000 m²</t>
  </si>
  <si>
    <t>plate glass, "000 m²</t>
  </si>
  <si>
    <t>window glass, "000 m²</t>
  </si>
  <si>
    <t>simple glazing, "000 m²</t>
  </si>
  <si>
    <t>TSG for bldg, "000 m²</t>
  </si>
  <si>
    <t>LSG for bldg, "000 m²</t>
  </si>
  <si>
    <t>LSG for cars, "000 m²</t>
  </si>
  <si>
    <t>TSG, all, "000 m²</t>
  </si>
  <si>
    <t>LSG, all, "000 m²</t>
  </si>
  <si>
    <t>TSG &amp; LSG, all, "000 m²</t>
  </si>
  <si>
    <t>flat glass ind., unit</t>
  </si>
  <si>
    <t>sand, kg/kgkt</t>
  </si>
  <si>
    <t>sodium carb., kg/kg</t>
  </si>
  <si>
    <t>limestone, kg/kg</t>
  </si>
  <si>
    <t>dolomite, kg/kg</t>
  </si>
  <si>
    <t>fuel, kg/kg</t>
  </si>
  <si>
    <t>electricity, kWh/kg</t>
  </si>
  <si>
    <t>natural gas, kWh/kg</t>
  </si>
  <si>
    <t>int. cullet, kg/kg</t>
  </si>
  <si>
    <t>ext. cullet, kg/kg</t>
  </si>
  <si>
    <t>sand, kg/kg</t>
  </si>
  <si>
    <t>feldspar, kg/kg</t>
  </si>
  <si>
    <t>Sodium sulfate, kg/kg</t>
  </si>
  <si>
    <t xml:space="preserve"> glazing, kt</t>
  </si>
  <si>
    <t>LSG &amp; TSG for cars, "000 m²</t>
  </si>
  <si>
    <t>architectural glass/flat glass, %</t>
  </si>
  <si>
    <t>cast glass, kt</t>
  </si>
  <si>
    <t>window glass, kt</t>
  </si>
  <si>
    <t>sodium carbonate for flat glass, kt</t>
  </si>
  <si>
    <t>Coal for flat glass, kt</t>
  </si>
  <si>
    <t>Fuel for flat glass, kt</t>
  </si>
  <si>
    <t xml:space="preserve">Electricity for flat glass, "000 kWh </t>
  </si>
  <si>
    <t>Natural gas for flat glass, m³/t</t>
  </si>
  <si>
    <t>Coal for flat glass, t/t</t>
  </si>
  <si>
    <t>Fuel for flat glass, t/t</t>
  </si>
  <si>
    <t>Electricity for flat glass, kWh/t</t>
  </si>
  <si>
    <t>toughened glass, "000 m²</t>
  </si>
  <si>
    <t>toughened glass for buildings, "000 m²</t>
  </si>
  <si>
    <t>flat glass production, unit</t>
  </si>
  <si>
    <t>flat glass transformation, unit</t>
  </si>
  <si>
    <t>flat glass INSEE, kt</t>
  </si>
  <si>
    <t>flat glass SESSI, kt</t>
  </si>
  <si>
    <t>coal, kg/kg</t>
  </si>
  <si>
    <t>gas for flat glass, "000 m³</t>
  </si>
  <si>
    <t>float glass w/ reflecting layer, "000 m²</t>
  </si>
  <si>
    <t>plate glass and float glass from 1962, kt</t>
  </si>
  <si>
    <t>CO2 glass ind, kg/t</t>
  </si>
  <si>
    <t>NOx glass ind., kg/t</t>
  </si>
  <si>
    <t>SOx min, kg/t</t>
  </si>
  <si>
    <t>Sox max, kg/t</t>
  </si>
  <si>
    <t>Dust min, kg/t</t>
  </si>
  <si>
    <t>Dust max, kg/t</t>
  </si>
  <si>
    <t>Fluoride min, kg/t</t>
  </si>
  <si>
    <t>Fluoride max, kg/t</t>
  </si>
  <si>
    <t>Chloride min, kg/t</t>
  </si>
  <si>
    <t>Chloride max, kg/t</t>
  </si>
  <si>
    <t>sodium sulfate, kg/kg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</si>
</sst>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7">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165" fontId="0" fillId="0" borderId="0" xfId="0" applyNumberFormat="1" applyAlignment="1">
      <alignment horizontal="right"/>
    </xf>
    <xf numFmtId="16" fontId="0" fillId="0" borderId="0" xfId="0" applyNumberForma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164" fontId="6" fillId="0" borderId="0" xfId="0" applyNumberFormat="1" applyFont="1" applyAlignment="1">
      <alignment horizontal="right"/>
    </xf>
    <xf numFmtId="0" fontId="2"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2" fontId="0" fillId="0" borderId="0" xfId="0" applyNumberFormat="1" applyBorder="1" applyAlignment="1">
      <alignment horizontal="right"/>
    </xf>
    <xf numFmtId="0" fontId="6" fillId="0" borderId="0" xfId="0" applyFont="1" applyBorder="1" applyAlignment="1">
      <alignment horizontal="right"/>
    </xf>
    <xf numFmtId="1" fontId="6" fillId="0" borderId="0" xfId="0" applyNumberFormat="1" applyFont="1" applyBorder="1" applyAlignment="1">
      <alignment horizontal="right"/>
    </xf>
    <xf numFmtId="166" fontId="0" fillId="0" borderId="0" xfId="0" applyNumberFormat="1" applyBorder="1" applyAlignment="1">
      <alignment horizontal="right"/>
    </xf>
    <xf numFmtId="0" fontId="8" fillId="0" borderId="1" xfId="0" applyFont="1" applyFill="1" applyBorder="1" applyAlignment="1">
      <alignment horizontal="center"/>
    </xf>
    <xf numFmtId="0" fontId="8" fillId="0" borderId="0" xfId="0" applyFont="1" applyFill="1" applyAlignment="1">
      <alignment horizontal="center"/>
    </xf>
    <xf numFmtId="164" fontId="8" fillId="0" borderId="0" xfId="1" applyNumberFormat="1" applyFont="1" applyFill="1" applyAlignment="1">
      <alignment horizontal="center"/>
    </xf>
    <xf numFmtId="164" fontId="8" fillId="0" borderId="0" xfId="0" applyNumberFormat="1" applyFont="1" applyFill="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2" borderId="2" xfId="0" applyFont="1" applyFill="1" applyBorder="1" applyAlignment="1">
      <alignment horizontal="right" wrapText="1"/>
    </xf>
    <xf numFmtId="166" fontId="0" fillId="2" borderId="0" xfId="0" applyNumberFormat="1" applyFill="1" applyBorder="1" applyAlignment="1">
      <alignment horizontal="right"/>
    </xf>
    <xf numFmtId="1" fontId="6" fillId="2" borderId="0" xfId="0" applyNumberFormat="1" applyFont="1" applyFill="1" applyBorder="1" applyAlignment="1">
      <alignment horizontal="right"/>
    </xf>
    <xf numFmtId="0" fontId="0" fillId="2" borderId="0" xfId="0" applyFill="1" applyBorder="1" applyAlignment="1">
      <alignment horizontal="right"/>
    </xf>
    <xf numFmtId="1" fontId="0" fillId="2" borderId="0" xfId="0" applyNumberFormat="1" applyFill="1" applyBorder="1" applyAlignment="1">
      <alignment horizontal="right"/>
    </xf>
    <xf numFmtId="0" fontId="6" fillId="2" borderId="0" xfId="0" applyFont="1" applyFill="1" applyBorder="1" applyAlignment="1">
      <alignment horizontal="right"/>
    </xf>
    <xf numFmtId="3" fontId="0" fillId="0" borderId="0" xfId="0" applyNumberFormat="1"/>
    <xf numFmtId="0" fontId="0" fillId="0" borderId="0" xfId="0" applyNumberForma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0" fillId="0" borderId="1" xfId="0" applyBorder="1" applyAlignment="1">
      <alignment horizontal="center" vertical="center"/>
    </xf>
    <xf numFmtId="0" fontId="0" fillId="0" borderId="0" xfId="0" applyBorder="1" applyAlignment="1">
      <alignment horizontal="center" vertical="center"/>
    </xf>
    <xf numFmtId="2" fontId="0" fillId="0" borderId="0" xfId="0" applyNumberFormat="1" applyBorder="1" applyAlignment="1">
      <alignment horizontal="right" vertical="center"/>
    </xf>
    <xf numFmtId="166" fontId="0" fillId="0" borderId="0" xfId="0" applyNumberFormat="1" applyBorder="1" applyAlignment="1">
      <alignment horizontal="right" vertical="center"/>
    </xf>
    <xf numFmtId="0" fontId="0" fillId="0" borderId="0" xfId="0" applyBorder="1" applyAlignment="1">
      <alignment horizontal="right" vertical="center"/>
    </xf>
    <xf numFmtId="43" fontId="0" fillId="0" borderId="0" xfId="0" applyNumberFormat="1" applyBorder="1" applyAlignment="1">
      <alignment horizontal="right" vertical="center"/>
    </xf>
    <xf numFmtId="164" fontId="0" fillId="0" borderId="0" xfId="1" applyNumberFormat="1" applyFont="1" applyBorder="1" applyAlignment="1">
      <alignment horizontal="right" vertical="center"/>
    </xf>
    <xf numFmtId="43" fontId="0" fillId="0" borderId="0" xfId="1" applyNumberFormat="1" applyFont="1" applyBorder="1" applyAlignment="1">
      <alignment horizontal="right" vertical="center"/>
    </xf>
    <xf numFmtId="1" fontId="0" fillId="0" borderId="0" xfId="0" applyNumberFormat="1" applyBorder="1" applyAlignment="1">
      <alignment horizontal="right" vertical="center"/>
    </xf>
    <xf numFmtId="0" fontId="6" fillId="0" borderId="0" xfId="0" applyFont="1" applyBorder="1" applyAlignment="1">
      <alignment horizontal="right" vertical="center"/>
    </xf>
    <xf numFmtId="1" fontId="6" fillId="0" borderId="0" xfId="0" applyNumberFormat="1" applyFont="1" applyBorder="1" applyAlignment="1">
      <alignment horizontal="right" vertical="center"/>
    </xf>
    <xf numFmtId="164" fontId="0" fillId="0" borderId="0" xfId="0" applyNumberFormat="1" applyBorder="1" applyAlignment="1">
      <alignment horizontal="right" vertical="center"/>
    </xf>
    <xf numFmtId="0" fontId="0" fillId="0" borderId="0" xfId="0" applyBorder="1" applyAlignment="1">
      <alignment horizontal="right" vertical="center"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2" borderId="2" xfId="0" applyFont="1" applyFill="1" applyBorder="1" applyAlignment="1">
      <alignment horizontal="right" wrapText="1"/>
    </xf>
    <xf numFmtId="166" fontId="8" fillId="2" borderId="0" xfId="0" applyNumberFormat="1" applyFont="1" applyFill="1" applyBorder="1" applyAlignment="1">
      <alignment horizontal="right"/>
    </xf>
    <xf numFmtId="2" fontId="8" fillId="2" borderId="0" xfId="0" applyNumberFormat="1" applyFont="1" applyFill="1" applyBorder="1" applyAlignment="1">
      <alignment horizontal="right"/>
    </xf>
    <xf numFmtId="9" fontId="8" fillId="2" borderId="0" xfId="2" applyFont="1" applyFill="1" applyBorder="1" applyAlignment="1">
      <alignment horizontal="right"/>
    </xf>
    <xf numFmtId="1" fontId="8" fillId="2" borderId="0" xfId="0" applyNumberFormat="1" applyFont="1" applyFill="1" applyBorder="1" applyAlignment="1">
      <alignment horizontal="right"/>
    </xf>
    <xf numFmtId="0" fontId="8" fillId="2" borderId="0" xfId="0" applyFont="1" applyFill="1" applyBorder="1" applyAlignment="1">
      <alignment horizontal="right"/>
    </xf>
    <xf numFmtId="0" fontId="3" fillId="0" borderId="2" xfId="0" applyFont="1" applyBorder="1" applyAlignment="1">
      <alignment horizontal="right"/>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9" fontId="9" fillId="0" borderId="2" xfId="0" quotePrefix="1" applyNumberFormat="1" applyFont="1" applyFill="1" applyBorder="1" applyAlignment="1">
      <alignment horizontal="right" wrapText="1"/>
    </xf>
    <xf numFmtId="49" fontId="9" fillId="0" borderId="3" xfId="0" applyNumberFormat="1" applyFont="1" applyFill="1" applyBorder="1" applyAlignment="1">
      <alignment horizontal="center" wrapText="1"/>
    </xf>
    <xf numFmtId="49" fontId="3" fillId="0" borderId="0" xfId="0" applyNumberFormat="1" applyFont="1" applyAlignment="1">
      <alignment horizontal="righ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4B4F-80B1-4C57-93D3-427AF9C86EA4}">
  <dimension ref="A1:BT88"/>
  <sheetViews>
    <sheetView zoomScale="78" zoomScaleNormal="100" workbookViewId="0">
      <selection activeCell="D11" sqref="D11"/>
    </sheetView>
  </sheetViews>
  <sheetFormatPr defaultColWidth="10.7109375" defaultRowHeight="15" x14ac:dyDescent="0.25"/>
  <cols>
    <col min="1" max="1" width="10.28515625" style="2" customWidth="1"/>
    <col min="2" max="5" width="25.5703125" style="2" customWidth="1"/>
    <col min="6" max="16384" width="10.7109375" style="6"/>
  </cols>
  <sheetData>
    <row r="1" spans="1:5" s="76" customFormat="1" x14ac:dyDescent="0.25">
      <c r="A1" s="75" t="s">
        <v>0</v>
      </c>
      <c r="B1" s="74" t="s">
        <v>1</v>
      </c>
      <c r="C1" s="74" t="s">
        <v>2</v>
      </c>
      <c r="D1" s="74" t="s">
        <v>3</v>
      </c>
      <c r="E1" s="74" t="s">
        <v>4</v>
      </c>
    </row>
    <row r="2" spans="1:5" s="1" customFormat="1" x14ac:dyDescent="0.25">
      <c r="A2" s="25">
        <v>1945</v>
      </c>
      <c r="B2" s="26"/>
      <c r="C2" s="27"/>
      <c r="D2" s="27"/>
      <c r="E2" s="27"/>
    </row>
    <row r="3" spans="1:5" s="1" customFormat="1" x14ac:dyDescent="0.25">
      <c r="A3" s="25">
        <v>1946</v>
      </c>
      <c r="B3" s="26"/>
      <c r="C3" s="27"/>
      <c r="D3" s="27"/>
      <c r="E3" s="27"/>
    </row>
    <row r="4" spans="1:5" s="1" customFormat="1" x14ac:dyDescent="0.25">
      <c r="A4" s="25">
        <v>1947</v>
      </c>
      <c r="B4" s="26"/>
      <c r="C4" s="27"/>
      <c r="D4" s="27"/>
      <c r="E4" s="27"/>
    </row>
    <row r="5" spans="1:5" s="1" customFormat="1" x14ac:dyDescent="0.25">
      <c r="A5" s="25">
        <v>1948</v>
      </c>
      <c r="B5" s="26"/>
      <c r="C5" s="27"/>
      <c r="D5" s="27"/>
      <c r="E5" s="27"/>
    </row>
    <row r="6" spans="1:5" s="1" customFormat="1" x14ac:dyDescent="0.25">
      <c r="A6" s="25">
        <v>1949</v>
      </c>
      <c r="B6" s="26"/>
      <c r="C6" s="27"/>
      <c r="D6" s="27"/>
      <c r="E6" s="27"/>
    </row>
    <row r="7" spans="1:5" s="1" customFormat="1" x14ac:dyDescent="0.25">
      <c r="A7" s="25">
        <v>1950</v>
      </c>
      <c r="B7" s="26"/>
      <c r="C7" s="27"/>
      <c r="D7" s="27"/>
      <c r="E7" s="27"/>
    </row>
    <row r="8" spans="1:5" s="1" customFormat="1" x14ac:dyDescent="0.25">
      <c r="A8" s="25">
        <v>1951</v>
      </c>
      <c r="B8" s="26"/>
      <c r="C8" s="27"/>
      <c r="D8" s="27"/>
      <c r="E8" s="27"/>
    </row>
    <row r="9" spans="1:5" s="1" customFormat="1" x14ac:dyDescent="0.25">
      <c r="A9" s="25">
        <v>1952</v>
      </c>
      <c r="B9" s="26"/>
      <c r="C9" s="27"/>
      <c r="D9" s="27"/>
      <c r="E9" s="27"/>
    </row>
    <row r="10" spans="1:5" s="1" customFormat="1" x14ac:dyDescent="0.25">
      <c r="A10" s="25">
        <v>1953</v>
      </c>
      <c r="B10" s="26"/>
      <c r="C10" s="27"/>
      <c r="D10" s="27"/>
      <c r="E10" s="27"/>
    </row>
    <row r="11" spans="1:5" s="1" customFormat="1" x14ac:dyDescent="0.25">
      <c r="A11" s="25">
        <v>1954</v>
      </c>
      <c r="B11" s="26"/>
      <c r="C11" s="27"/>
      <c r="D11" s="27"/>
      <c r="E11" s="27"/>
    </row>
    <row r="12" spans="1:5" s="1" customFormat="1" x14ac:dyDescent="0.25">
      <c r="A12" s="25">
        <v>1955</v>
      </c>
      <c r="B12" s="26"/>
      <c r="C12" s="27"/>
      <c r="D12" s="27"/>
      <c r="E12" s="27"/>
    </row>
    <row r="13" spans="1:5" s="1" customFormat="1" x14ac:dyDescent="0.25">
      <c r="A13" s="25">
        <v>1956</v>
      </c>
      <c r="B13" s="26"/>
      <c r="C13" s="27"/>
      <c r="D13" s="27"/>
      <c r="E13" s="27"/>
    </row>
    <row r="14" spans="1:5" s="1" customFormat="1" x14ac:dyDescent="0.25">
      <c r="A14" s="25">
        <v>1957</v>
      </c>
      <c r="B14" s="26"/>
      <c r="C14" s="27"/>
      <c r="D14" s="27"/>
      <c r="E14" s="27"/>
    </row>
    <row r="15" spans="1:5" s="1" customFormat="1" x14ac:dyDescent="0.25">
      <c r="A15" s="25">
        <v>1958</v>
      </c>
      <c r="B15" s="26"/>
      <c r="C15" s="27"/>
      <c r="D15" s="27"/>
      <c r="E15" s="27"/>
    </row>
    <row r="16" spans="1:5" s="1" customFormat="1" x14ac:dyDescent="0.25">
      <c r="A16" s="25">
        <v>1959</v>
      </c>
      <c r="B16" s="26"/>
      <c r="C16" s="27"/>
      <c r="D16" s="27"/>
      <c r="E16" s="27"/>
    </row>
    <row r="17" spans="1:5" s="1" customFormat="1" x14ac:dyDescent="0.25">
      <c r="A17" s="25">
        <v>1960</v>
      </c>
      <c r="B17" s="26"/>
      <c r="C17" s="27"/>
      <c r="D17" s="27"/>
      <c r="E17" s="27"/>
    </row>
    <row r="18" spans="1:5" s="1" customFormat="1" x14ac:dyDescent="0.25">
      <c r="A18" s="25">
        <v>1961</v>
      </c>
      <c r="B18" s="26"/>
      <c r="C18" s="27"/>
      <c r="D18" s="27"/>
      <c r="E18" s="27"/>
    </row>
    <row r="19" spans="1:5" s="1" customFormat="1" x14ac:dyDescent="0.25">
      <c r="A19" s="25">
        <v>1962</v>
      </c>
      <c r="B19" s="26"/>
      <c r="C19" s="27"/>
      <c r="D19" s="27"/>
      <c r="E19" s="27"/>
    </row>
    <row r="20" spans="1:5" s="1" customFormat="1" x14ac:dyDescent="0.25">
      <c r="A20" s="25">
        <v>1963</v>
      </c>
      <c r="B20" s="26"/>
      <c r="C20" s="27"/>
      <c r="D20" s="27"/>
      <c r="E20" s="27"/>
    </row>
    <row r="21" spans="1:5" s="1" customFormat="1" x14ac:dyDescent="0.25">
      <c r="A21" s="25">
        <v>1964</v>
      </c>
      <c r="B21" s="26"/>
      <c r="C21" s="27"/>
      <c r="D21" s="27"/>
      <c r="E21" s="27"/>
    </row>
    <row r="22" spans="1:5" s="1" customFormat="1" x14ac:dyDescent="0.25">
      <c r="A22" s="25">
        <v>1965</v>
      </c>
      <c r="B22" s="26"/>
      <c r="C22" s="27"/>
      <c r="D22" s="27"/>
      <c r="E22" s="27"/>
    </row>
    <row r="23" spans="1:5" s="1" customFormat="1" x14ac:dyDescent="0.25">
      <c r="A23" s="25">
        <v>1966</v>
      </c>
      <c r="B23" s="26"/>
      <c r="C23" s="27">
        <v>322000</v>
      </c>
      <c r="D23" s="27">
        <f>171000</f>
        <v>171000</v>
      </c>
      <c r="E23" s="27">
        <v>151000</v>
      </c>
    </row>
    <row r="24" spans="1:5" s="1" customFormat="1" x14ac:dyDescent="0.25">
      <c r="A24" s="25">
        <v>1967</v>
      </c>
      <c r="B24" s="26"/>
      <c r="C24" s="27"/>
      <c r="D24" s="27"/>
      <c r="E24" s="27"/>
    </row>
    <row r="25" spans="1:5" s="1" customFormat="1" x14ac:dyDescent="0.25">
      <c r="A25" s="25">
        <v>1968</v>
      </c>
      <c r="B25" s="26"/>
      <c r="C25" s="27"/>
      <c r="D25" s="27"/>
      <c r="E25" s="27"/>
    </row>
    <row r="26" spans="1:5" s="1" customFormat="1" x14ac:dyDescent="0.25">
      <c r="A26" s="25">
        <v>1969</v>
      </c>
      <c r="B26" s="26"/>
      <c r="C26" s="27"/>
      <c r="D26" s="27"/>
      <c r="E26" s="27"/>
    </row>
    <row r="27" spans="1:5" s="1" customFormat="1" x14ac:dyDescent="0.25">
      <c r="A27" s="25">
        <v>1970</v>
      </c>
      <c r="B27" s="26"/>
      <c r="C27" s="27"/>
      <c r="D27" s="27"/>
      <c r="E27" s="27"/>
    </row>
    <row r="28" spans="1:5" s="1" customFormat="1" x14ac:dyDescent="0.25">
      <c r="A28" s="25">
        <v>1971</v>
      </c>
      <c r="B28" s="26"/>
      <c r="C28" s="27"/>
      <c r="D28" s="27"/>
      <c r="E28" s="27"/>
    </row>
    <row r="29" spans="1:5" s="1" customFormat="1" x14ac:dyDescent="0.25">
      <c r="A29" s="25">
        <v>1972</v>
      </c>
      <c r="B29" s="26"/>
      <c r="C29" s="27"/>
      <c r="D29" s="27"/>
      <c r="E29" s="27"/>
    </row>
    <row r="30" spans="1:5" s="1" customFormat="1" x14ac:dyDescent="0.25">
      <c r="A30" s="25">
        <v>1973</v>
      </c>
      <c r="B30" s="26"/>
      <c r="C30" s="27"/>
      <c r="D30" s="27"/>
      <c r="E30" s="27"/>
    </row>
    <row r="31" spans="1:5" s="1" customFormat="1" x14ac:dyDescent="0.25">
      <c r="A31" s="25">
        <v>1974</v>
      </c>
      <c r="B31" s="26"/>
      <c r="C31" s="27"/>
      <c r="D31" s="27"/>
      <c r="E31" s="27"/>
    </row>
    <row r="32" spans="1:5" s="1" customFormat="1" x14ac:dyDescent="0.25">
      <c r="A32" s="25">
        <v>1975</v>
      </c>
      <c r="B32" s="26"/>
      <c r="C32" s="27"/>
      <c r="D32" s="27"/>
      <c r="E32" s="27"/>
    </row>
    <row r="33" spans="1:5" s="1" customFormat="1" x14ac:dyDescent="0.25">
      <c r="A33" s="25">
        <v>1976</v>
      </c>
      <c r="B33" s="26"/>
      <c r="C33" s="27"/>
      <c r="D33" s="27"/>
      <c r="E33" s="27"/>
    </row>
    <row r="34" spans="1:5" s="1" customFormat="1" x14ac:dyDescent="0.25">
      <c r="A34" s="25">
        <v>1977</v>
      </c>
      <c r="B34" s="26"/>
      <c r="C34" s="27"/>
      <c r="D34" s="27"/>
      <c r="E34" s="27"/>
    </row>
    <row r="35" spans="1:5" s="1" customFormat="1" x14ac:dyDescent="0.25">
      <c r="A35" s="25">
        <v>1978</v>
      </c>
      <c r="B35" s="26"/>
      <c r="C35" s="27"/>
      <c r="D35" s="27"/>
      <c r="E35" s="27"/>
    </row>
    <row r="36" spans="1:5" s="1" customFormat="1" x14ac:dyDescent="0.25">
      <c r="A36" s="25">
        <v>1979</v>
      </c>
      <c r="B36" s="26"/>
      <c r="C36" s="27"/>
      <c r="D36" s="27"/>
      <c r="E36" s="27"/>
    </row>
    <row r="37" spans="1:5" s="1" customFormat="1" x14ac:dyDescent="0.25">
      <c r="A37" s="25">
        <v>1980</v>
      </c>
      <c r="B37" s="26"/>
      <c r="C37" s="27"/>
      <c r="D37" s="27"/>
      <c r="E37" s="27"/>
    </row>
    <row r="38" spans="1:5" s="1" customFormat="1" x14ac:dyDescent="0.25">
      <c r="A38" s="25">
        <v>1981</v>
      </c>
      <c r="B38" s="26"/>
      <c r="C38" s="27"/>
      <c r="D38" s="27"/>
      <c r="E38" s="27"/>
    </row>
    <row r="39" spans="1:5" s="1" customFormat="1" x14ac:dyDescent="0.25">
      <c r="A39" s="25">
        <v>1982</v>
      </c>
      <c r="B39" s="26"/>
      <c r="C39" s="27"/>
      <c r="D39" s="27"/>
      <c r="E39" s="27"/>
    </row>
    <row r="40" spans="1:5" s="1" customFormat="1" x14ac:dyDescent="0.25">
      <c r="A40" s="25">
        <v>1983</v>
      </c>
      <c r="B40" s="26"/>
      <c r="C40" s="27"/>
      <c r="D40" s="27"/>
      <c r="E40" s="27"/>
    </row>
    <row r="41" spans="1:5" s="1" customFormat="1" x14ac:dyDescent="0.25">
      <c r="A41" s="25">
        <v>1984</v>
      </c>
      <c r="B41" s="26"/>
      <c r="C41" s="27"/>
      <c r="D41" s="27"/>
      <c r="E41" s="27"/>
    </row>
    <row r="42" spans="1:5" s="1" customFormat="1" x14ac:dyDescent="0.25">
      <c r="A42" s="25">
        <v>1985</v>
      </c>
      <c r="B42" s="26"/>
      <c r="C42" s="27"/>
      <c r="D42" s="27"/>
      <c r="E42" s="27"/>
    </row>
    <row r="43" spans="1:5" s="1" customFormat="1" x14ac:dyDescent="0.25">
      <c r="A43" s="25">
        <v>1986</v>
      </c>
      <c r="B43" s="26"/>
      <c r="C43" s="27"/>
      <c r="D43" s="27"/>
      <c r="E43" s="27"/>
    </row>
    <row r="44" spans="1:5" s="1" customFormat="1" x14ac:dyDescent="0.25">
      <c r="A44" s="25">
        <v>1987</v>
      </c>
      <c r="B44" s="26"/>
      <c r="C44" s="27"/>
      <c r="D44" s="27"/>
      <c r="E44" s="27"/>
    </row>
    <row r="45" spans="1:5" s="1" customFormat="1" x14ac:dyDescent="0.25">
      <c r="A45" s="25">
        <v>1988</v>
      </c>
      <c r="B45" s="26"/>
      <c r="C45" s="27"/>
      <c r="D45" s="27"/>
      <c r="E45" s="27"/>
    </row>
    <row r="46" spans="1:5" s="1" customFormat="1" x14ac:dyDescent="0.25">
      <c r="A46" s="25">
        <v>1989</v>
      </c>
      <c r="B46" s="26"/>
      <c r="C46" s="27"/>
      <c r="D46" s="27"/>
      <c r="E46" s="27"/>
    </row>
    <row r="47" spans="1:5" s="1" customFormat="1" x14ac:dyDescent="0.25">
      <c r="A47" s="25">
        <v>1990</v>
      </c>
      <c r="B47" s="26"/>
      <c r="C47" s="27"/>
      <c r="D47" s="27"/>
      <c r="E47" s="27"/>
    </row>
    <row r="48" spans="1:5" s="1" customFormat="1" x14ac:dyDescent="0.25">
      <c r="A48" s="25">
        <v>1991</v>
      </c>
      <c r="B48" s="26"/>
      <c r="C48" s="27"/>
      <c r="D48" s="27"/>
      <c r="E48" s="27"/>
    </row>
    <row r="49" spans="1:5" s="1" customFormat="1" x14ac:dyDescent="0.25">
      <c r="A49" s="25">
        <v>1992</v>
      </c>
      <c r="B49" s="26"/>
      <c r="C49" s="27"/>
      <c r="D49" s="27"/>
      <c r="E49" s="27"/>
    </row>
    <row r="50" spans="1:5" s="1" customFormat="1" x14ac:dyDescent="0.25">
      <c r="A50" s="25">
        <v>1993</v>
      </c>
      <c r="B50" s="26"/>
      <c r="C50" s="27"/>
      <c r="D50" s="27"/>
      <c r="E50" s="27"/>
    </row>
    <row r="51" spans="1:5" s="1" customFormat="1" x14ac:dyDescent="0.25">
      <c r="A51" s="25">
        <v>1994</v>
      </c>
      <c r="B51" s="26"/>
      <c r="C51" s="27"/>
      <c r="D51" s="27"/>
      <c r="E51" s="27"/>
    </row>
    <row r="52" spans="1:5" s="1" customFormat="1" x14ac:dyDescent="0.25">
      <c r="A52" s="25">
        <v>1995</v>
      </c>
      <c r="B52" s="26"/>
      <c r="C52" s="27"/>
      <c r="D52" s="27"/>
      <c r="E52" s="27"/>
    </row>
    <row r="53" spans="1:5" s="1" customFormat="1" x14ac:dyDescent="0.25">
      <c r="A53" s="25">
        <v>1996</v>
      </c>
      <c r="B53" s="26"/>
      <c r="C53" s="27"/>
      <c r="D53" s="27"/>
      <c r="E53" s="27"/>
    </row>
    <row r="54" spans="1:5" s="1" customFormat="1" x14ac:dyDescent="0.25">
      <c r="A54" s="25">
        <v>1997</v>
      </c>
      <c r="B54" s="26"/>
      <c r="C54" s="27"/>
      <c r="D54" s="27"/>
      <c r="E54" s="27"/>
    </row>
    <row r="55" spans="1:5" s="1" customFormat="1" x14ac:dyDescent="0.25">
      <c r="A55" s="25">
        <v>1998</v>
      </c>
      <c r="B55" s="26"/>
      <c r="C55" s="27"/>
      <c r="D55" s="27"/>
      <c r="E55" s="27"/>
    </row>
    <row r="56" spans="1:5" s="1" customFormat="1" x14ac:dyDescent="0.25">
      <c r="A56" s="25">
        <v>1999</v>
      </c>
      <c r="B56" s="26"/>
      <c r="C56" s="27"/>
      <c r="D56" s="27"/>
      <c r="E56" s="27"/>
    </row>
    <row r="57" spans="1:5" s="1" customFormat="1" x14ac:dyDescent="0.25">
      <c r="A57" s="25">
        <v>2000</v>
      </c>
      <c r="B57" s="26"/>
      <c r="C57" s="27"/>
      <c r="D57" s="27"/>
      <c r="E57" s="27"/>
    </row>
    <row r="58" spans="1:5" s="1" customFormat="1" x14ac:dyDescent="0.25">
      <c r="A58" s="25">
        <v>2001</v>
      </c>
      <c r="B58" s="26"/>
      <c r="C58" s="27"/>
      <c r="D58" s="27"/>
      <c r="E58" s="27"/>
    </row>
    <row r="59" spans="1:5" s="1" customFormat="1" x14ac:dyDescent="0.25">
      <c r="A59" s="25">
        <v>2002</v>
      </c>
      <c r="B59" s="26"/>
      <c r="C59" s="27"/>
      <c r="D59" s="27"/>
      <c r="E59" s="27"/>
    </row>
    <row r="60" spans="1:5" s="1" customFormat="1" x14ac:dyDescent="0.25">
      <c r="A60" s="25">
        <v>2003</v>
      </c>
      <c r="B60" s="26"/>
      <c r="C60" s="27"/>
      <c r="D60" s="27"/>
      <c r="E60" s="27"/>
    </row>
    <row r="61" spans="1:5" s="1" customFormat="1" x14ac:dyDescent="0.25">
      <c r="A61" s="25">
        <v>2004</v>
      </c>
      <c r="B61" s="28"/>
      <c r="C61" s="27"/>
      <c r="D61" s="27"/>
      <c r="E61" s="27"/>
    </row>
    <row r="62" spans="1:5" s="1" customFormat="1" x14ac:dyDescent="0.25">
      <c r="A62" s="25">
        <v>2005</v>
      </c>
      <c r="B62" s="28"/>
      <c r="C62" s="27"/>
      <c r="D62" s="27"/>
      <c r="E62" s="27"/>
    </row>
    <row r="63" spans="1:5" s="1" customFormat="1" x14ac:dyDescent="0.25">
      <c r="A63" s="25">
        <v>2006</v>
      </c>
      <c r="B63" s="28">
        <f>B64-12000*(1.2*1.2)</f>
        <v>540616</v>
      </c>
      <c r="C63" s="27"/>
      <c r="D63" s="27"/>
      <c r="E63" s="27"/>
    </row>
    <row r="64" spans="1:5" s="1" customFormat="1" x14ac:dyDescent="0.25">
      <c r="A64" s="25">
        <v>2007</v>
      </c>
      <c r="B64" s="28">
        <f>B65-12200*(1.2*1.2)</f>
        <v>557896</v>
      </c>
      <c r="C64" s="27"/>
      <c r="D64" s="27"/>
      <c r="E64" s="27"/>
    </row>
    <row r="65" spans="1:72" s="1" customFormat="1" x14ac:dyDescent="0.25">
      <c r="A65" s="25">
        <v>2008</v>
      </c>
      <c r="B65" s="28">
        <f>B66-11600*(1.2*1.2)</f>
        <v>575464</v>
      </c>
      <c r="C65" s="27"/>
      <c r="D65" s="27"/>
      <c r="E65" s="27"/>
    </row>
    <row r="66" spans="1:72" s="1" customFormat="1" x14ac:dyDescent="0.25">
      <c r="A66" s="25">
        <v>2009</v>
      </c>
      <c r="B66" s="28">
        <f>B67-11400*(1.2*1.2)</f>
        <v>592168</v>
      </c>
      <c r="C66" s="27"/>
      <c r="D66" s="27"/>
      <c r="E66" s="27"/>
    </row>
    <row r="67" spans="1:72" s="1" customFormat="1" x14ac:dyDescent="0.25">
      <c r="A67" s="25">
        <v>2010</v>
      </c>
      <c r="B67" s="28">
        <f>B68-11400*(1.2*1.2)</f>
        <v>608584</v>
      </c>
      <c r="C67" s="27"/>
      <c r="D67" s="27"/>
      <c r="E67" s="27"/>
    </row>
    <row r="68" spans="1:72" s="1" customFormat="1" x14ac:dyDescent="0.25">
      <c r="A68" s="25">
        <v>2011</v>
      </c>
      <c r="B68" s="27">
        <v>625000</v>
      </c>
      <c r="C68" s="27"/>
      <c r="D68" s="27"/>
      <c r="E68" s="27"/>
    </row>
    <row r="69" spans="1:72" s="1" customFormat="1" x14ac:dyDescent="0.25">
      <c r="A69" s="25">
        <v>2012</v>
      </c>
      <c r="B69" s="28">
        <f>B68+11200*(1.2*1.2)</f>
        <v>641128</v>
      </c>
      <c r="C69" s="27"/>
      <c r="D69" s="27"/>
      <c r="E69" s="27"/>
    </row>
    <row r="70" spans="1:72" s="1" customFormat="1" x14ac:dyDescent="0.25">
      <c r="A70" s="25">
        <v>2013</v>
      </c>
      <c r="B70" s="28"/>
      <c r="C70" s="27"/>
      <c r="D70" s="27"/>
      <c r="E70" s="27"/>
    </row>
    <row r="71" spans="1:72" s="1" customFormat="1" x14ac:dyDescent="0.25">
      <c r="A71" s="25">
        <v>2014</v>
      </c>
      <c r="B71" s="26"/>
      <c r="C71" s="27"/>
      <c r="D71" s="27"/>
      <c r="E71" s="27"/>
    </row>
    <row r="72" spans="1:72" s="1" customFormat="1" x14ac:dyDescent="0.25">
      <c r="A72" s="25">
        <v>2015</v>
      </c>
      <c r="B72" s="26"/>
      <c r="C72" s="27"/>
      <c r="D72" s="27"/>
      <c r="E72" s="27"/>
    </row>
    <row r="73" spans="1:72" s="1" customFormat="1" x14ac:dyDescent="0.25">
      <c r="A73" s="25">
        <v>2016</v>
      </c>
      <c r="B73" s="26"/>
      <c r="C73" s="27"/>
      <c r="D73" s="27"/>
      <c r="E73" s="27"/>
    </row>
    <row r="74" spans="1:72" s="1" customFormat="1" x14ac:dyDescent="0.25">
      <c r="A74" s="25">
        <v>2017</v>
      </c>
      <c r="B74" s="26"/>
      <c r="C74" s="27"/>
      <c r="D74" s="27"/>
      <c r="E74" s="27"/>
    </row>
    <row r="75" spans="1:72" s="1" customFormat="1" x14ac:dyDescent="0.25">
      <c r="A75" s="25">
        <v>2018</v>
      </c>
      <c r="B75" s="26"/>
      <c r="C75" s="27"/>
      <c r="D75" s="27"/>
      <c r="E75" s="27"/>
    </row>
    <row r="76" spans="1:72" s="1" customFormat="1" x14ac:dyDescent="0.25">
      <c r="A76" s="25">
        <v>2019</v>
      </c>
      <c r="B76" s="26"/>
      <c r="C76" s="27"/>
      <c r="D76" s="27"/>
      <c r="E76" s="27"/>
    </row>
    <row r="77" spans="1:72" s="1" customFormat="1" x14ac:dyDescent="0.25">
      <c r="A77" s="25">
        <v>2020</v>
      </c>
      <c r="B77" s="26"/>
      <c r="C77" s="27"/>
      <c r="D77" s="27"/>
      <c r="E77" s="27"/>
    </row>
    <row r="78" spans="1:72" s="4" customFormat="1" x14ac:dyDescent="0.25">
      <c r="A78" s="2"/>
      <c r="B78" s="2"/>
      <c r="C78" s="2"/>
      <c r="D78" s="2"/>
      <c r="E78" s="2"/>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row>
    <row r="79" spans="1:72" s="4" customFormat="1" x14ac:dyDescent="0.25">
      <c r="A79" s="2"/>
      <c r="B79" s="2"/>
      <c r="C79" s="2"/>
      <c r="D79" s="2"/>
      <c r="E79" s="2"/>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row>
    <row r="80" spans="1:72" s="4" customFormat="1" x14ac:dyDescent="0.25">
      <c r="A80" s="2"/>
      <c r="B80" s="2"/>
      <c r="C80" s="2"/>
      <c r="D80" s="2"/>
      <c r="E80" s="2"/>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row>
    <row r="87" spans="1:72" s="4" customFormat="1" x14ac:dyDescent="0.25">
      <c r="A87" s="2"/>
      <c r="B87" s="2"/>
      <c r="C87" s="2"/>
      <c r="D87" s="2"/>
      <c r="E87" s="2"/>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s="4" customFormat="1" x14ac:dyDescent="0.25">
      <c r="A88" s="2"/>
      <c r="B88" s="2"/>
      <c r="C88" s="2"/>
      <c r="D88" s="2"/>
      <c r="E88" s="2"/>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0B8CD-6AA5-40B6-AA6C-E8CEE02EEB20}">
  <dimension ref="A1:BW88"/>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10.7109375" defaultRowHeight="15" x14ac:dyDescent="0.25"/>
  <cols>
    <col min="1" max="1" width="7.28515625" style="43" customWidth="1"/>
    <col min="2" max="2" width="19.28515625" style="43" customWidth="1"/>
    <col min="3" max="10" width="19.28515625" style="46" customWidth="1"/>
    <col min="11" max="13" width="20" style="46" customWidth="1"/>
    <col min="14" max="16384" width="10.7109375" style="46"/>
  </cols>
  <sheetData>
    <row r="1" spans="1:12" s="41" customFormat="1" ht="30" x14ac:dyDescent="0.25">
      <c r="A1" s="40" t="s">
        <v>0</v>
      </c>
      <c r="B1" s="5" t="s">
        <v>34</v>
      </c>
      <c r="C1" s="5" t="s">
        <v>49</v>
      </c>
      <c r="D1" s="5" t="s">
        <v>35</v>
      </c>
      <c r="E1" s="5" t="s">
        <v>36</v>
      </c>
      <c r="F1" s="5" t="s">
        <v>37</v>
      </c>
      <c r="G1" s="5" t="s">
        <v>38</v>
      </c>
      <c r="H1" s="5" t="s">
        <v>39</v>
      </c>
      <c r="I1" s="5" t="s">
        <v>40</v>
      </c>
      <c r="J1" s="5" t="s">
        <v>41</v>
      </c>
    </row>
    <row r="2" spans="1:12" x14ac:dyDescent="0.25">
      <c r="A2" s="42">
        <v>1945</v>
      </c>
      <c r="C2" s="44"/>
      <c r="D2" s="44"/>
      <c r="E2" s="44"/>
      <c r="F2" s="44"/>
      <c r="G2" s="44"/>
      <c r="H2" s="45"/>
      <c r="J2" s="45"/>
      <c r="K2" s="47"/>
      <c r="L2" s="47"/>
    </row>
    <row r="3" spans="1:12" x14ac:dyDescent="0.25">
      <c r="A3" s="42">
        <v>1946</v>
      </c>
      <c r="C3" s="44"/>
      <c r="D3" s="44"/>
      <c r="E3" s="44"/>
      <c r="F3" s="44"/>
      <c r="G3" s="44"/>
      <c r="H3" s="45"/>
      <c r="J3" s="45"/>
      <c r="K3" s="47"/>
      <c r="L3" s="47"/>
    </row>
    <row r="4" spans="1:12" x14ac:dyDescent="0.25">
      <c r="A4" s="42">
        <v>1947</v>
      </c>
      <c r="C4" s="44"/>
      <c r="D4" s="44"/>
      <c r="E4" s="44"/>
      <c r="F4" s="44"/>
      <c r="G4" s="44"/>
      <c r="H4" s="45"/>
      <c r="J4" s="45"/>
      <c r="K4" s="47"/>
      <c r="L4" s="47"/>
    </row>
    <row r="5" spans="1:12" x14ac:dyDescent="0.25">
      <c r="A5" s="42">
        <v>1948</v>
      </c>
      <c r="C5" s="44"/>
      <c r="D5" s="44"/>
      <c r="E5" s="44"/>
      <c r="F5" s="44"/>
      <c r="G5" s="44"/>
      <c r="H5" s="45"/>
      <c r="J5" s="45"/>
      <c r="K5" s="47"/>
      <c r="L5" s="47"/>
    </row>
    <row r="6" spans="1:12" x14ac:dyDescent="0.25">
      <c r="A6" s="42">
        <v>1949</v>
      </c>
      <c r="C6" s="44"/>
      <c r="D6" s="44"/>
      <c r="E6" s="44"/>
      <c r="F6" s="44"/>
      <c r="G6" s="44"/>
      <c r="H6" s="45"/>
      <c r="J6" s="45"/>
      <c r="K6" s="47"/>
      <c r="L6" s="47"/>
    </row>
    <row r="7" spans="1:12" x14ac:dyDescent="0.25">
      <c r="A7" s="42">
        <v>1950</v>
      </c>
      <c r="C7" s="44"/>
      <c r="D7" s="44"/>
      <c r="E7" s="44"/>
      <c r="F7" s="44"/>
      <c r="G7" s="44"/>
      <c r="H7" s="45"/>
      <c r="J7" s="45"/>
      <c r="K7" s="47"/>
      <c r="L7" s="47"/>
    </row>
    <row r="8" spans="1:12" x14ac:dyDescent="0.25">
      <c r="A8" s="42">
        <v>1951</v>
      </c>
      <c r="C8" s="44"/>
      <c r="D8" s="44"/>
      <c r="E8" s="44"/>
      <c r="F8" s="44"/>
      <c r="G8" s="44"/>
      <c r="H8" s="45"/>
      <c r="J8" s="45"/>
      <c r="K8" s="47"/>
      <c r="L8" s="47"/>
    </row>
    <row r="9" spans="1:12" x14ac:dyDescent="0.25">
      <c r="A9" s="42">
        <v>1952</v>
      </c>
      <c r="C9" s="48">
        <v>27800</v>
      </c>
      <c r="D9" s="48">
        <v>37.200000000000003</v>
      </c>
      <c r="E9" s="48">
        <v>103.7</v>
      </c>
      <c r="F9" s="48">
        <v>52800</v>
      </c>
      <c r="G9" s="44"/>
      <c r="H9" s="45"/>
      <c r="J9" s="45"/>
      <c r="K9" s="47"/>
      <c r="L9" s="47"/>
    </row>
    <row r="10" spans="1:12" x14ac:dyDescent="0.25">
      <c r="A10" s="42">
        <v>1953</v>
      </c>
      <c r="B10" s="48">
        <v>45</v>
      </c>
      <c r="C10" s="48">
        <v>25800</v>
      </c>
      <c r="D10" s="48">
        <v>31.3</v>
      </c>
      <c r="E10" s="48">
        <v>113.3</v>
      </c>
      <c r="F10" s="48">
        <v>52100</v>
      </c>
      <c r="G10" s="48">
        <v>113</v>
      </c>
      <c r="H10" s="49">
        <v>0.13</v>
      </c>
      <c r="I10" s="49">
        <v>0.49</v>
      </c>
      <c r="J10" s="48">
        <v>228</v>
      </c>
      <c r="K10" s="47"/>
      <c r="L10" s="47"/>
    </row>
    <row r="11" spans="1:12" x14ac:dyDescent="0.25">
      <c r="A11" s="42">
        <v>1954</v>
      </c>
      <c r="B11" s="48">
        <v>47.235999999999997</v>
      </c>
      <c r="C11" s="48">
        <v>25500</v>
      </c>
      <c r="D11" s="48">
        <v>32.1</v>
      </c>
      <c r="E11" s="48">
        <v>115.7</v>
      </c>
      <c r="F11" s="48">
        <v>59000</v>
      </c>
      <c r="G11" s="44"/>
      <c r="H11" s="45"/>
      <c r="J11" s="45"/>
      <c r="K11" s="47"/>
      <c r="L11" s="47"/>
    </row>
    <row r="12" spans="1:12" x14ac:dyDescent="0.25">
      <c r="A12" s="42">
        <v>1955</v>
      </c>
      <c r="B12" s="48">
        <v>55.337000000000003</v>
      </c>
      <c r="C12" s="48">
        <v>22700</v>
      </c>
      <c r="D12" s="48">
        <v>42.9</v>
      </c>
      <c r="E12" s="48">
        <v>138.69999999999999</v>
      </c>
      <c r="F12" s="48">
        <v>68700</v>
      </c>
      <c r="G12" s="44"/>
      <c r="H12" s="45"/>
      <c r="J12" s="45"/>
      <c r="K12" s="47"/>
      <c r="L12" s="47"/>
    </row>
    <row r="13" spans="1:12" x14ac:dyDescent="0.25">
      <c r="A13" s="42">
        <v>1956</v>
      </c>
      <c r="B13" s="48">
        <v>61.127000000000002</v>
      </c>
      <c r="C13" s="48">
        <v>26700</v>
      </c>
      <c r="D13" s="48">
        <v>31.9</v>
      </c>
      <c r="E13" s="48">
        <v>157.6</v>
      </c>
      <c r="F13" s="48">
        <v>94900</v>
      </c>
      <c r="G13" s="44"/>
      <c r="H13" s="45"/>
      <c r="J13" s="45"/>
      <c r="K13" s="47"/>
      <c r="L13" s="47"/>
    </row>
    <row r="14" spans="1:12" x14ac:dyDescent="0.25">
      <c r="A14" s="42">
        <v>1957</v>
      </c>
      <c r="B14" s="48">
        <v>66.206000000000003</v>
      </c>
      <c r="C14" s="48">
        <v>26951</v>
      </c>
      <c r="D14" s="48">
        <v>23.164999999999999</v>
      </c>
      <c r="E14" s="48">
        <v>159.5</v>
      </c>
      <c r="F14" s="48">
        <v>128900</v>
      </c>
      <c r="G14" s="44"/>
      <c r="H14" s="45"/>
      <c r="J14" s="45"/>
      <c r="K14" s="47"/>
      <c r="L14" s="47"/>
    </row>
    <row r="15" spans="1:12" x14ac:dyDescent="0.25">
      <c r="A15" s="42">
        <v>1958</v>
      </c>
      <c r="B15" s="48">
        <v>71.2</v>
      </c>
      <c r="C15" s="48">
        <v>30365</v>
      </c>
      <c r="D15" s="48">
        <v>10.842000000000001</v>
      </c>
      <c r="E15" s="48">
        <v>177</v>
      </c>
      <c r="F15" s="48">
        <v>162900</v>
      </c>
      <c r="G15" s="44"/>
      <c r="H15" s="45"/>
      <c r="J15" s="45"/>
      <c r="K15" s="47"/>
      <c r="L15" s="47"/>
    </row>
    <row r="16" spans="1:12" x14ac:dyDescent="0.25">
      <c r="A16" s="42">
        <v>1959</v>
      </c>
      <c r="B16" s="48">
        <v>83.5</v>
      </c>
      <c r="C16" s="48">
        <v>31500</v>
      </c>
      <c r="D16" s="48">
        <v>5.8140000000000001</v>
      </c>
      <c r="E16" s="48">
        <v>203.3</v>
      </c>
      <c r="F16" s="48">
        <v>186700</v>
      </c>
      <c r="G16" s="44"/>
      <c r="H16" s="45"/>
      <c r="J16" s="45"/>
      <c r="K16" s="47"/>
      <c r="L16" s="47"/>
    </row>
    <row r="17" spans="1:12" x14ac:dyDescent="0.25">
      <c r="A17" s="42">
        <v>1960</v>
      </c>
      <c r="B17" s="48">
        <v>82.6</v>
      </c>
      <c r="C17" s="44"/>
      <c r="D17" s="48">
        <v>6.8550000000000004</v>
      </c>
      <c r="E17" s="48">
        <v>222.5</v>
      </c>
      <c r="F17" s="48">
        <v>222900</v>
      </c>
      <c r="G17" s="44"/>
      <c r="H17" s="45"/>
      <c r="J17" s="45"/>
      <c r="K17" s="47"/>
      <c r="L17" s="47"/>
    </row>
    <row r="18" spans="1:12" x14ac:dyDescent="0.25">
      <c r="A18" s="42">
        <v>1961</v>
      </c>
      <c r="B18" s="48">
        <v>84</v>
      </c>
      <c r="C18" s="48">
        <f>144200/8.94+2600</f>
        <v>18729.753914988814</v>
      </c>
      <c r="D18" s="48">
        <v>4.5670000000000002</v>
      </c>
      <c r="E18" s="48">
        <v>220</v>
      </c>
      <c r="F18" s="48">
        <v>222300</v>
      </c>
      <c r="G18" s="44"/>
      <c r="H18" s="45"/>
      <c r="J18" s="45"/>
      <c r="K18" s="47"/>
      <c r="L18" s="47"/>
    </row>
    <row r="19" spans="1:12" x14ac:dyDescent="0.25">
      <c r="A19" s="42">
        <v>1962</v>
      </c>
      <c r="B19" s="48">
        <v>97.3</v>
      </c>
      <c r="C19" s="48">
        <f>121200/8.94+1600</f>
        <v>15157.046979865772</v>
      </c>
      <c r="D19" s="48">
        <v>4.0999999999999996</v>
      </c>
      <c r="E19" s="48">
        <v>255.6</v>
      </c>
      <c r="F19" s="48">
        <v>242100</v>
      </c>
      <c r="G19" s="44"/>
      <c r="H19" s="45"/>
      <c r="J19" s="45"/>
      <c r="K19" s="47"/>
      <c r="L19" s="47"/>
    </row>
    <row r="20" spans="1:12" x14ac:dyDescent="0.25">
      <c r="A20" s="42">
        <v>1963</v>
      </c>
      <c r="B20" s="48">
        <v>100.2</v>
      </c>
      <c r="C20" s="48">
        <f>110400/8.94+1800</f>
        <v>14148.993288590606</v>
      </c>
      <c r="D20" s="48">
        <v>3.3</v>
      </c>
      <c r="E20" s="48">
        <v>269.39999999999998</v>
      </c>
      <c r="F20" s="48">
        <v>268100</v>
      </c>
      <c r="G20" s="44"/>
      <c r="H20" s="45"/>
      <c r="J20" s="45"/>
      <c r="K20" s="47"/>
      <c r="L20" s="47"/>
    </row>
    <row r="21" spans="1:12" x14ac:dyDescent="0.25">
      <c r="A21" s="42">
        <v>1964</v>
      </c>
      <c r="B21" s="48">
        <v>114.1</v>
      </c>
      <c r="C21" s="48">
        <f>107300/8.94+1600</f>
        <v>13602.237136465325</v>
      </c>
      <c r="D21" s="48">
        <v>2.4</v>
      </c>
      <c r="E21" s="48">
        <v>283.7</v>
      </c>
      <c r="F21" s="48">
        <v>271600</v>
      </c>
      <c r="G21" s="44"/>
      <c r="H21" s="45"/>
      <c r="J21" s="45"/>
      <c r="K21" s="47"/>
      <c r="L21" s="47"/>
    </row>
    <row r="22" spans="1:12" x14ac:dyDescent="0.25">
      <c r="A22" s="42">
        <v>1965</v>
      </c>
      <c r="B22" s="48">
        <v>118.6</v>
      </c>
      <c r="C22" s="48">
        <f>112300/8.94+5400</f>
        <v>17961.521252796421</v>
      </c>
      <c r="D22" s="48">
        <v>1.7</v>
      </c>
      <c r="E22" s="48">
        <v>291.3</v>
      </c>
      <c r="F22" s="48">
        <v>295100</v>
      </c>
      <c r="G22" s="44"/>
      <c r="H22" s="45"/>
      <c r="J22" s="45"/>
      <c r="K22" s="47"/>
      <c r="L22" s="47"/>
    </row>
    <row r="23" spans="1:12" x14ac:dyDescent="0.25">
      <c r="A23" s="42">
        <v>1966</v>
      </c>
      <c r="B23" s="48">
        <v>123.2</v>
      </c>
      <c r="C23" s="48">
        <f>128300/8.94+6100</f>
        <v>20451.230425055932</v>
      </c>
      <c r="D23" s="48">
        <v>1.2</v>
      </c>
      <c r="E23" s="48">
        <v>305.8</v>
      </c>
      <c r="F23" s="48">
        <v>303000</v>
      </c>
      <c r="G23" s="44"/>
      <c r="H23" s="45"/>
      <c r="I23" s="45"/>
      <c r="J23" s="45"/>
      <c r="K23" s="47"/>
      <c r="L23" s="47"/>
    </row>
    <row r="24" spans="1:12" x14ac:dyDescent="0.25">
      <c r="A24" s="42">
        <v>1967</v>
      </c>
      <c r="C24" s="44"/>
      <c r="D24" s="44"/>
      <c r="E24" s="44"/>
      <c r="G24" s="44"/>
      <c r="H24" s="45"/>
      <c r="I24" s="45"/>
      <c r="J24" s="45"/>
      <c r="K24" s="47"/>
      <c r="L24" s="47"/>
    </row>
    <row r="25" spans="1:12" x14ac:dyDescent="0.25">
      <c r="A25" s="42">
        <v>1968</v>
      </c>
      <c r="C25" s="48">
        <v>21170.686991869919</v>
      </c>
      <c r="D25" s="48">
        <v>0.95699999999999996</v>
      </c>
      <c r="E25" s="48">
        <v>264.06599999999997</v>
      </c>
      <c r="F25" s="48">
        <v>294949</v>
      </c>
      <c r="G25" s="44"/>
      <c r="H25" s="45"/>
      <c r="I25" s="45"/>
      <c r="J25" s="45"/>
      <c r="K25" s="47"/>
      <c r="L25" s="47"/>
    </row>
    <row r="26" spans="1:12" x14ac:dyDescent="0.25">
      <c r="A26" s="42">
        <v>1969</v>
      </c>
      <c r="C26" s="44"/>
      <c r="D26" s="44"/>
      <c r="E26" s="44"/>
      <c r="F26" s="44"/>
      <c r="G26" s="44"/>
      <c r="H26" s="45"/>
      <c r="I26" s="45"/>
      <c r="J26" s="45"/>
      <c r="K26" s="47"/>
      <c r="L26" s="47"/>
    </row>
    <row r="27" spans="1:12" x14ac:dyDescent="0.25">
      <c r="A27" s="42">
        <v>1970</v>
      </c>
      <c r="C27" s="44"/>
      <c r="D27" s="44"/>
      <c r="E27" s="44"/>
      <c r="F27" s="44"/>
      <c r="G27" s="44"/>
      <c r="H27" s="45"/>
      <c r="I27" s="45"/>
      <c r="J27" s="45"/>
      <c r="K27" s="47"/>
      <c r="L27" s="47"/>
    </row>
    <row r="28" spans="1:12" x14ac:dyDescent="0.25">
      <c r="A28" s="42">
        <v>1971</v>
      </c>
      <c r="C28" s="44"/>
      <c r="D28" s="44"/>
      <c r="E28" s="44"/>
      <c r="F28" s="44"/>
      <c r="G28" s="44"/>
      <c r="H28" s="45"/>
      <c r="I28" s="45"/>
      <c r="J28" s="45"/>
      <c r="K28" s="47"/>
      <c r="L28" s="47"/>
    </row>
    <row r="29" spans="1:12" x14ac:dyDescent="0.25">
      <c r="A29" s="42">
        <v>1972</v>
      </c>
      <c r="C29" s="44"/>
      <c r="D29" s="44"/>
      <c r="E29" s="44"/>
      <c r="F29" s="44"/>
      <c r="G29" s="44"/>
      <c r="H29" s="45"/>
      <c r="I29" s="45"/>
      <c r="J29" s="45"/>
      <c r="K29" s="47"/>
      <c r="L29" s="47"/>
    </row>
    <row r="30" spans="1:12" x14ac:dyDescent="0.25">
      <c r="A30" s="42">
        <v>1973</v>
      </c>
      <c r="C30" s="44"/>
      <c r="D30" s="44"/>
      <c r="E30" s="44"/>
      <c r="F30" s="44"/>
      <c r="G30" s="44"/>
      <c r="H30" s="45"/>
      <c r="I30" s="45"/>
      <c r="J30" s="45"/>
      <c r="K30" s="47"/>
      <c r="L30" s="47"/>
    </row>
    <row r="31" spans="1:12" x14ac:dyDescent="0.25">
      <c r="A31" s="42">
        <v>1974</v>
      </c>
      <c r="C31" s="44"/>
      <c r="D31" s="44"/>
      <c r="E31" s="44"/>
      <c r="F31" s="44"/>
      <c r="G31" s="44"/>
      <c r="H31" s="45"/>
      <c r="I31" s="45"/>
      <c r="J31" s="45"/>
      <c r="K31" s="47"/>
      <c r="L31" s="47"/>
    </row>
    <row r="32" spans="1:12" x14ac:dyDescent="0.25">
      <c r="A32" s="42">
        <v>1975</v>
      </c>
      <c r="C32" s="44"/>
      <c r="D32" s="44"/>
      <c r="E32" s="44"/>
      <c r="F32" s="44"/>
      <c r="G32" s="44"/>
      <c r="H32" s="45"/>
      <c r="I32" s="45"/>
      <c r="J32" s="45"/>
      <c r="K32" s="44"/>
      <c r="L32" s="47"/>
    </row>
    <row r="33" spans="1:10" x14ac:dyDescent="0.25">
      <c r="A33" s="42">
        <v>1976</v>
      </c>
      <c r="C33" s="50"/>
      <c r="D33" s="50"/>
      <c r="E33" s="50"/>
      <c r="F33" s="50"/>
      <c r="G33" s="50"/>
      <c r="H33" s="50"/>
      <c r="I33" s="50"/>
      <c r="J33" s="50"/>
    </row>
    <row r="34" spans="1:10" x14ac:dyDescent="0.25">
      <c r="A34" s="42">
        <v>1977</v>
      </c>
      <c r="C34" s="50"/>
      <c r="D34" s="50"/>
      <c r="E34" s="50"/>
      <c r="F34" s="50"/>
      <c r="G34" s="50"/>
      <c r="H34" s="50"/>
      <c r="I34" s="50"/>
      <c r="J34" s="50"/>
    </row>
    <row r="35" spans="1:10" x14ac:dyDescent="0.25">
      <c r="A35" s="42">
        <v>1978</v>
      </c>
      <c r="B35" s="48">
        <v>123.2</v>
      </c>
      <c r="C35" s="50"/>
    </row>
    <row r="36" spans="1:10" x14ac:dyDescent="0.25">
      <c r="A36" s="42">
        <v>1979</v>
      </c>
    </row>
    <row r="37" spans="1:10" x14ac:dyDescent="0.25">
      <c r="A37" s="42">
        <v>1980</v>
      </c>
    </row>
    <row r="38" spans="1:10" x14ac:dyDescent="0.25">
      <c r="A38" s="42">
        <v>1981</v>
      </c>
    </row>
    <row r="39" spans="1:10" x14ac:dyDescent="0.25">
      <c r="A39" s="42">
        <v>1982</v>
      </c>
    </row>
    <row r="40" spans="1:10" x14ac:dyDescent="0.25">
      <c r="A40" s="42">
        <v>1983</v>
      </c>
    </row>
    <row r="41" spans="1:10" x14ac:dyDescent="0.25">
      <c r="A41" s="42">
        <v>1984</v>
      </c>
    </row>
    <row r="42" spans="1:10" x14ac:dyDescent="0.25">
      <c r="A42" s="42">
        <v>1985</v>
      </c>
    </row>
    <row r="43" spans="1:10" x14ac:dyDescent="0.25">
      <c r="A43" s="42">
        <v>1986</v>
      </c>
    </row>
    <row r="44" spans="1:10" x14ac:dyDescent="0.25">
      <c r="A44" s="42">
        <v>1987</v>
      </c>
    </row>
    <row r="45" spans="1:10" x14ac:dyDescent="0.25">
      <c r="A45" s="42">
        <v>1988</v>
      </c>
    </row>
    <row r="46" spans="1:10" x14ac:dyDescent="0.25">
      <c r="A46" s="42">
        <v>1989</v>
      </c>
    </row>
    <row r="47" spans="1:10" x14ac:dyDescent="0.25">
      <c r="A47" s="42">
        <v>1990</v>
      </c>
    </row>
    <row r="48" spans="1:10" x14ac:dyDescent="0.25">
      <c r="A48" s="42">
        <v>1991</v>
      </c>
    </row>
    <row r="49" spans="1:11" x14ac:dyDescent="0.25">
      <c r="A49" s="42">
        <v>1992</v>
      </c>
      <c r="C49" s="51"/>
      <c r="D49" s="51"/>
      <c r="E49" s="51"/>
      <c r="F49" s="51"/>
      <c r="G49" s="51"/>
      <c r="H49" s="51"/>
      <c r="I49" s="51"/>
      <c r="J49" s="51"/>
      <c r="K49" s="51"/>
    </row>
    <row r="50" spans="1:11" x14ac:dyDescent="0.25">
      <c r="A50" s="42">
        <v>1993</v>
      </c>
      <c r="C50" s="52"/>
      <c r="D50" s="52"/>
      <c r="E50" s="52"/>
      <c r="F50" s="52"/>
      <c r="G50" s="52"/>
      <c r="H50" s="52"/>
      <c r="I50" s="52"/>
      <c r="J50" s="52"/>
    </row>
    <row r="51" spans="1:11" x14ac:dyDescent="0.25">
      <c r="A51" s="42">
        <v>1994</v>
      </c>
      <c r="B51" s="48">
        <v>115.29600000000001</v>
      </c>
      <c r="C51" s="52"/>
      <c r="D51" s="52"/>
      <c r="E51" s="52"/>
      <c r="F51" s="52"/>
      <c r="G51" s="52"/>
      <c r="H51" s="52"/>
      <c r="I51" s="52"/>
      <c r="J51" s="52"/>
    </row>
    <row r="52" spans="1:11" x14ac:dyDescent="0.25">
      <c r="A52" s="42">
        <v>1995</v>
      </c>
      <c r="B52" s="48">
        <v>202</v>
      </c>
      <c r="C52" s="52"/>
      <c r="D52" s="52"/>
      <c r="E52" s="52"/>
      <c r="F52" s="52"/>
      <c r="G52" s="52"/>
      <c r="H52" s="52"/>
      <c r="I52" s="52"/>
      <c r="J52" s="52"/>
    </row>
    <row r="53" spans="1:11" x14ac:dyDescent="0.25">
      <c r="A53" s="42">
        <v>1996</v>
      </c>
      <c r="B53" s="48">
        <v>211.72192513368987</v>
      </c>
      <c r="C53" s="52"/>
      <c r="D53" s="52"/>
      <c r="E53" s="52"/>
      <c r="F53" s="52"/>
      <c r="G53" s="52"/>
      <c r="H53" s="52"/>
      <c r="I53" s="52"/>
      <c r="J53" s="52"/>
    </row>
    <row r="54" spans="1:11" x14ac:dyDescent="0.25">
      <c r="A54" s="42">
        <v>1997</v>
      </c>
      <c r="B54" s="53">
        <v>114</v>
      </c>
      <c r="C54" s="52"/>
      <c r="D54" s="52"/>
      <c r="E54" s="52"/>
      <c r="F54" s="52"/>
      <c r="G54" s="52"/>
      <c r="H54" s="52"/>
      <c r="I54" s="52"/>
      <c r="J54" s="52"/>
    </row>
    <row r="55" spans="1:11" x14ac:dyDescent="0.25">
      <c r="A55" s="42">
        <v>1998</v>
      </c>
      <c r="B55" s="52"/>
      <c r="C55" s="52"/>
      <c r="D55" s="52"/>
      <c r="E55" s="52"/>
      <c r="F55" s="52"/>
      <c r="G55" s="52"/>
      <c r="H55" s="52"/>
      <c r="I55" s="52"/>
      <c r="J55" s="52"/>
    </row>
    <row r="56" spans="1:11" x14ac:dyDescent="0.25">
      <c r="A56" s="42">
        <v>1999</v>
      </c>
      <c r="C56" s="52"/>
      <c r="D56" s="52"/>
      <c r="E56" s="52"/>
      <c r="F56" s="52"/>
      <c r="G56" s="52"/>
      <c r="H56" s="52"/>
      <c r="I56" s="52"/>
      <c r="J56" s="52"/>
    </row>
    <row r="57" spans="1:11" x14ac:dyDescent="0.25">
      <c r="A57" s="42">
        <v>2000</v>
      </c>
      <c r="C57" s="52"/>
      <c r="D57" s="52"/>
      <c r="E57" s="52"/>
      <c r="F57" s="52"/>
      <c r="G57" s="52"/>
      <c r="H57" s="52"/>
      <c r="I57" s="52"/>
      <c r="J57" s="52"/>
    </row>
    <row r="58" spans="1:11" x14ac:dyDescent="0.25">
      <c r="A58" s="42">
        <v>2001</v>
      </c>
      <c r="C58" s="52"/>
      <c r="D58" s="52"/>
      <c r="E58" s="52"/>
      <c r="F58" s="52"/>
      <c r="G58" s="52"/>
      <c r="H58" s="52"/>
      <c r="I58" s="52"/>
      <c r="J58" s="52"/>
    </row>
    <row r="59" spans="1:11" x14ac:dyDescent="0.25">
      <c r="A59" s="42">
        <v>2002</v>
      </c>
      <c r="C59" s="52"/>
      <c r="D59" s="52"/>
      <c r="E59" s="52"/>
      <c r="F59" s="52"/>
      <c r="G59" s="52"/>
      <c r="H59" s="52"/>
      <c r="I59" s="52"/>
      <c r="J59" s="52"/>
    </row>
    <row r="60" spans="1:11" x14ac:dyDescent="0.25">
      <c r="A60" s="42">
        <v>2003</v>
      </c>
      <c r="C60" s="52"/>
      <c r="D60" s="52"/>
      <c r="E60" s="52"/>
      <c r="F60" s="52"/>
      <c r="G60" s="52"/>
      <c r="H60" s="52"/>
      <c r="I60" s="52"/>
      <c r="J60" s="52"/>
    </row>
    <row r="61" spans="1:11" x14ac:dyDescent="0.25">
      <c r="A61" s="42">
        <v>2004</v>
      </c>
      <c r="C61" s="52"/>
      <c r="D61" s="52"/>
      <c r="E61" s="52"/>
      <c r="F61" s="52"/>
      <c r="G61" s="52"/>
      <c r="H61" s="52"/>
      <c r="I61" s="52"/>
      <c r="J61" s="52"/>
    </row>
    <row r="62" spans="1:11" x14ac:dyDescent="0.25">
      <c r="A62" s="42">
        <v>2005</v>
      </c>
      <c r="C62" s="52"/>
      <c r="D62" s="52"/>
      <c r="E62" s="52"/>
      <c r="F62" s="52"/>
      <c r="G62" s="52"/>
      <c r="H62" s="52"/>
      <c r="I62" s="52"/>
      <c r="J62" s="52"/>
    </row>
    <row r="63" spans="1:11" x14ac:dyDescent="0.25">
      <c r="A63" s="42">
        <v>2006</v>
      </c>
      <c r="C63" s="52"/>
      <c r="D63" s="52"/>
      <c r="E63" s="52"/>
      <c r="F63" s="52"/>
      <c r="G63" s="52"/>
      <c r="H63" s="52"/>
      <c r="I63" s="52"/>
      <c r="J63" s="52"/>
    </row>
    <row r="64" spans="1:11" x14ac:dyDescent="0.25">
      <c r="A64" s="42">
        <v>2007</v>
      </c>
      <c r="C64" s="52"/>
      <c r="D64" s="52"/>
      <c r="E64" s="52"/>
      <c r="F64" s="52"/>
      <c r="G64" s="52"/>
      <c r="H64" s="52"/>
      <c r="I64" s="52"/>
      <c r="J64" s="52"/>
    </row>
    <row r="65" spans="1:75" x14ac:dyDescent="0.25">
      <c r="A65" s="42">
        <v>2008</v>
      </c>
    </row>
    <row r="66" spans="1:75" x14ac:dyDescent="0.25">
      <c r="A66" s="42">
        <v>2009</v>
      </c>
    </row>
    <row r="67" spans="1:75" x14ac:dyDescent="0.25">
      <c r="A67" s="42">
        <v>2010</v>
      </c>
    </row>
    <row r="68" spans="1:75" x14ac:dyDescent="0.25">
      <c r="A68" s="42">
        <v>2011</v>
      </c>
    </row>
    <row r="69" spans="1:75" x14ac:dyDescent="0.25">
      <c r="A69" s="42">
        <v>2012</v>
      </c>
    </row>
    <row r="70" spans="1:75" x14ac:dyDescent="0.25">
      <c r="A70" s="42">
        <v>2013</v>
      </c>
    </row>
    <row r="71" spans="1:75" x14ac:dyDescent="0.25">
      <c r="A71" s="42">
        <v>2014</v>
      </c>
    </row>
    <row r="72" spans="1:75" x14ac:dyDescent="0.25">
      <c r="A72" s="42">
        <v>2015</v>
      </c>
    </row>
    <row r="73" spans="1:75" x14ac:dyDescent="0.25">
      <c r="A73" s="42">
        <v>2016</v>
      </c>
    </row>
    <row r="74" spans="1:75" x14ac:dyDescent="0.25">
      <c r="A74" s="42">
        <v>2017</v>
      </c>
    </row>
    <row r="75" spans="1:75" x14ac:dyDescent="0.25">
      <c r="A75" s="42">
        <v>2018</v>
      </c>
    </row>
    <row r="76" spans="1:75" x14ac:dyDescent="0.25">
      <c r="A76" s="42">
        <v>2019</v>
      </c>
    </row>
    <row r="77" spans="1:75" x14ac:dyDescent="0.25">
      <c r="A77" s="42">
        <v>2020</v>
      </c>
    </row>
    <row r="78" spans="1:75" s="54" customFormat="1" x14ac:dyDescent="0.25">
      <c r="A78" s="43"/>
      <c r="B78" s="43"/>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c r="BP78" s="46"/>
      <c r="BQ78" s="46"/>
      <c r="BR78" s="46"/>
      <c r="BS78" s="46"/>
      <c r="BT78" s="46"/>
      <c r="BU78" s="46"/>
      <c r="BV78" s="46"/>
      <c r="BW78" s="46"/>
    </row>
    <row r="79" spans="1:75" s="54" customFormat="1" x14ac:dyDescent="0.25">
      <c r="A79" s="43"/>
      <c r="B79" s="43"/>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c r="BP79" s="46"/>
      <c r="BQ79" s="46"/>
      <c r="BR79" s="46"/>
      <c r="BS79" s="46"/>
      <c r="BT79" s="46"/>
      <c r="BU79" s="46"/>
      <c r="BV79" s="46"/>
      <c r="BW79" s="46"/>
    </row>
    <row r="80" spans="1:75" s="54" customFormat="1" x14ac:dyDescent="0.25">
      <c r="A80" s="43"/>
      <c r="B80" s="43"/>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c r="BP80" s="46"/>
      <c r="BQ80" s="46"/>
      <c r="BR80" s="46"/>
      <c r="BS80" s="46"/>
      <c r="BT80" s="46"/>
      <c r="BU80" s="46"/>
      <c r="BV80" s="46"/>
      <c r="BW80" s="46"/>
    </row>
    <row r="87" spans="1:75" s="54" customFormat="1" x14ac:dyDescent="0.25">
      <c r="A87" s="43"/>
      <c r="B87" s="43"/>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46"/>
      <c r="BO87" s="46"/>
      <c r="BP87" s="46"/>
      <c r="BQ87" s="46"/>
      <c r="BR87" s="46"/>
      <c r="BS87" s="46"/>
      <c r="BT87" s="46"/>
      <c r="BU87" s="46"/>
      <c r="BV87" s="46"/>
      <c r="BW87" s="46"/>
    </row>
    <row r="88" spans="1:75" s="54" customFormat="1" x14ac:dyDescent="0.25">
      <c r="A88" s="43"/>
      <c r="B88" s="43"/>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c r="BP88" s="46"/>
      <c r="BQ88" s="46"/>
      <c r="BR88" s="46"/>
      <c r="BS88" s="46"/>
      <c r="BT88" s="46"/>
      <c r="BU88" s="46"/>
      <c r="BV88" s="46"/>
      <c r="BW88" s="46"/>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V88"/>
  <sheetViews>
    <sheetView zoomScale="74" zoomScaleNormal="85" workbookViewId="0">
      <pane xSplit="1" ySplit="1" topLeftCell="B2" activePane="bottomRight" state="frozen"/>
      <selection pane="topRight" activeCell="B1" sqref="B1"/>
      <selection pane="bottomLeft" activeCell="A2" sqref="A2"/>
      <selection pane="bottomRight" activeCell="C16" sqref="C16"/>
    </sheetView>
  </sheetViews>
  <sheetFormatPr defaultColWidth="10.7109375" defaultRowHeight="15" x14ac:dyDescent="0.25"/>
  <cols>
    <col min="1" max="1" width="7.42578125" style="2" customWidth="1"/>
    <col min="2" max="11" width="21.28515625" style="6" customWidth="1"/>
    <col min="12" max="16384" width="10.7109375" style="6"/>
  </cols>
  <sheetData>
    <row r="1" spans="1:11" s="3" customFormat="1" x14ac:dyDescent="0.25">
      <c r="A1" s="20" t="s">
        <v>0</v>
      </c>
      <c r="B1" s="5" t="s">
        <v>52</v>
      </c>
      <c r="C1" s="5" t="s">
        <v>53</v>
      </c>
      <c r="D1" s="68" t="s">
        <v>54</v>
      </c>
      <c r="E1" s="68" t="s">
        <v>55</v>
      </c>
      <c r="F1" s="68" t="s">
        <v>56</v>
      </c>
      <c r="G1" s="68" t="s">
        <v>57</v>
      </c>
      <c r="H1" s="68" t="s">
        <v>58</v>
      </c>
      <c r="I1" s="68" t="s">
        <v>59</v>
      </c>
      <c r="J1" s="68" t="s">
        <v>60</v>
      </c>
      <c r="K1" s="68" t="s">
        <v>61</v>
      </c>
    </row>
    <row r="2" spans="1:11" s="1" customFormat="1" x14ac:dyDescent="0.25">
      <c r="A2" s="14">
        <v>1945</v>
      </c>
      <c r="D2" s="6"/>
    </row>
    <row r="3" spans="1:11" s="1" customFormat="1" x14ac:dyDescent="0.25">
      <c r="A3" s="14">
        <v>1946</v>
      </c>
      <c r="D3" s="6"/>
    </row>
    <row r="4" spans="1:11" s="1" customFormat="1" x14ac:dyDescent="0.25">
      <c r="A4" s="14">
        <v>1947</v>
      </c>
      <c r="D4" s="6"/>
    </row>
    <row r="5" spans="1:11" s="1" customFormat="1" x14ac:dyDescent="0.25">
      <c r="A5" s="14">
        <v>1948</v>
      </c>
      <c r="D5" s="6"/>
    </row>
    <row r="6" spans="1:11" s="1" customFormat="1" x14ac:dyDescent="0.25">
      <c r="A6" s="14">
        <v>1949</v>
      </c>
      <c r="D6" s="6"/>
    </row>
    <row r="7" spans="1:11" s="1" customFormat="1" x14ac:dyDescent="0.25">
      <c r="A7" s="14">
        <v>1950</v>
      </c>
      <c r="D7" s="6"/>
    </row>
    <row r="8" spans="1:11" s="1" customFormat="1" x14ac:dyDescent="0.25">
      <c r="A8" s="14">
        <v>1951</v>
      </c>
      <c r="D8" s="6"/>
    </row>
    <row r="9" spans="1:11" s="1" customFormat="1" x14ac:dyDescent="0.25">
      <c r="A9" s="14">
        <v>1952</v>
      </c>
      <c r="D9" s="6"/>
    </row>
    <row r="10" spans="1:11" s="1" customFormat="1" x14ac:dyDescent="0.25">
      <c r="A10" s="14">
        <v>1953</v>
      </c>
      <c r="D10" s="6"/>
    </row>
    <row r="11" spans="1:11" s="1" customFormat="1" x14ac:dyDescent="0.25">
      <c r="A11" s="14">
        <v>1954</v>
      </c>
      <c r="D11" s="6"/>
    </row>
    <row r="12" spans="1:11" s="1" customFormat="1" x14ac:dyDescent="0.25">
      <c r="A12" s="14">
        <v>1955</v>
      </c>
      <c r="D12" s="6"/>
    </row>
    <row r="13" spans="1:11" s="1" customFormat="1" x14ac:dyDescent="0.25">
      <c r="A13" s="14">
        <v>1956</v>
      </c>
      <c r="D13" s="6"/>
      <c r="E13" s="15"/>
      <c r="F13" s="15"/>
    </row>
    <row r="14" spans="1:11" s="1" customFormat="1" x14ac:dyDescent="0.25">
      <c r="A14" s="14">
        <v>1957</v>
      </c>
      <c r="D14" s="6"/>
      <c r="E14" s="15"/>
      <c r="F14" s="15"/>
    </row>
    <row r="15" spans="1:11" s="1" customFormat="1" x14ac:dyDescent="0.25">
      <c r="A15" s="14">
        <v>1958</v>
      </c>
      <c r="D15" s="6"/>
      <c r="E15" s="15"/>
      <c r="F15" s="15"/>
    </row>
    <row r="16" spans="1:11" s="1" customFormat="1" x14ac:dyDescent="0.25">
      <c r="A16" s="14">
        <v>1959</v>
      </c>
      <c r="D16" s="6"/>
      <c r="E16" s="15"/>
      <c r="F16" s="15"/>
    </row>
    <row r="17" spans="1:6" s="1" customFormat="1" x14ac:dyDescent="0.25">
      <c r="A17" s="14">
        <v>1960</v>
      </c>
      <c r="B17" s="1">
        <v>1725</v>
      </c>
      <c r="D17" s="6"/>
      <c r="E17" s="16"/>
      <c r="F17" s="16"/>
    </row>
    <row r="18" spans="1:6" s="1" customFormat="1" x14ac:dyDescent="0.25">
      <c r="A18" s="14">
        <v>1961</v>
      </c>
      <c r="D18" s="6"/>
      <c r="E18" s="15"/>
      <c r="F18" s="15"/>
    </row>
    <row r="19" spans="1:6" s="1" customFormat="1" x14ac:dyDescent="0.25">
      <c r="A19" s="14">
        <v>1962</v>
      </c>
      <c r="D19" s="6"/>
      <c r="E19" s="15"/>
      <c r="F19" s="15"/>
    </row>
    <row r="20" spans="1:6" s="1" customFormat="1" x14ac:dyDescent="0.25">
      <c r="A20" s="14">
        <v>1963</v>
      </c>
      <c r="D20" s="6"/>
      <c r="E20" s="15"/>
      <c r="F20" s="15"/>
    </row>
    <row r="21" spans="1:6" s="1" customFormat="1" x14ac:dyDescent="0.25">
      <c r="A21" s="14">
        <v>1964</v>
      </c>
      <c r="D21" s="6"/>
      <c r="E21" s="15"/>
      <c r="F21" s="15"/>
    </row>
    <row r="22" spans="1:6" s="1" customFormat="1" x14ac:dyDescent="0.25">
      <c r="A22" s="14">
        <v>1965</v>
      </c>
      <c r="B22" s="1">
        <v>1525</v>
      </c>
      <c r="D22" s="6"/>
      <c r="E22" s="16"/>
      <c r="F22" s="16"/>
    </row>
    <row r="23" spans="1:6" s="1" customFormat="1" x14ac:dyDescent="0.25">
      <c r="A23" s="14">
        <v>1966</v>
      </c>
      <c r="D23" s="6"/>
      <c r="E23" s="15"/>
      <c r="F23" s="15"/>
    </row>
    <row r="24" spans="1:6" s="1" customFormat="1" x14ac:dyDescent="0.25">
      <c r="A24" s="14">
        <v>1967</v>
      </c>
      <c r="D24" s="6"/>
      <c r="E24" s="15"/>
      <c r="F24" s="15"/>
    </row>
    <row r="25" spans="1:6" s="1" customFormat="1" x14ac:dyDescent="0.25">
      <c r="A25" s="14">
        <v>1968</v>
      </c>
      <c r="D25" s="6"/>
      <c r="E25" s="15"/>
      <c r="F25" s="15"/>
    </row>
    <row r="26" spans="1:6" s="1" customFormat="1" x14ac:dyDescent="0.25">
      <c r="A26" s="14">
        <v>1969</v>
      </c>
      <c r="D26" s="6"/>
      <c r="E26" s="15"/>
      <c r="F26" s="15"/>
    </row>
    <row r="27" spans="1:6" s="1" customFormat="1" x14ac:dyDescent="0.25">
      <c r="A27" s="14">
        <v>1970</v>
      </c>
      <c r="B27" s="1">
        <v>1340</v>
      </c>
      <c r="D27" s="6"/>
      <c r="E27" s="16"/>
      <c r="F27" s="16"/>
    </row>
    <row r="28" spans="1:6" s="1" customFormat="1" x14ac:dyDescent="0.25">
      <c r="A28" s="14">
        <v>1971</v>
      </c>
      <c r="D28" s="6"/>
      <c r="E28" s="15"/>
      <c r="F28" s="15"/>
    </row>
    <row r="29" spans="1:6" s="1" customFormat="1" x14ac:dyDescent="0.25">
      <c r="A29" s="14">
        <v>1972</v>
      </c>
      <c r="D29" s="6"/>
      <c r="E29" s="15"/>
      <c r="F29" s="15"/>
    </row>
    <row r="30" spans="1:6" s="1" customFormat="1" x14ac:dyDescent="0.25">
      <c r="A30" s="14">
        <v>1973</v>
      </c>
      <c r="D30" s="6"/>
      <c r="E30" s="15"/>
      <c r="F30" s="15"/>
    </row>
    <row r="31" spans="1:6" s="1" customFormat="1" x14ac:dyDescent="0.25">
      <c r="A31" s="14">
        <v>1974</v>
      </c>
      <c r="D31" s="6"/>
      <c r="E31" s="15"/>
      <c r="F31" s="15"/>
    </row>
    <row r="32" spans="1:6" s="1" customFormat="1" x14ac:dyDescent="0.25">
      <c r="A32" s="14">
        <v>1975</v>
      </c>
      <c r="B32" s="1">
        <v>1075</v>
      </c>
      <c r="D32" s="6"/>
      <c r="E32" s="16"/>
      <c r="F32" s="16"/>
    </row>
    <row r="33" spans="1:6" s="1" customFormat="1" x14ac:dyDescent="0.25">
      <c r="A33" s="14">
        <v>1976</v>
      </c>
      <c r="D33" s="6"/>
      <c r="E33" s="15"/>
      <c r="F33" s="15"/>
    </row>
    <row r="34" spans="1:6" s="1" customFormat="1" x14ac:dyDescent="0.25">
      <c r="A34" s="14">
        <v>1977</v>
      </c>
      <c r="D34" s="6"/>
      <c r="E34" s="15"/>
      <c r="F34" s="15"/>
    </row>
    <row r="35" spans="1:6" s="1" customFormat="1" x14ac:dyDescent="0.25">
      <c r="A35" s="14">
        <v>1978</v>
      </c>
      <c r="D35" s="6"/>
      <c r="E35" s="15"/>
      <c r="F35" s="15"/>
    </row>
    <row r="36" spans="1:6" s="1" customFormat="1" x14ac:dyDescent="0.25">
      <c r="A36" s="14">
        <v>1979</v>
      </c>
      <c r="D36" s="6"/>
      <c r="E36" s="15"/>
      <c r="F36" s="15"/>
    </row>
    <row r="37" spans="1:6" s="1" customFormat="1" x14ac:dyDescent="0.25">
      <c r="A37" s="14">
        <v>1980</v>
      </c>
      <c r="B37" s="1">
        <v>900</v>
      </c>
      <c r="D37" s="6"/>
      <c r="E37" s="16"/>
      <c r="F37" s="16"/>
    </row>
    <row r="38" spans="1:6" s="1" customFormat="1" x14ac:dyDescent="0.25">
      <c r="A38" s="14">
        <v>1981</v>
      </c>
      <c r="D38" s="6"/>
      <c r="E38" s="15"/>
      <c r="F38" s="15"/>
    </row>
    <row r="39" spans="1:6" s="1" customFormat="1" x14ac:dyDescent="0.25">
      <c r="A39" s="14">
        <v>1982</v>
      </c>
      <c r="D39" s="6"/>
      <c r="E39" s="15"/>
      <c r="F39" s="15"/>
    </row>
    <row r="40" spans="1:6" s="1" customFormat="1" x14ac:dyDescent="0.25">
      <c r="A40" s="14">
        <v>1983</v>
      </c>
      <c r="D40" s="6"/>
      <c r="E40" s="15"/>
      <c r="F40" s="15"/>
    </row>
    <row r="41" spans="1:6" s="1" customFormat="1" x14ac:dyDescent="0.25">
      <c r="A41" s="14">
        <v>1984</v>
      </c>
      <c r="D41" s="6"/>
      <c r="E41" s="15"/>
      <c r="F41" s="15"/>
    </row>
    <row r="42" spans="1:6" s="1" customFormat="1" x14ac:dyDescent="0.25">
      <c r="A42" s="14">
        <v>1985</v>
      </c>
      <c r="B42" s="1">
        <v>800</v>
      </c>
      <c r="D42" s="6"/>
      <c r="E42" s="16"/>
      <c r="F42" s="16"/>
    </row>
    <row r="43" spans="1:6" s="1" customFormat="1" x14ac:dyDescent="0.25">
      <c r="A43" s="14">
        <v>1986</v>
      </c>
      <c r="D43" s="6"/>
      <c r="E43" s="15"/>
      <c r="F43" s="15"/>
    </row>
    <row r="44" spans="1:6" s="1" customFormat="1" x14ac:dyDescent="0.25">
      <c r="A44" s="14">
        <v>1987</v>
      </c>
      <c r="D44" s="6"/>
      <c r="E44" s="15"/>
      <c r="F44" s="15"/>
    </row>
    <row r="45" spans="1:6" s="1" customFormat="1" x14ac:dyDescent="0.25">
      <c r="A45" s="14">
        <v>1988</v>
      </c>
      <c r="D45" s="6"/>
      <c r="E45" s="15"/>
      <c r="F45" s="15"/>
    </row>
    <row r="46" spans="1:6" s="1" customFormat="1" x14ac:dyDescent="0.25">
      <c r="A46" s="14">
        <v>1989</v>
      </c>
      <c r="D46" s="6"/>
      <c r="E46" s="15"/>
      <c r="F46" s="15"/>
    </row>
    <row r="47" spans="1:6" s="1" customFormat="1" x14ac:dyDescent="0.25">
      <c r="A47" s="14">
        <v>1990</v>
      </c>
      <c r="B47" s="1">
        <v>690</v>
      </c>
      <c r="C47" s="11">
        <f>21000/4800</f>
        <v>4.375</v>
      </c>
      <c r="D47" s="6"/>
      <c r="E47" s="16"/>
      <c r="F47" s="16"/>
    </row>
    <row r="48" spans="1:6" s="1" customFormat="1" x14ac:dyDescent="0.25">
      <c r="A48" s="14">
        <v>1991</v>
      </c>
      <c r="D48" s="6"/>
      <c r="E48" s="15"/>
      <c r="F48" s="15"/>
    </row>
    <row r="49" spans="1:11" s="1" customFormat="1" x14ac:dyDescent="0.25">
      <c r="A49" s="14">
        <v>1992</v>
      </c>
      <c r="D49" s="6"/>
      <c r="E49" s="15"/>
      <c r="F49" s="15"/>
    </row>
    <row r="50" spans="1:11" s="1" customFormat="1" x14ac:dyDescent="0.25">
      <c r="A50" s="14">
        <v>1993</v>
      </c>
      <c r="C50" s="11">
        <f>20000/4601</f>
        <v>4.3468811128015652</v>
      </c>
      <c r="D50" s="6"/>
      <c r="E50" s="15"/>
      <c r="F50" s="15"/>
    </row>
    <row r="51" spans="1:11" s="1" customFormat="1" x14ac:dyDescent="0.25">
      <c r="A51" s="14">
        <v>1994</v>
      </c>
      <c r="C51" s="11"/>
      <c r="D51" s="6"/>
      <c r="E51" s="15"/>
      <c r="F51" s="15"/>
    </row>
    <row r="52" spans="1:11" s="1" customFormat="1" x14ac:dyDescent="0.25">
      <c r="A52" s="14">
        <v>1995</v>
      </c>
      <c r="B52" s="1">
        <v>710</v>
      </c>
      <c r="C52" s="11"/>
      <c r="D52" s="6"/>
      <c r="E52" s="15"/>
      <c r="F52" s="15"/>
    </row>
    <row r="53" spans="1:11" s="1" customFormat="1" x14ac:dyDescent="0.25">
      <c r="A53" s="14">
        <v>1996</v>
      </c>
      <c r="C53" s="11"/>
      <c r="D53" s="6"/>
      <c r="E53" s="16"/>
      <c r="F53" s="16"/>
    </row>
    <row r="54" spans="1:11" s="1" customFormat="1" x14ac:dyDescent="0.25">
      <c r="A54" s="14">
        <v>1997</v>
      </c>
      <c r="C54" s="11">
        <f>15250/4253</f>
        <v>3.5857042087937927</v>
      </c>
      <c r="D54" s="1">
        <v>0.54</v>
      </c>
      <c r="E54" s="1">
        <v>4</v>
      </c>
      <c r="F54" s="1">
        <v>0.02</v>
      </c>
      <c r="G54" s="1">
        <v>0.1</v>
      </c>
      <c r="H54" s="1">
        <v>2E-3</v>
      </c>
      <c r="I54" s="1">
        <v>0.01</v>
      </c>
      <c r="J54" s="1">
        <v>0.01</v>
      </c>
      <c r="K54" s="1">
        <v>0.08</v>
      </c>
    </row>
    <row r="55" spans="1:11" s="1" customFormat="1" x14ac:dyDescent="0.25">
      <c r="A55" s="14">
        <v>1998</v>
      </c>
      <c r="C55" s="11"/>
      <c r="D55" s="6"/>
      <c r="E55" s="15"/>
      <c r="F55" s="15"/>
    </row>
    <row r="56" spans="1:11" s="1" customFormat="1" x14ac:dyDescent="0.25">
      <c r="A56" s="14">
        <v>1999</v>
      </c>
      <c r="C56" s="11"/>
      <c r="D56" s="6"/>
      <c r="E56" s="15"/>
      <c r="F56" s="15"/>
    </row>
    <row r="57" spans="1:11" s="1" customFormat="1" x14ac:dyDescent="0.25">
      <c r="A57" s="14">
        <v>2000</v>
      </c>
      <c r="B57" s="1">
        <v>610</v>
      </c>
      <c r="C57" s="11">
        <f>14500/5523.5</f>
        <v>2.6251470987598444</v>
      </c>
      <c r="D57" s="6"/>
      <c r="E57" s="15"/>
      <c r="F57" s="15"/>
    </row>
    <row r="58" spans="1:11" s="1" customFormat="1" x14ac:dyDescent="0.25">
      <c r="A58" s="14">
        <v>2001</v>
      </c>
      <c r="C58" s="11"/>
      <c r="D58" s="6"/>
      <c r="E58" s="15"/>
      <c r="F58" s="15"/>
    </row>
    <row r="59" spans="1:11" s="1" customFormat="1" x14ac:dyDescent="0.25">
      <c r="A59" s="14">
        <v>2002</v>
      </c>
      <c r="C59" s="11"/>
      <c r="D59" s="6"/>
      <c r="E59" s="15"/>
      <c r="F59" s="15"/>
    </row>
    <row r="60" spans="1:11" s="1" customFormat="1" x14ac:dyDescent="0.25">
      <c r="A60" s="14">
        <v>2003</v>
      </c>
      <c r="C60" s="11"/>
      <c r="D60" s="6"/>
      <c r="E60" s="15"/>
      <c r="F60" s="15"/>
    </row>
    <row r="61" spans="1:11" s="1" customFormat="1" x14ac:dyDescent="0.25">
      <c r="A61" s="14">
        <v>2004</v>
      </c>
      <c r="C61" s="11">
        <f>12350/5661</f>
        <v>2.1815933580639464</v>
      </c>
      <c r="D61" s="6"/>
      <c r="E61" s="15"/>
      <c r="F61" s="15"/>
    </row>
    <row r="62" spans="1:11" s="1" customFormat="1" x14ac:dyDescent="0.25">
      <c r="A62" s="14">
        <v>2005</v>
      </c>
      <c r="B62" s="1">
        <v>585</v>
      </c>
      <c r="C62" s="11">
        <f>12100/5569</f>
        <v>2.1727419644460406</v>
      </c>
      <c r="D62" s="6"/>
      <c r="E62" s="15"/>
      <c r="F62" s="15"/>
    </row>
    <row r="63" spans="1:11" s="1" customFormat="1" x14ac:dyDescent="0.25">
      <c r="A63" s="14">
        <v>2006</v>
      </c>
      <c r="B63" s="1">
        <v>550</v>
      </c>
      <c r="D63" s="6"/>
      <c r="E63" s="16"/>
      <c r="F63" s="16"/>
    </row>
    <row r="64" spans="1:11" s="1" customFormat="1" x14ac:dyDescent="0.25">
      <c r="A64" s="14">
        <v>2007</v>
      </c>
      <c r="D64" s="6"/>
      <c r="E64" s="15"/>
      <c r="F64" s="15"/>
    </row>
    <row r="65" spans="1:74" s="1" customFormat="1" x14ac:dyDescent="0.25">
      <c r="A65" s="14">
        <v>2008</v>
      </c>
      <c r="D65" s="6"/>
      <c r="E65" s="15"/>
      <c r="F65" s="15"/>
    </row>
    <row r="66" spans="1:74" s="1" customFormat="1" x14ac:dyDescent="0.25">
      <c r="A66" s="14">
        <v>2009</v>
      </c>
      <c r="D66" s="6"/>
    </row>
    <row r="67" spans="1:74" s="1" customFormat="1" x14ac:dyDescent="0.25">
      <c r="A67" s="14">
        <v>2010</v>
      </c>
      <c r="D67" s="6"/>
    </row>
    <row r="68" spans="1:74" s="1" customFormat="1" x14ac:dyDescent="0.25">
      <c r="A68" s="14">
        <v>2011</v>
      </c>
      <c r="D68" s="6"/>
    </row>
    <row r="69" spans="1:74" s="1" customFormat="1" x14ac:dyDescent="0.25">
      <c r="A69" s="14">
        <v>2012</v>
      </c>
      <c r="D69" s="6"/>
    </row>
    <row r="70" spans="1:74" s="1" customFormat="1" x14ac:dyDescent="0.25">
      <c r="A70" s="14">
        <v>2013</v>
      </c>
      <c r="D70" s="6"/>
    </row>
    <row r="71" spans="1:74" s="1" customFormat="1" x14ac:dyDescent="0.25">
      <c r="A71" s="14">
        <v>2014</v>
      </c>
      <c r="D71" s="6"/>
    </row>
    <row r="72" spans="1:74" s="1" customFormat="1" x14ac:dyDescent="0.25">
      <c r="A72" s="14">
        <v>2015</v>
      </c>
      <c r="D72" s="6"/>
    </row>
    <row r="73" spans="1:74" s="1" customFormat="1" x14ac:dyDescent="0.25">
      <c r="A73" s="14">
        <v>2016</v>
      </c>
      <c r="D73" s="6"/>
    </row>
    <row r="74" spans="1:74" s="1" customFormat="1" x14ac:dyDescent="0.25">
      <c r="A74" s="14">
        <v>2017</v>
      </c>
      <c r="D74" s="6"/>
    </row>
    <row r="75" spans="1:74" s="1" customFormat="1" x14ac:dyDescent="0.25">
      <c r="A75" s="14">
        <v>2018</v>
      </c>
      <c r="D75" s="6"/>
    </row>
    <row r="76" spans="1:74" s="1" customFormat="1" x14ac:dyDescent="0.25">
      <c r="A76" s="14">
        <v>2019</v>
      </c>
      <c r="D76" s="6"/>
    </row>
    <row r="77" spans="1:74" s="1" customFormat="1" x14ac:dyDescent="0.25">
      <c r="A77" s="14">
        <v>2020</v>
      </c>
      <c r="D77" s="6"/>
    </row>
    <row r="78" spans="1:74"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row>
    <row r="79" spans="1:74"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row>
    <row r="80" spans="1:74"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row>
    <row r="87" spans="1:74"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row>
    <row r="88" spans="1:74"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0FDF-0775-4091-8CBF-83ED2B322FDF}">
  <dimension ref="A1:BN88"/>
  <sheetViews>
    <sheetView topLeftCell="A22" zoomScale="70" zoomScaleNormal="70" workbookViewId="0">
      <selection activeCell="B55" sqref="B55"/>
    </sheetView>
  </sheetViews>
  <sheetFormatPr defaultColWidth="10.7109375" defaultRowHeight="15" x14ac:dyDescent="0.25"/>
  <cols>
    <col min="1" max="1" width="9.28515625" style="2" customWidth="1"/>
    <col min="2" max="2" width="17.5703125" style="6" customWidth="1"/>
    <col min="3" max="16384" width="10.7109375" style="6"/>
  </cols>
  <sheetData>
    <row r="1" spans="1:2" s="17" customFormat="1" x14ac:dyDescent="0.25">
      <c r="A1" s="20" t="s">
        <v>0</v>
      </c>
      <c r="B1" s="71" t="s">
        <v>1</v>
      </c>
    </row>
    <row r="2" spans="1:2" s="1" customFormat="1" x14ac:dyDescent="0.25">
      <c r="A2" s="14">
        <v>1945</v>
      </c>
      <c r="B2" s="8"/>
    </row>
    <row r="3" spans="1:2" s="1" customFormat="1" x14ac:dyDescent="0.25">
      <c r="A3" s="14">
        <v>1946</v>
      </c>
      <c r="B3" s="8"/>
    </row>
    <row r="4" spans="1:2" s="1" customFormat="1" x14ac:dyDescent="0.25">
      <c r="A4" s="14">
        <v>1947</v>
      </c>
      <c r="B4" s="8"/>
    </row>
    <row r="5" spans="1:2" s="1" customFormat="1" x14ac:dyDescent="0.25">
      <c r="A5" s="14">
        <v>1948</v>
      </c>
      <c r="B5" s="8"/>
    </row>
    <row r="6" spans="1:2" s="1" customFormat="1" x14ac:dyDescent="0.25">
      <c r="A6" s="14">
        <v>1949</v>
      </c>
      <c r="B6" s="8"/>
    </row>
    <row r="7" spans="1:2" s="1" customFormat="1" x14ac:dyDescent="0.25">
      <c r="A7" s="14">
        <v>1950</v>
      </c>
      <c r="B7" s="8"/>
    </row>
    <row r="8" spans="1:2" s="1" customFormat="1" x14ac:dyDescent="0.25">
      <c r="A8" s="14">
        <v>1951</v>
      </c>
      <c r="B8" s="8"/>
    </row>
    <row r="9" spans="1:2" s="1" customFormat="1" x14ac:dyDescent="0.25">
      <c r="A9" s="14">
        <v>1952</v>
      </c>
      <c r="B9" s="8"/>
    </row>
    <row r="10" spans="1:2" s="1" customFormat="1" x14ac:dyDescent="0.25">
      <c r="A10" s="14">
        <v>1953</v>
      </c>
      <c r="B10" s="8"/>
    </row>
    <row r="11" spans="1:2" s="1" customFormat="1" x14ac:dyDescent="0.25">
      <c r="A11" s="14">
        <v>1954</v>
      </c>
      <c r="B11" s="8"/>
    </row>
    <row r="12" spans="1:2" s="1" customFormat="1" x14ac:dyDescent="0.25">
      <c r="A12" s="14">
        <v>1955</v>
      </c>
      <c r="B12" s="8"/>
    </row>
    <row r="13" spans="1:2" s="1" customFormat="1" x14ac:dyDescent="0.25">
      <c r="A13" s="14">
        <v>1956</v>
      </c>
      <c r="B13" s="8"/>
    </row>
    <row r="14" spans="1:2" s="1" customFormat="1" x14ac:dyDescent="0.25">
      <c r="A14" s="14">
        <v>1957</v>
      </c>
      <c r="B14" s="8"/>
    </row>
    <row r="15" spans="1:2" s="1" customFormat="1" x14ac:dyDescent="0.25">
      <c r="A15" s="14">
        <v>1958</v>
      </c>
      <c r="B15" s="8"/>
    </row>
    <row r="16" spans="1:2" s="1" customFormat="1" x14ac:dyDescent="0.25">
      <c r="A16" s="14">
        <v>1959</v>
      </c>
      <c r="B16" s="8"/>
    </row>
    <row r="17" spans="1:2" s="1" customFormat="1" x14ac:dyDescent="0.25">
      <c r="A17" s="14">
        <v>1960</v>
      </c>
      <c r="B17" s="8"/>
    </row>
    <row r="18" spans="1:2" s="1" customFormat="1" x14ac:dyDescent="0.25">
      <c r="A18" s="14">
        <v>1961</v>
      </c>
      <c r="B18" s="8"/>
    </row>
    <row r="19" spans="1:2" s="1" customFormat="1" x14ac:dyDescent="0.25">
      <c r="A19" s="14">
        <v>1962</v>
      </c>
      <c r="B19" s="8"/>
    </row>
    <row r="20" spans="1:2" s="1" customFormat="1" x14ac:dyDescent="0.25">
      <c r="A20" s="14">
        <v>1963</v>
      </c>
      <c r="B20" s="8"/>
    </row>
    <row r="21" spans="1:2" s="1" customFormat="1" x14ac:dyDescent="0.25">
      <c r="A21" s="14">
        <v>1964</v>
      </c>
      <c r="B21" s="8"/>
    </row>
    <row r="22" spans="1:2" s="1" customFormat="1" x14ac:dyDescent="0.25">
      <c r="A22" s="14">
        <v>1965</v>
      </c>
      <c r="B22" s="8"/>
    </row>
    <row r="23" spans="1:2" s="1" customFormat="1" x14ac:dyDescent="0.25">
      <c r="A23" s="14">
        <v>1966</v>
      </c>
      <c r="B23" s="8"/>
    </row>
    <row r="24" spans="1:2" s="1" customFormat="1" x14ac:dyDescent="0.25">
      <c r="A24" s="14">
        <v>1967</v>
      </c>
      <c r="B24" s="8"/>
    </row>
    <row r="25" spans="1:2" s="1" customFormat="1" x14ac:dyDescent="0.25">
      <c r="A25" s="14">
        <v>1968</v>
      </c>
      <c r="B25" s="8"/>
    </row>
    <row r="26" spans="1:2" s="1" customFormat="1" x14ac:dyDescent="0.25">
      <c r="A26" s="14">
        <v>1969</v>
      </c>
      <c r="B26" s="8"/>
    </row>
    <row r="27" spans="1:2" s="1" customFormat="1" x14ac:dyDescent="0.25">
      <c r="A27" s="14">
        <v>1970</v>
      </c>
      <c r="B27" s="8"/>
    </row>
    <row r="28" spans="1:2" s="1" customFormat="1" x14ac:dyDescent="0.25">
      <c r="A28" s="14">
        <v>1971</v>
      </c>
      <c r="B28" s="8"/>
    </row>
    <row r="29" spans="1:2" s="1" customFormat="1" x14ac:dyDescent="0.25">
      <c r="A29" s="14">
        <v>1972</v>
      </c>
      <c r="B29" s="8"/>
    </row>
    <row r="30" spans="1:2" s="1" customFormat="1" x14ac:dyDescent="0.25">
      <c r="A30" s="14">
        <v>1973</v>
      </c>
      <c r="B30" s="8"/>
    </row>
    <row r="31" spans="1:2" s="1" customFormat="1" x14ac:dyDescent="0.25">
      <c r="A31" s="14">
        <v>1974</v>
      </c>
      <c r="B31" s="8"/>
    </row>
    <row r="32" spans="1:2" s="1" customFormat="1" x14ac:dyDescent="0.25">
      <c r="A32" s="14">
        <v>1975</v>
      </c>
    </row>
    <row r="33" spans="1:2" s="1" customFormat="1" x14ac:dyDescent="0.25">
      <c r="A33" s="14">
        <v>1976</v>
      </c>
    </row>
    <row r="34" spans="1:2" s="1" customFormat="1" x14ac:dyDescent="0.25">
      <c r="A34" s="14">
        <v>1977</v>
      </c>
    </row>
    <row r="35" spans="1:2" s="1" customFormat="1" x14ac:dyDescent="0.25">
      <c r="A35" s="14">
        <v>1978</v>
      </c>
    </row>
    <row r="36" spans="1:2" s="1" customFormat="1" x14ac:dyDescent="0.25">
      <c r="A36" s="14">
        <v>1979</v>
      </c>
      <c r="B36" s="8"/>
    </row>
    <row r="37" spans="1:2" s="1" customFormat="1" x14ac:dyDescent="0.25">
      <c r="A37" s="14">
        <v>1980</v>
      </c>
      <c r="B37" s="8"/>
    </row>
    <row r="38" spans="1:2" s="1" customFormat="1" x14ac:dyDescent="0.25">
      <c r="A38" s="14">
        <v>1981</v>
      </c>
      <c r="B38" s="8"/>
    </row>
    <row r="39" spans="1:2" s="1" customFormat="1" x14ac:dyDescent="0.25">
      <c r="A39" s="14">
        <v>1982</v>
      </c>
      <c r="B39" s="8"/>
    </row>
    <row r="40" spans="1:2" s="1" customFormat="1" x14ac:dyDescent="0.25">
      <c r="A40" s="14">
        <v>1983</v>
      </c>
      <c r="B40" s="8"/>
    </row>
    <row r="41" spans="1:2" s="1" customFormat="1" x14ac:dyDescent="0.25">
      <c r="A41" s="14">
        <v>1984</v>
      </c>
      <c r="B41" s="8"/>
    </row>
    <row r="42" spans="1:2" s="1" customFormat="1" x14ac:dyDescent="0.25">
      <c r="A42" s="14">
        <v>1985</v>
      </c>
      <c r="B42" s="8"/>
    </row>
    <row r="43" spans="1:2" s="1" customFormat="1" x14ac:dyDescent="0.25">
      <c r="A43" s="14">
        <v>1986</v>
      </c>
      <c r="B43" s="8"/>
    </row>
    <row r="44" spans="1:2" s="1" customFormat="1" x14ac:dyDescent="0.25">
      <c r="A44" s="14">
        <v>1987</v>
      </c>
      <c r="B44" s="8"/>
    </row>
    <row r="45" spans="1:2" s="1" customFormat="1" x14ac:dyDescent="0.25">
      <c r="A45" s="14">
        <v>1988</v>
      </c>
      <c r="B45" s="8"/>
    </row>
    <row r="46" spans="1:2" s="1" customFormat="1" x14ac:dyDescent="0.25">
      <c r="A46" s="14">
        <v>1989</v>
      </c>
      <c r="B46" s="8"/>
    </row>
    <row r="47" spans="1:2" s="1" customFormat="1" x14ac:dyDescent="0.25">
      <c r="A47" s="14">
        <v>1990</v>
      </c>
      <c r="B47" s="8"/>
    </row>
    <row r="48" spans="1:2" s="1" customFormat="1" x14ac:dyDescent="0.25">
      <c r="A48" s="14">
        <v>1991</v>
      </c>
      <c r="B48" s="8"/>
    </row>
    <row r="49" spans="1:2" s="1" customFormat="1" x14ac:dyDescent="0.25">
      <c r="A49" s="14">
        <v>1992</v>
      </c>
      <c r="B49" s="8"/>
    </row>
    <row r="50" spans="1:2" s="1" customFormat="1" x14ac:dyDescent="0.25">
      <c r="A50" s="14">
        <v>1993</v>
      </c>
      <c r="B50" s="8"/>
    </row>
    <row r="51" spans="1:2" s="1" customFormat="1" x14ac:dyDescent="0.25">
      <c r="A51" s="14">
        <v>1994</v>
      </c>
      <c r="B51" s="8"/>
    </row>
    <row r="52" spans="1:2" s="1" customFormat="1" x14ac:dyDescent="0.25">
      <c r="A52" s="14">
        <v>1995</v>
      </c>
      <c r="B52" s="8"/>
    </row>
    <row r="53" spans="1:2" s="1" customFormat="1" x14ac:dyDescent="0.25">
      <c r="A53" s="14">
        <v>1996</v>
      </c>
      <c r="B53" s="8"/>
    </row>
    <row r="54" spans="1:2" s="1" customFormat="1" x14ac:dyDescent="0.25">
      <c r="A54" s="14">
        <v>1997</v>
      </c>
      <c r="B54" s="8"/>
    </row>
    <row r="55" spans="1:2" s="1" customFormat="1" x14ac:dyDescent="0.25">
      <c r="A55" s="14">
        <v>1998</v>
      </c>
      <c r="B55" s="7">
        <v>19400</v>
      </c>
    </row>
    <row r="56" spans="1:2" s="1" customFormat="1" x14ac:dyDescent="0.25">
      <c r="A56" s="14">
        <v>1999</v>
      </c>
      <c r="B56" s="8"/>
    </row>
    <row r="57" spans="1:2" s="1" customFormat="1" x14ac:dyDescent="0.25">
      <c r="A57" s="14">
        <v>2000</v>
      </c>
      <c r="B57" s="7">
        <v>22000</v>
      </c>
    </row>
    <row r="58" spans="1:2" s="1" customFormat="1" x14ac:dyDescent="0.25">
      <c r="A58" s="14">
        <v>2001</v>
      </c>
      <c r="B58" s="8"/>
    </row>
    <row r="59" spans="1:2" s="1" customFormat="1" x14ac:dyDescent="0.25">
      <c r="A59" s="14">
        <v>2002</v>
      </c>
      <c r="B59" s="8"/>
    </row>
    <row r="60" spans="1:2" s="1" customFormat="1" x14ac:dyDescent="0.25">
      <c r="A60" s="14">
        <v>2003</v>
      </c>
      <c r="B60" s="8"/>
    </row>
    <row r="61" spans="1:2" s="1" customFormat="1" x14ac:dyDescent="0.25">
      <c r="A61" s="14">
        <v>2004</v>
      </c>
      <c r="B61" s="8"/>
    </row>
    <row r="62" spans="1:2" s="1" customFormat="1" x14ac:dyDescent="0.25">
      <c r="A62" s="14">
        <v>2005</v>
      </c>
      <c r="B62" s="8"/>
    </row>
    <row r="63" spans="1:2" s="1" customFormat="1" x14ac:dyDescent="0.25">
      <c r="A63" s="14">
        <v>2006</v>
      </c>
      <c r="B63" s="8"/>
    </row>
    <row r="64" spans="1:2" s="1" customFormat="1" x14ac:dyDescent="0.25">
      <c r="A64" s="14">
        <v>2007</v>
      </c>
      <c r="B64" s="8">
        <f>12000*(1.2*1.2)</f>
        <v>17280</v>
      </c>
    </row>
    <row r="65" spans="1:66" s="1" customFormat="1" x14ac:dyDescent="0.25">
      <c r="A65" s="14">
        <v>2008</v>
      </c>
      <c r="B65" s="8">
        <f>12200*(1.2*1.2)</f>
        <v>17568</v>
      </c>
    </row>
    <row r="66" spans="1:66" s="1" customFormat="1" x14ac:dyDescent="0.25">
      <c r="A66" s="14">
        <v>2009</v>
      </c>
      <c r="B66" s="8">
        <f>11600*(1.2*1.2)</f>
        <v>16704</v>
      </c>
    </row>
    <row r="67" spans="1:66" s="1" customFormat="1" x14ac:dyDescent="0.25">
      <c r="A67" s="14">
        <v>2010</v>
      </c>
      <c r="B67" s="8">
        <f>11400*(1.2*1.2)</f>
        <v>16416</v>
      </c>
    </row>
    <row r="68" spans="1:66" s="1" customFormat="1" x14ac:dyDescent="0.25">
      <c r="A68" s="14">
        <v>2011</v>
      </c>
      <c r="B68" s="8">
        <f>11400*(1.2*1.2)</f>
        <v>16416</v>
      </c>
    </row>
    <row r="69" spans="1:66" s="1" customFormat="1" x14ac:dyDescent="0.25">
      <c r="A69" s="14">
        <v>2012</v>
      </c>
      <c r="B69" s="8">
        <f>11200*(1.2*1.2)</f>
        <v>16128</v>
      </c>
    </row>
    <row r="70" spans="1:66" s="1" customFormat="1" x14ac:dyDescent="0.25">
      <c r="A70" s="14">
        <v>2013</v>
      </c>
      <c r="B70" s="8"/>
    </row>
    <row r="71" spans="1:66" s="1" customFormat="1" x14ac:dyDescent="0.25">
      <c r="A71" s="14">
        <v>2014</v>
      </c>
      <c r="B71" s="8"/>
    </row>
    <row r="72" spans="1:66" s="1" customFormat="1" x14ac:dyDescent="0.25">
      <c r="A72" s="14">
        <v>2015</v>
      </c>
      <c r="B72" s="8"/>
    </row>
    <row r="73" spans="1:66" s="1" customFormat="1" x14ac:dyDescent="0.25">
      <c r="A73" s="14">
        <v>2016</v>
      </c>
      <c r="B73" s="8"/>
    </row>
    <row r="74" spans="1:66" s="1" customFormat="1" x14ac:dyDescent="0.25">
      <c r="A74" s="14">
        <v>2017</v>
      </c>
      <c r="B74" s="8"/>
    </row>
    <row r="75" spans="1:66" s="1" customFormat="1" x14ac:dyDescent="0.25">
      <c r="A75" s="14">
        <v>2018</v>
      </c>
      <c r="B75" s="8"/>
    </row>
    <row r="76" spans="1:66" s="1" customFormat="1" x14ac:dyDescent="0.25">
      <c r="A76" s="14">
        <v>2019</v>
      </c>
      <c r="B76" s="8"/>
    </row>
    <row r="77" spans="1:66" s="1" customFormat="1" x14ac:dyDescent="0.25">
      <c r="A77" s="14">
        <v>2020</v>
      </c>
      <c r="B77" s="8"/>
    </row>
    <row r="78" spans="1:66"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Z181"/>
  <sheetViews>
    <sheetView tabSelected="1" zoomScale="60" zoomScaleNormal="55" workbookViewId="0">
      <pane xSplit="1" ySplit="1" topLeftCell="J32" activePane="bottomRight" state="frozen"/>
      <selection pane="topRight" activeCell="B1" sqref="B1"/>
      <selection pane="bottomLeft" activeCell="A2" sqref="A2"/>
      <selection pane="bottomRight" activeCell="O85" sqref="O85"/>
    </sheetView>
  </sheetViews>
  <sheetFormatPr defaultColWidth="10.7109375" defaultRowHeight="15" x14ac:dyDescent="0.25"/>
  <cols>
    <col min="1" max="1" width="12.28515625" style="13" customWidth="1"/>
    <col min="2" max="4" width="26.42578125" style="9" customWidth="1"/>
    <col min="5" max="22" width="26.42578125" style="4" customWidth="1"/>
    <col min="23" max="16384" width="10.7109375" style="6"/>
  </cols>
  <sheetData>
    <row r="1" spans="1:22" s="18" customFormat="1" ht="30" x14ac:dyDescent="0.25">
      <c r="A1" s="20" t="s">
        <v>0</v>
      </c>
      <c r="B1" s="73" t="s">
        <v>46</v>
      </c>
      <c r="C1" s="73" t="s">
        <v>47</v>
      </c>
      <c r="D1" s="73" t="s">
        <v>31</v>
      </c>
      <c r="E1" s="5" t="s">
        <v>7</v>
      </c>
      <c r="F1" s="5" t="s">
        <v>42</v>
      </c>
      <c r="G1" s="5" t="s">
        <v>43</v>
      </c>
      <c r="H1" s="5" t="s">
        <v>51</v>
      </c>
      <c r="I1" s="5" t="s">
        <v>8</v>
      </c>
      <c r="J1" s="5" t="s">
        <v>33</v>
      </c>
      <c r="K1" s="5" t="s">
        <v>32</v>
      </c>
      <c r="L1" s="5" t="s">
        <v>1</v>
      </c>
      <c r="M1" s="5" t="s">
        <v>29</v>
      </c>
      <c r="N1" s="5" t="s">
        <v>6</v>
      </c>
      <c r="O1" s="5" t="s">
        <v>10</v>
      </c>
      <c r="P1" s="5" t="s">
        <v>11</v>
      </c>
      <c r="Q1" s="5" t="s">
        <v>50</v>
      </c>
      <c r="R1" s="5" t="s">
        <v>30</v>
      </c>
      <c r="S1" s="5" t="s">
        <v>12</v>
      </c>
      <c r="T1" s="5" t="s">
        <v>13</v>
      </c>
      <c r="U1" s="5" t="s">
        <v>14</v>
      </c>
      <c r="V1" s="5" t="s">
        <v>15</v>
      </c>
    </row>
    <row r="2" spans="1:22" x14ac:dyDescent="0.25">
      <c r="A2" s="14">
        <v>1945</v>
      </c>
      <c r="B2" s="8">
        <v>108.3</v>
      </c>
      <c r="C2" s="8"/>
      <c r="D2" s="8"/>
      <c r="E2" s="9"/>
      <c r="F2" s="9"/>
      <c r="G2" s="9"/>
      <c r="H2" s="9"/>
      <c r="I2" s="9">
        <v>13600</v>
      </c>
      <c r="J2" s="9"/>
      <c r="K2" s="9"/>
      <c r="L2" s="9"/>
      <c r="M2" s="9"/>
      <c r="N2" s="9"/>
      <c r="O2" s="9"/>
      <c r="P2" s="9"/>
      <c r="Q2" s="9"/>
      <c r="R2" s="9"/>
      <c r="S2" s="9"/>
      <c r="T2" s="9"/>
      <c r="U2" s="9"/>
      <c r="V2" s="9"/>
    </row>
    <row r="3" spans="1:22" x14ac:dyDescent="0.25">
      <c r="A3" s="14">
        <v>1946</v>
      </c>
      <c r="B3" s="8">
        <v>173.7</v>
      </c>
      <c r="C3" s="8"/>
      <c r="D3" s="8"/>
      <c r="E3" s="9">
        <v>1154</v>
      </c>
      <c r="F3" s="9"/>
      <c r="G3" s="9"/>
      <c r="H3" s="9"/>
      <c r="I3" s="9">
        <v>13600</v>
      </c>
      <c r="J3" s="9"/>
      <c r="K3" s="9"/>
      <c r="L3" s="9"/>
      <c r="M3" s="9"/>
      <c r="N3" s="9"/>
      <c r="O3" s="9"/>
      <c r="P3" s="9"/>
      <c r="Q3" s="9"/>
      <c r="R3" s="9"/>
      <c r="S3" s="9"/>
      <c r="T3" s="9"/>
      <c r="U3" s="9"/>
      <c r="V3" s="9"/>
    </row>
    <row r="4" spans="1:22" x14ac:dyDescent="0.25">
      <c r="A4" s="14">
        <v>1947</v>
      </c>
      <c r="B4" s="8">
        <v>198.3</v>
      </c>
      <c r="C4" s="8"/>
      <c r="D4" s="10">
        <v>0.9</v>
      </c>
      <c r="E4" s="6"/>
      <c r="F4" s="6"/>
      <c r="G4" s="6"/>
      <c r="H4" s="6"/>
      <c r="I4" s="9"/>
      <c r="J4" s="9"/>
      <c r="K4" s="9"/>
      <c r="L4" s="9"/>
      <c r="M4" s="9"/>
      <c r="N4" s="6">
        <v>0</v>
      </c>
      <c r="O4" s="9"/>
      <c r="P4" s="9"/>
      <c r="Q4" s="9"/>
      <c r="R4" s="9"/>
      <c r="S4" s="9"/>
      <c r="T4" s="9"/>
      <c r="U4" s="9"/>
      <c r="V4" s="9"/>
    </row>
    <row r="5" spans="1:22" x14ac:dyDescent="0.25">
      <c r="A5" s="14">
        <v>1948</v>
      </c>
      <c r="B5" s="8">
        <v>220.2</v>
      </c>
      <c r="C5" s="8"/>
      <c r="D5" s="8"/>
      <c r="E5" s="6"/>
      <c r="F5" s="6"/>
      <c r="G5" s="6"/>
      <c r="H5" s="6"/>
      <c r="I5" s="9"/>
      <c r="J5" s="9"/>
      <c r="K5" s="9"/>
      <c r="L5" s="9"/>
      <c r="M5" s="9"/>
      <c r="N5" s="9"/>
      <c r="O5" s="9"/>
      <c r="P5" s="9"/>
      <c r="Q5" s="9"/>
      <c r="R5" s="9"/>
      <c r="S5" s="9"/>
      <c r="T5" s="9"/>
      <c r="U5" s="9"/>
      <c r="V5" s="9"/>
    </row>
    <row r="6" spans="1:22" x14ac:dyDescent="0.25">
      <c r="A6" s="14">
        <v>1949</v>
      </c>
      <c r="B6" s="8">
        <v>191.3</v>
      </c>
      <c r="C6" s="8"/>
      <c r="D6" s="8"/>
      <c r="E6" s="6"/>
      <c r="F6" s="6"/>
      <c r="G6" s="6"/>
      <c r="H6" s="6"/>
      <c r="I6" s="9"/>
      <c r="J6" s="9"/>
      <c r="K6" s="9"/>
      <c r="L6" s="9"/>
      <c r="M6" s="9"/>
      <c r="N6" s="9"/>
      <c r="O6" s="9"/>
      <c r="P6" s="9"/>
      <c r="Q6" s="9"/>
      <c r="R6" s="9"/>
      <c r="S6" s="9"/>
      <c r="T6" s="9"/>
      <c r="U6" s="9"/>
      <c r="V6" s="9"/>
    </row>
    <row r="7" spans="1:22" x14ac:dyDescent="0.25">
      <c r="A7" s="14">
        <v>1950</v>
      </c>
      <c r="B7" s="8">
        <v>190.4</v>
      </c>
      <c r="C7" s="8"/>
      <c r="D7" s="8"/>
      <c r="E7" s="9">
        <v>2117</v>
      </c>
      <c r="F7" s="9"/>
      <c r="G7" s="9"/>
      <c r="H7" s="9">
        <v>48.8</v>
      </c>
      <c r="I7" s="9">
        <v>13800</v>
      </c>
      <c r="J7" s="9">
        <v>77.099999999999994</v>
      </c>
      <c r="K7" s="9">
        <v>64.5</v>
      </c>
      <c r="L7" s="9">
        <f>SUM(J7:K7)+H7</f>
        <v>190.39999999999998</v>
      </c>
      <c r="M7" s="9"/>
      <c r="O7" s="9"/>
      <c r="P7" s="9"/>
      <c r="Q7" s="9"/>
      <c r="R7" s="9"/>
      <c r="S7" s="9"/>
      <c r="T7" s="9"/>
      <c r="U7" s="9"/>
      <c r="V7" s="9"/>
    </row>
    <row r="8" spans="1:22" x14ac:dyDescent="0.25">
      <c r="A8" s="14">
        <v>1951</v>
      </c>
      <c r="B8" s="8">
        <v>222.7</v>
      </c>
      <c r="C8" s="8"/>
      <c r="D8" s="8"/>
      <c r="E8" s="8"/>
      <c r="F8" s="8"/>
      <c r="G8" s="8"/>
      <c r="H8" s="9">
        <v>53.1</v>
      </c>
      <c r="I8" s="9"/>
      <c r="J8" s="9">
        <v>91.5</v>
      </c>
      <c r="K8" s="9">
        <v>78.099999999999994</v>
      </c>
      <c r="L8" s="9">
        <f t="shared" ref="L8:L39" si="0">SUM(J8:K8)+H8</f>
        <v>222.7</v>
      </c>
      <c r="M8" s="9"/>
      <c r="N8" s="9"/>
      <c r="O8" s="9"/>
      <c r="P8" s="9"/>
      <c r="Q8" s="9"/>
      <c r="R8" s="9"/>
      <c r="S8" s="9"/>
      <c r="T8" s="9"/>
      <c r="U8" s="9"/>
      <c r="V8" s="9"/>
    </row>
    <row r="9" spans="1:22" x14ac:dyDescent="0.25">
      <c r="A9" s="14">
        <v>1952</v>
      </c>
      <c r="B9" s="8">
        <v>191.6</v>
      </c>
      <c r="C9" s="8"/>
      <c r="D9" s="29">
        <v>0.8</v>
      </c>
      <c r="E9" s="8">
        <v>3408</v>
      </c>
      <c r="F9" s="8">
        <v>852</v>
      </c>
      <c r="G9" s="8">
        <f>F9-800</f>
        <v>52</v>
      </c>
      <c r="H9" s="31">
        <v>58.6</v>
      </c>
      <c r="I9" s="30"/>
      <c r="J9" s="31">
        <v>65.2</v>
      </c>
      <c r="K9" s="31">
        <v>67.8</v>
      </c>
      <c r="L9" s="9">
        <f t="shared" si="0"/>
        <v>191.6</v>
      </c>
      <c r="M9" s="9"/>
      <c r="N9" s="9"/>
      <c r="O9" s="9"/>
      <c r="P9" s="9"/>
      <c r="Q9" s="9"/>
      <c r="R9" s="9"/>
      <c r="S9" s="9"/>
      <c r="T9" s="9"/>
      <c r="U9" s="9"/>
      <c r="V9" s="9"/>
    </row>
    <row r="10" spans="1:22" x14ac:dyDescent="0.25">
      <c r="A10" s="14">
        <v>1953</v>
      </c>
      <c r="B10" s="8">
        <v>212.6</v>
      </c>
      <c r="C10" s="8"/>
      <c r="D10" s="8"/>
      <c r="E10" s="8">
        <f>2800</f>
        <v>2800</v>
      </c>
      <c r="F10" s="30">
        <v>873</v>
      </c>
      <c r="G10" s="8">
        <f>F10-820</f>
        <v>53</v>
      </c>
      <c r="H10" s="31">
        <v>62.1</v>
      </c>
      <c r="I10" s="30"/>
      <c r="J10" s="31">
        <v>79.2</v>
      </c>
      <c r="K10" s="31">
        <v>71.3</v>
      </c>
      <c r="L10" s="9">
        <f t="shared" si="0"/>
        <v>212.6</v>
      </c>
      <c r="M10" s="9"/>
      <c r="N10" s="9"/>
      <c r="O10" s="9"/>
      <c r="P10" s="9"/>
      <c r="Q10" s="9"/>
      <c r="R10" s="9"/>
      <c r="S10" s="9"/>
      <c r="T10" s="9"/>
      <c r="U10" s="9"/>
      <c r="V10" s="9"/>
    </row>
    <row r="11" spans="1:22" x14ac:dyDescent="0.25">
      <c r="A11" s="14">
        <v>1954</v>
      </c>
      <c r="B11" s="8">
        <v>214.6</v>
      </c>
      <c r="C11" s="8"/>
      <c r="D11" s="8"/>
      <c r="E11" s="9">
        <f>3212.347</f>
        <v>3212.3470000000002</v>
      </c>
      <c r="F11" s="9">
        <v>1121.566</v>
      </c>
      <c r="G11" s="8">
        <f>F11-1000</f>
        <v>121.56600000000003</v>
      </c>
      <c r="H11" s="9">
        <v>62.7</v>
      </c>
      <c r="I11" s="9"/>
      <c r="J11" s="9">
        <v>80.3</v>
      </c>
      <c r="K11" s="9">
        <v>71.599999999999994</v>
      </c>
      <c r="L11" s="9">
        <f t="shared" si="0"/>
        <v>214.59999999999997</v>
      </c>
      <c r="M11" s="9"/>
      <c r="N11" s="9"/>
      <c r="O11" s="9"/>
      <c r="P11" s="9"/>
      <c r="Q11" s="9"/>
      <c r="R11" s="9"/>
      <c r="S11" s="9"/>
      <c r="T11" s="9"/>
      <c r="U11" s="9"/>
      <c r="V11" s="9"/>
    </row>
    <row r="12" spans="1:22" x14ac:dyDescent="0.25">
      <c r="A12" s="14">
        <v>1955</v>
      </c>
      <c r="B12" s="8">
        <v>260.60000000000002</v>
      </c>
      <c r="C12" s="8"/>
      <c r="D12" s="8"/>
      <c r="E12" s="8">
        <f>3653.924</f>
        <v>3653.924</v>
      </c>
      <c r="F12" s="8">
        <v>1373.3109999999999</v>
      </c>
      <c r="G12" s="8"/>
      <c r="H12" s="8">
        <v>61.3</v>
      </c>
      <c r="I12" s="9">
        <v>21500</v>
      </c>
      <c r="J12" s="8">
        <v>111.3</v>
      </c>
      <c r="K12" s="8">
        <v>88</v>
      </c>
      <c r="L12" s="9">
        <f t="shared" si="0"/>
        <v>260.60000000000002</v>
      </c>
      <c r="M12" s="9"/>
      <c r="N12" s="6"/>
      <c r="O12" s="6"/>
      <c r="P12" s="10"/>
      <c r="Q12" s="10"/>
      <c r="R12" s="9"/>
      <c r="S12" s="9"/>
      <c r="T12" s="9"/>
      <c r="U12" s="9"/>
      <c r="V12" s="9"/>
    </row>
    <row r="13" spans="1:22" x14ac:dyDescent="0.25">
      <c r="A13" s="14">
        <v>1956</v>
      </c>
      <c r="B13" s="8">
        <v>292.89999999999998</v>
      </c>
      <c r="C13" s="8"/>
      <c r="D13" s="8"/>
      <c r="E13" s="8">
        <v>4324.8860000000004</v>
      </c>
      <c r="F13" s="8">
        <v>1599.3009999999999</v>
      </c>
      <c r="G13" s="8">
        <f>F13-1500</f>
        <v>99.300999999999931</v>
      </c>
      <c r="H13" s="8">
        <v>90.6</v>
      </c>
      <c r="I13" s="9"/>
      <c r="J13" s="8">
        <v>116.4</v>
      </c>
      <c r="K13" s="8">
        <v>85.9</v>
      </c>
      <c r="L13" s="9">
        <f t="shared" si="0"/>
        <v>292.89999999999998</v>
      </c>
      <c r="M13" s="9"/>
      <c r="N13" s="6"/>
      <c r="O13" s="6"/>
      <c r="P13" s="9"/>
      <c r="Q13" s="9"/>
      <c r="R13" s="9"/>
      <c r="S13" s="9"/>
      <c r="T13" s="9"/>
      <c r="U13" s="9"/>
      <c r="V13" s="9"/>
    </row>
    <row r="14" spans="1:22" x14ac:dyDescent="0.25">
      <c r="A14" s="14">
        <v>1957</v>
      </c>
      <c r="B14" s="8">
        <v>329.6</v>
      </c>
      <c r="C14" s="8"/>
      <c r="D14" s="8"/>
      <c r="E14" s="8">
        <v>5107</v>
      </c>
      <c r="F14" s="8">
        <v>1853</v>
      </c>
      <c r="G14" s="8">
        <f t="shared" ref="G14:G15" si="1">F14-1700</f>
        <v>153</v>
      </c>
      <c r="H14" s="8">
        <v>116.6</v>
      </c>
      <c r="I14" s="9"/>
      <c r="J14" s="8">
        <v>116.4</v>
      </c>
      <c r="K14" s="8">
        <v>96.6</v>
      </c>
      <c r="L14" s="9">
        <f t="shared" si="0"/>
        <v>329.6</v>
      </c>
      <c r="M14" s="9"/>
      <c r="N14" s="6"/>
      <c r="O14" s="6"/>
      <c r="P14" s="9"/>
      <c r="Q14" s="9"/>
      <c r="R14" s="9"/>
      <c r="S14" s="9"/>
      <c r="T14" s="9"/>
      <c r="U14" s="9"/>
      <c r="V14" s="9"/>
    </row>
    <row r="15" spans="1:22" x14ac:dyDescent="0.25">
      <c r="A15" s="14">
        <v>1958</v>
      </c>
      <c r="B15" s="8">
        <v>361.2</v>
      </c>
      <c r="C15" s="8"/>
      <c r="D15" s="8"/>
      <c r="E15" s="8">
        <v>5816</v>
      </c>
      <c r="F15" s="8">
        <v>2207</v>
      </c>
      <c r="G15" s="8">
        <f t="shared" si="1"/>
        <v>507</v>
      </c>
      <c r="H15" s="8">
        <v>129.19999999999999</v>
      </c>
      <c r="I15" s="9"/>
      <c r="J15" s="8">
        <v>135</v>
      </c>
      <c r="K15" s="8">
        <v>97</v>
      </c>
      <c r="L15" s="9">
        <f t="shared" si="0"/>
        <v>361.2</v>
      </c>
      <c r="M15" s="9"/>
      <c r="N15" s="9"/>
      <c r="O15" s="9"/>
      <c r="P15" s="9"/>
      <c r="Q15" s="9"/>
      <c r="R15" s="9"/>
      <c r="S15" s="9"/>
      <c r="T15" s="9"/>
      <c r="U15" s="9"/>
      <c r="V15" s="9"/>
    </row>
    <row r="16" spans="1:22" x14ac:dyDescent="0.25">
      <c r="A16" s="14">
        <v>1959</v>
      </c>
      <c r="B16" s="8">
        <v>415.5</v>
      </c>
      <c r="C16" s="8"/>
      <c r="D16" s="8"/>
      <c r="E16" s="8">
        <v>6700</v>
      </c>
      <c r="F16" s="8">
        <v>2500</v>
      </c>
      <c r="G16" s="8">
        <f>F16-2200</f>
        <v>300</v>
      </c>
      <c r="H16" s="8">
        <v>182.6</v>
      </c>
      <c r="I16" s="9"/>
      <c r="J16" s="8">
        <v>135.19999999999999</v>
      </c>
      <c r="K16" s="8">
        <v>97.7</v>
      </c>
      <c r="L16" s="9">
        <f t="shared" si="0"/>
        <v>415.5</v>
      </c>
      <c r="M16" s="9"/>
      <c r="N16" s="9"/>
      <c r="O16" s="9"/>
      <c r="P16" s="9"/>
      <c r="Q16" s="9"/>
      <c r="R16" s="9"/>
      <c r="S16" s="9"/>
      <c r="T16" s="9"/>
      <c r="U16" s="9"/>
      <c r="V16" s="9"/>
    </row>
    <row r="17" spans="1:22" x14ac:dyDescent="0.25">
      <c r="A17" s="14">
        <v>1960</v>
      </c>
      <c r="B17" s="8">
        <v>416.6</v>
      </c>
      <c r="C17" s="8"/>
      <c r="D17" s="8"/>
      <c r="E17" s="9">
        <v>7034</v>
      </c>
      <c r="F17" s="8">
        <v>2600</v>
      </c>
      <c r="G17" s="8">
        <f>F17-2300</f>
        <v>300</v>
      </c>
      <c r="H17" s="8">
        <v>175.8</v>
      </c>
      <c r="I17" s="9">
        <v>27800</v>
      </c>
      <c r="J17" s="8">
        <v>150.80000000000001</v>
      </c>
      <c r="K17" s="8">
        <v>90</v>
      </c>
      <c r="L17" s="9">
        <f t="shared" si="0"/>
        <v>416.6</v>
      </c>
      <c r="M17" s="9"/>
      <c r="N17" s="9"/>
      <c r="O17" s="9"/>
      <c r="P17" s="9"/>
      <c r="Q17" s="9"/>
      <c r="R17" s="9"/>
      <c r="S17" s="9"/>
      <c r="T17" s="9"/>
      <c r="U17" s="9"/>
      <c r="V17" s="9"/>
    </row>
    <row r="18" spans="1:22" x14ac:dyDescent="0.25">
      <c r="A18" s="14">
        <v>1961</v>
      </c>
      <c r="B18" s="8">
        <v>443.8</v>
      </c>
      <c r="C18" s="8"/>
      <c r="D18" s="8"/>
      <c r="E18" s="8">
        <v>7034</v>
      </c>
      <c r="F18" s="8">
        <v>2600</v>
      </c>
      <c r="G18" s="8">
        <f>F18-2400</f>
        <v>200</v>
      </c>
      <c r="H18" s="8">
        <v>166.2</v>
      </c>
      <c r="I18" s="9"/>
      <c r="J18" s="8">
        <v>133.9</v>
      </c>
      <c r="K18" s="8">
        <v>102.7</v>
      </c>
      <c r="L18" s="9">
        <f t="shared" si="0"/>
        <v>402.8</v>
      </c>
      <c r="M18" s="9"/>
      <c r="N18" s="9"/>
      <c r="O18" s="9"/>
      <c r="P18" s="9"/>
      <c r="Q18" s="9"/>
      <c r="R18" s="9"/>
      <c r="S18" s="9"/>
      <c r="T18" s="9"/>
      <c r="U18" s="9"/>
      <c r="V18" s="9"/>
    </row>
    <row r="19" spans="1:22" x14ac:dyDescent="0.25">
      <c r="A19" s="14">
        <v>1962</v>
      </c>
      <c r="B19" s="8">
        <v>517.1</v>
      </c>
      <c r="C19" s="8"/>
      <c r="D19" s="29">
        <v>0.68</v>
      </c>
      <c r="E19" s="8">
        <v>8500</v>
      </c>
      <c r="F19" s="8">
        <v>3300</v>
      </c>
      <c r="G19" s="8">
        <f>F19-2900</f>
        <v>400</v>
      </c>
      <c r="H19" s="8">
        <v>212.2</v>
      </c>
      <c r="I19" s="9"/>
      <c r="J19" s="8">
        <v>153.69999999999999</v>
      </c>
      <c r="K19" s="8">
        <v>108.4</v>
      </c>
      <c r="L19" s="9">
        <f t="shared" si="0"/>
        <v>474.3</v>
      </c>
      <c r="M19" s="9"/>
      <c r="N19" s="9"/>
      <c r="O19" s="9"/>
      <c r="P19" s="9"/>
      <c r="Q19" s="9"/>
      <c r="R19" s="9"/>
      <c r="S19" s="9"/>
      <c r="T19" s="9"/>
      <c r="U19" s="9"/>
      <c r="V19" s="9"/>
    </row>
    <row r="20" spans="1:22" x14ac:dyDescent="0.25">
      <c r="A20" s="14">
        <v>1963</v>
      </c>
      <c r="B20" s="8">
        <v>538.29999999999995</v>
      </c>
      <c r="C20" s="8"/>
      <c r="D20" s="8"/>
      <c r="E20" s="8">
        <v>9400</v>
      </c>
      <c r="F20" s="8">
        <v>3700</v>
      </c>
      <c r="G20" s="8">
        <f>F20-3100</f>
        <v>600</v>
      </c>
      <c r="H20" s="8">
        <v>229.2</v>
      </c>
      <c r="I20" s="9"/>
      <c r="J20" s="8">
        <v>162.19999999999999</v>
      </c>
      <c r="K20" s="8">
        <v>99.8</v>
      </c>
      <c r="L20" s="9">
        <f t="shared" si="0"/>
        <v>491.2</v>
      </c>
      <c r="M20" s="9"/>
      <c r="N20" s="9"/>
      <c r="O20" s="9"/>
      <c r="P20" s="9"/>
      <c r="Q20" s="9"/>
      <c r="R20" s="9"/>
      <c r="S20" s="9"/>
      <c r="T20" s="9"/>
      <c r="U20" s="9"/>
      <c r="V20" s="9"/>
    </row>
    <row r="21" spans="1:22" x14ac:dyDescent="0.25">
      <c r="A21" s="14">
        <v>1964</v>
      </c>
      <c r="B21" s="8">
        <v>596.6</v>
      </c>
      <c r="C21" s="8"/>
      <c r="D21" s="8"/>
      <c r="E21" s="8">
        <v>8900</v>
      </c>
      <c r="F21" s="8">
        <v>3500</v>
      </c>
      <c r="G21" s="8">
        <f>F21-2700</f>
        <v>800</v>
      </c>
      <c r="H21" s="8">
        <v>227.7</v>
      </c>
      <c r="I21" s="9"/>
      <c r="J21" s="8">
        <v>189.8</v>
      </c>
      <c r="K21" s="8">
        <v>125.6</v>
      </c>
      <c r="L21" s="9">
        <f t="shared" si="0"/>
        <v>543.09999999999991</v>
      </c>
      <c r="M21" s="9"/>
      <c r="N21" s="9"/>
      <c r="O21" s="9"/>
      <c r="P21" s="9"/>
      <c r="Q21" s="9"/>
      <c r="R21" s="9"/>
      <c r="S21" s="9"/>
      <c r="T21" s="9"/>
      <c r="U21" s="9"/>
      <c r="V21" s="9"/>
    </row>
    <row r="22" spans="1:22" x14ac:dyDescent="0.25">
      <c r="A22" s="14">
        <v>1965</v>
      </c>
      <c r="B22" s="8">
        <v>621.70000000000005</v>
      </c>
      <c r="C22" s="8"/>
      <c r="D22" s="8"/>
      <c r="E22" s="9">
        <v>9350</v>
      </c>
      <c r="F22" s="8">
        <v>3600</v>
      </c>
      <c r="G22" s="8">
        <f>F22-2800</f>
        <v>800</v>
      </c>
      <c r="H22" s="8">
        <v>241.5</v>
      </c>
      <c r="I22" s="9">
        <v>34800</v>
      </c>
      <c r="J22" s="8">
        <v>204</v>
      </c>
      <c r="K22" s="8">
        <v>118.3</v>
      </c>
      <c r="L22" s="9">
        <f t="shared" si="0"/>
        <v>563.79999999999995</v>
      </c>
      <c r="M22" s="9"/>
      <c r="N22" s="9"/>
      <c r="O22" s="9"/>
      <c r="P22" s="9"/>
      <c r="Q22" s="9"/>
      <c r="R22" s="9"/>
      <c r="S22" s="9"/>
      <c r="T22" s="9"/>
      <c r="U22" s="9"/>
      <c r="V22" s="9"/>
    </row>
    <row r="23" spans="1:22" x14ac:dyDescent="0.25">
      <c r="A23" s="14">
        <v>1966</v>
      </c>
      <c r="B23" s="8">
        <v>636.29999999999995</v>
      </c>
      <c r="C23" s="8"/>
      <c r="D23" s="8"/>
      <c r="E23" s="8">
        <v>11800</v>
      </c>
      <c r="F23" s="8">
        <v>4600</v>
      </c>
      <c r="G23" s="8">
        <f>F23-3600</f>
        <v>1000</v>
      </c>
      <c r="H23" s="8">
        <v>253.7</v>
      </c>
      <c r="I23" s="9"/>
      <c r="J23" s="8">
        <v>195.4</v>
      </c>
      <c r="K23" s="8">
        <v>126.1</v>
      </c>
      <c r="L23" s="9">
        <f t="shared" si="0"/>
        <v>575.20000000000005</v>
      </c>
      <c r="M23" s="9"/>
      <c r="N23" s="9"/>
      <c r="O23" s="9"/>
      <c r="P23" s="9"/>
      <c r="Q23" s="9"/>
      <c r="R23" s="9"/>
      <c r="S23" s="9"/>
      <c r="T23" s="9"/>
      <c r="U23" s="9"/>
      <c r="V23" s="9"/>
    </row>
    <row r="24" spans="1:22" x14ac:dyDescent="0.25">
      <c r="A24" s="14">
        <v>1967</v>
      </c>
      <c r="B24" s="8">
        <v>587.9</v>
      </c>
      <c r="C24" s="8"/>
      <c r="D24" s="8"/>
      <c r="E24" s="9"/>
      <c r="F24" s="9"/>
      <c r="G24" s="9"/>
      <c r="H24" s="8">
        <v>219.9</v>
      </c>
      <c r="I24" s="9"/>
      <c r="J24" s="8">
        <v>181.6</v>
      </c>
      <c r="K24" s="8">
        <v>121.5</v>
      </c>
      <c r="L24" s="9">
        <f t="shared" si="0"/>
        <v>523</v>
      </c>
      <c r="M24" s="9"/>
      <c r="N24" s="9"/>
      <c r="O24" s="9"/>
      <c r="P24" s="9"/>
      <c r="Q24" s="9"/>
      <c r="R24" s="9"/>
      <c r="S24" s="9"/>
      <c r="T24" s="9"/>
      <c r="U24" s="9"/>
      <c r="V24" s="9"/>
    </row>
    <row r="25" spans="1:22" x14ac:dyDescent="0.25">
      <c r="A25" s="14">
        <v>1968</v>
      </c>
      <c r="B25" s="8">
        <v>613.6</v>
      </c>
      <c r="C25" s="8"/>
      <c r="D25" s="29">
        <v>0.5</v>
      </c>
      <c r="E25" s="9"/>
      <c r="F25" s="9"/>
      <c r="G25" s="9">
        <f>L25+H25+J25</f>
        <v>990</v>
      </c>
      <c r="H25" s="8">
        <v>244.3</v>
      </c>
      <c r="I25" s="9"/>
      <c r="J25" s="8">
        <v>197.8</v>
      </c>
      <c r="K25" s="8">
        <v>105.8</v>
      </c>
      <c r="L25" s="9">
        <f t="shared" si="0"/>
        <v>547.90000000000009</v>
      </c>
      <c r="M25" s="9"/>
      <c r="N25" s="9"/>
      <c r="O25" s="9"/>
      <c r="P25" s="9"/>
      <c r="Q25" s="9"/>
      <c r="R25" s="9"/>
      <c r="S25" s="9"/>
      <c r="T25" s="9"/>
      <c r="U25" s="9"/>
      <c r="V25" s="9"/>
    </row>
    <row r="26" spans="1:22" x14ac:dyDescent="0.25">
      <c r="A26" s="14">
        <v>1969</v>
      </c>
      <c r="B26" s="8">
        <v>660.4</v>
      </c>
      <c r="C26" s="8"/>
      <c r="D26" s="8"/>
      <c r="E26" s="9"/>
      <c r="F26" s="9"/>
      <c r="G26" s="9">
        <f t="shared" ref="G26:G34" si="2">L26+H26+J26</f>
        <v>1077.5</v>
      </c>
      <c r="H26" s="8">
        <v>278.3</v>
      </c>
      <c r="I26" s="9"/>
      <c r="J26" s="8">
        <v>212.8</v>
      </c>
      <c r="K26" s="8">
        <v>95.3</v>
      </c>
      <c r="L26" s="9">
        <f t="shared" si="0"/>
        <v>586.40000000000009</v>
      </c>
      <c r="M26" s="9"/>
      <c r="N26" s="9"/>
      <c r="O26" s="9"/>
      <c r="P26" s="9"/>
      <c r="Q26" s="9"/>
      <c r="R26" s="9"/>
      <c r="S26" s="9"/>
      <c r="T26" s="9"/>
      <c r="U26" s="9"/>
      <c r="V26" s="9"/>
    </row>
    <row r="27" spans="1:22" x14ac:dyDescent="0.25">
      <c r="A27" s="14">
        <v>1970</v>
      </c>
      <c r="B27" s="8">
        <v>621.4</v>
      </c>
      <c r="C27" s="8"/>
      <c r="D27" s="8"/>
      <c r="E27" s="9">
        <v>14654</v>
      </c>
      <c r="F27" s="9"/>
      <c r="G27" s="9">
        <f t="shared" si="2"/>
        <v>971.7</v>
      </c>
      <c r="H27" s="8">
        <v>219.8</v>
      </c>
      <c r="I27" s="9">
        <v>40200</v>
      </c>
      <c r="J27" s="8">
        <v>215.5</v>
      </c>
      <c r="K27" s="8">
        <v>101.1</v>
      </c>
      <c r="L27" s="9">
        <f t="shared" si="0"/>
        <v>536.40000000000009</v>
      </c>
      <c r="M27" s="9"/>
      <c r="N27" s="9"/>
      <c r="O27" s="9"/>
      <c r="P27" s="9"/>
      <c r="Q27" s="9"/>
      <c r="R27" s="9"/>
      <c r="S27" s="9"/>
      <c r="T27" s="9"/>
      <c r="U27" s="9"/>
      <c r="V27" s="9"/>
    </row>
    <row r="28" spans="1:22" x14ac:dyDescent="0.25">
      <c r="A28" s="14">
        <v>1971</v>
      </c>
      <c r="B28" s="8">
        <v>619.6</v>
      </c>
      <c r="C28" s="8"/>
      <c r="D28" s="8"/>
      <c r="E28" s="9"/>
      <c r="F28" s="9"/>
      <c r="G28" s="9">
        <f t="shared" si="2"/>
        <v>966.6</v>
      </c>
      <c r="H28" s="8">
        <v>207.1</v>
      </c>
      <c r="I28" s="9"/>
      <c r="J28" s="8">
        <v>224.1</v>
      </c>
      <c r="K28" s="8">
        <v>104.2</v>
      </c>
      <c r="L28" s="9">
        <f t="shared" si="0"/>
        <v>535.4</v>
      </c>
      <c r="M28" s="9"/>
      <c r="N28" s="9"/>
      <c r="O28" s="9"/>
      <c r="P28" s="9"/>
      <c r="Q28" s="9"/>
      <c r="R28" s="9"/>
      <c r="S28" s="9"/>
      <c r="T28" s="9"/>
      <c r="U28" s="9"/>
      <c r="V28" s="9"/>
    </row>
    <row r="29" spans="1:22" x14ac:dyDescent="0.25">
      <c r="A29" s="14">
        <v>1972</v>
      </c>
      <c r="B29" s="8">
        <v>664.6</v>
      </c>
      <c r="C29" s="8"/>
      <c r="E29" s="9"/>
      <c r="F29" s="9"/>
      <c r="G29" s="9">
        <f t="shared" si="2"/>
        <v>1043.2</v>
      </c>
      <c r="H29" s="8">
        <v>254.4</v>
      </c>
      <c r="I29" s="9"/>
      <c r="J29" s="8">
        <v>219.6</v>
      </c>
      <c r="K29" s="8">
        <v>95.2</v>
      </c>
      <c r="L29" s="9">
        <f t="shared" si="0"/>
        <v>569.20000000000005</v>
      </c>
      <c r="M29" s="9"/>
      <c r="N29" s="9"/>
      <c r="O29" s="9"/>
      <c r="P29" s="9"/>
      <c r="Q29" s="9"/>
      <c r="R29" s="9"/>
      <c r="S29" s="9"/>
      <c r="T29" s="9"/>
      <c r="U29" s="9"/>
      <c r="V29" s="9"/>
    </row>
    <row r="30" spans="1:22" x14ac:dyDescent="0.25">
      <c r="A30" s="14">
        <v>1973</v>
      </c>
      <c r="B30" s="8">
        <v>804.6</v>
      </c>
      <c r="C30" s="8"/>
      <c r="D30" s="8"/>
      <c r="E30" s="9"/>
      <c r="F30" s="9"/>
      <c r="G30" s="9">
        <f t="shared" si="2"/>
        <v>1246.0999999999999</v>
      </c>
      <c r="H30" s="8">
        <v>347</v>
      </c>
      <c r="I30" s="9"/>
      <c r="J30" s="8">
        <v>226.8</v>
      </c>
      <c r="K30" s="8">
        <v>98.5</v>
      </c>
      <c r="L30" s="9">
        <f t="shared" si="0"/>
        <v>672.3</v>
      </c>
      <c r="M30" s="9"/>
      <c r="N30" s="9"/>
      <c r="O30" s="9"/>
      <c r="P30" s="9"/>
      <c r="Q30" s="9"/>
      <c r="R30" s="9"/>
      <c r="S30" s="9"/>
      <c r="T30" s="9"/>
      <c r="U30" s="9"/>
      <c r="V30" s="9"/>
    </row>
    <row r="31" spans="1:22" x14ac:dyDescent="0.25">
      <c r="A31" s="14">
        <v>1974</v>
      </c>
      <c r="B31" s="8">
        <v>809.5</v>
      </c>
      <c r="C31" s="8"/>
      <c r="D31" s="8"/>
      <c r="E31" s="9"/>
      <c r="F31" s="9"/>
      <c r="G31" s="9">
        <f t="shared" si="2"/>
        <v>1216.2</v>
      </c>
      <c r="H31" s="8">
        <v>300</v>
      </c>
      <c r="I31" s="9"/>
      <c r="J31" s="8">
        <v>261.2</v>
      </c>
      <c r="K31" s="8">
        <v>93.8</v>
      </c>
      <c r="L31" s="9">
        <f t="shared" si="0"/>
        <v>655</v>
      </c>
      <c r="M31" s="9"/>
      <c r="N31" s="9"/>
      <c r="O31" s="9"/>
      <c r="P31" s="9"/>
      <c r="Q31" s="9"/>
      <c r="R31" s="9"/>
      <c r="S31" s="9"/>
      <c r="T31" s="38"/>
      <c r="U31" s="9"/>
      <c r="V31" s="9"/>
    </row>
    <row r="32" spans="1:22" x14ac:dyDescent="0.25">
      <c r="A32" s="14">
        <v>1975</v>
      </c>
      <c r="B32" s="8">
        <v>647.29999999999995</v>
      </c>
      <c r="C32" s="8"/>
      <c r="D32" s="8"/>
      <c r="E32" s="9">
        <v>16773</v>
      </c>
      <c r="F32" s="9"/>
      <c r="G32" s="9">
        <f t="shared" si="2"/>
        <v>947.90000000000009</v>
      </c>
      <c r="H32" s="8">
        <v>251.6</v>
      </c>
      <c r="I32" s="9">
        <v>34100</v>
      </c>
      <c r="J32" s="8">
        <v>185.7</v>
      </c>
      <c r="K32" s="8">
        <v>73.3</v>
      </c>
      <c r="L32" s="9">
        <f t="shared" si="0"/>
        <v>510.6</v>
      </c>
      <c r="M32" s="9"/>
      <c r="N32" s="9"/>
      <c r="O32" s="9"/>
      <c r="P32" s="9"/>
      <c r="Q32" s="9"/>
      <c r="R32" s="9"/>
      <c r="S32" s="9"/>
      <c r="T32" s="9"/>
      <c r="U32" s="9"/>
      <c r="V32" s="9"/>
    </row>
    <row r="33" spans="1:22" x14ac:dyDescent="0.25">
      <c r="A33" s="14">
        <v>1976</v>
      </c>
      <c r="B33" s="8">
        <v>789.8</v>
      </c>
      <c r="C33" s="8"/>
      <c r="D33" s="8"/>
      <c r="E33" s="9"/>
      <c r="F33" s="9"/>
      <c r="G33" s="9">
        <f t="shared" si="2"/>
        <v>1155.2</v>
      </c>
      <c r="H33" s="8">
        <v>334.3</v>
      </c>
      <c r="I33" s="9"/>
      <c r="J33" s="8">
        <v>199.3</v>
      </c>
      <c r="K33" s="8">
        <v>88</v>
      </c>
      <c r="L33" s="9">
        <f t="shared" si="0"/>
        <v>621.6</v>
      </c>
      <c r="M33" s="9"/>
      <c r="N33" s="9"/>
      <c r="O33" s="9"/>
      <c r="P33" s="9"/>
      <c r="Q33" s="9"/>
      <c r="R33" s="9"/>
      <c r="S33" s="9"/>
      <c r="T33" s="9"/>
      <c r="U33" s="9"/>
      <c r="V33" s="9"/>
    </row>
    <row r="34" spans="1:22" x14ac:dyDescent="0.25">
      <c r="A34" s="14">
        <v>1977</v>
      </c>
      <c r="B34" s="8">
        <v>797.3</v>
      </c>
      <c r="C34" s="8"/>
      <c r="E34" s="9">
        <v>20228</v>
      </c>
      <c r="F34" s="9"/>
      <c r="G34" s="9">
        <f t="shared" si="2"/>
        <v>1103</v>
      </c>
      <c r="H34" s="8">
        <v>303.39999999999998</v>
      </c>
      <c r="I34" s="9">
        <v>34100</v>
      </c>
      <c r="J34" s="8">
        <v>199.1</v>
      </c>
      <c r="K34" s="8">
        <v>98</v>
      </c>
      <c r="L34" s="9">
        <f t="shared" si="0"/>
        <v>600.5</v>
      </c>
      <c r="M34" s="9"/>
      <c r="N34" s="9"/>
      <c r="O34" s="9"/>
      <c r="P34" s="9"/>
      <c r="Q34" s="9"/>
      <c r="R34" s="9"/>
      <c r="S34" s="9"/>
      <c r="T34" s="9"/>
      <c r="U34" s="9"/>
      <c r="V34" s="9"/>
    </row>
    <row r="35" spans="1:22" x14ac:dyDescent="0.25">
      <c r="A35" s="14">
        <v>1978</v>
      </c>
      <c r="B35" s="8">
        <v>749.1</v>
      </c>
      <c r="C35" s="8"/>
      <c r="D35" s="8"/>
      <c r="E35" s="9"/>
      <c r="F35" s="9"/>
      <c r="G35" s="9"/>
      <c r="H35" s="8">
        <v>448.5</v>
      </c>
      <c r="I35" s="9"/>
      <c r="K35" s="8">
        <v>84.1</v>
      </c>
      <c r="L35" s="9">
        <f t="shared" si="0"/>
        <v>532.6</v>
      </c>
      <c r="M35" s="9"/>
      <c r="N35" s="9"/>
      <c r="O35" s="9"/>
      <c r="P35" s="9"/>
      <c r="Q35" s="9"/>
      <c r="R35" s="9"/>
      <c r="S35" s="9"/>
      <c r="T35" s="9"/>
      <c r="U35" s="9"/>
      <c r="V35" s="9"/>
    </row>
    <row r="36" spans="1:22" x14ac:dyDescent="0.25">
      <c r="A36" s="14">
        <v>1979</v>
      </c>
      <c r="B36" s="8">
        <v>892.1</v>
      </c>
      <c r="C36" s="8">
        <v>675</v>
      </c>
      <c r="D36" s="8"/>
      <c r="E36" s="9"/>
      <c r="F36" s="9"/>
      <c r="G36" s="9"/>
      <c r="H36" s="8">
        <v>620.6</v>
      </c>
      <c r="I36" s="9"/>
      <c r="J36" s="9"/>
      <c r="K36" s="8">
        <v>54.9</v>
      </c>
      <c r="L36" s="9">
        <f t="shared" si="0"/>
        <v>675.5</v>
      </c>
      <c r="M36" s="9"/>
      <c r="N36" s="9"/>
      <c r="O36" s="9"/>
      <c r="P36" s="9"/>
      <c r="Q36" s="9"/>
      <c r="R36" s="9"/>
      <c r="S36" s="9"/>
      <c r="T36" s="9"/>
      <c r="U36" s="9"/>
      <c r="V36" s="9"/>
    </row>
    <row r="37" spans="1:22" x14ac:dyDescent="0.25">
      <c r="A37" s="14">
        <v>1980</v>
      </c>
      <c r="B37" s="8">
        <v>970.8</v>
      </c>
      <c r="C37" s="8">
        <v>752</v>
      </c>
      <c r="D37" s="29">
        <v>0.5</v>
      </c>
      <c r="E37" s="9"/>
      <c r="F37" s="9"/>
      <c r="G37" s="9"/>
      <c r="H37" s="8">
        <v>694</v>
      </c>
      <c r="I37" s="9"/>
      <c r="J37" s="9"/>
      <c r="K37" s="8">
        <v>58.2</v>
      </c>
      <c r="L37" s="9">
        <f t="shared" si="0"/>
        <v>752.2</v>
      </c>
      <c r="M37" s="9"/>
      <c r="N37" s="9"/>
      <c r="O37" s="9"/>
      <c r="P37" s="9"/>
      <c r="Q37" s="9"/>
      <c r="R37" s="9"/>
      <c r="S37" s="9"/>
      <c r="T37" s="9"/>
      <c r="U37" s="9"/>
      <c r="V37" s="9"/>
    </row>
    <row r="38" spans="1:22" x14ac:dyDescent="0.25">
      <c r="A38" s="14">
        <v>1981</v>
      </c>
      <c r="B38" s="8">
        <v>910</v>
      </c>
      <c r="C38" s="8">
        <v>713</v>
      </c>
      <c r="D38" s="8"/>
      <c r="E38" s="9"/>
      <c r="F38" s="9"/>
      <c r="G38" s="9"/>
      <c r="H38" s="8">
        <v>673.2</v>
      </c>
      <c r="I38" s="9"/>
      <c r="J38" s="9"/>
      <c r="K38" s="8">
        <v>40.1</v>
      </c>
      <c r="L38" s="9">
        <f t="shared" si="0"/>
        <v>713.30000000000007</v>
      </c>
      <c r="M38" s="9"/>
      <c r="N38" s="9"/>
      <c r="O38" s="9"/>
      <c r="P38" s="9"/>
      <c r="Q38" s="9"/>
      <c r="R38" s="9"/>
      <c r="S38" s="9"/>
      <c r="T38" s="9"/>
      <c r="U38" s="9"/>
      <c r="V38" s="9"/>
    </row>
    <row r="39" spans="1:22" x14ac:dyDescent="0.25">
      <c r="A39" s="14">
        <v>1982</v>
      </c>
      <c r="B39" s="8">
        <v>898.3</v>
      </c>
      <c r="C39" s="8">
        <v>755</v>
      </c>
      <c r="D39" s="8"/>
      <c r="E39" s="9"/>
      <c r="F39" s="9"/>
      <c r="G39" s="9"/>
      <c r="H39" s="8">
        <v>683.9</v>
      </c>
      <c r="I39" s="9"/>
      <c r="J39" s="9"/>
      <c r="K39" s="8">
        <v>37.9</v>
      </c>
      <c r="L39" s="9">
        <f t="shared" si="0"/>
        <v>721.8</v>
      </c>
      <c r="M39" s="9"/>
      <c r="N39" s="8">
        <v>4184</v>
      </c>
      <c r="O39" s="9"/>
      <c r="P39" s="9"/>
      <c r="Q39" s="9"/>
      <c r="R39" s="9"/>
      <c r="S39" s="9"/>
      <c r="T39" s="9"/>
      <c r="U39" s="9"/>
      <c r="V39" s="9"/>
    </row>
    <row r="40" spans="1:22" x14ac:dyDescent="0.25">
      <c r="A40" s="14">
        <v>1983</v>
      </c>
      <c r="B40" s="8"/>
      <c r="C40" s="8">
        <v>789</v>
      </c>
      <c r="D40" s="8"/>
      <c r="E40" s="9"/>
      <c r="F40" s="9"/>
      <c r="G40" s="9"/>
      <c r="H40" s="9"/>
      <c r="I40" s="9"/>
      <c r="J40" s="9"/>
      <c r="K40" s="9"/>
      <c r="L40" s="9"/>
      <c r="M40" s="9"/>
      <c r="N40" s="8">
        <v>4850</v>
      </c>
      <c r="O40" s="9"/>
      <c r="P40" s="9"/>
      <c r="Q40" s="9"/>
      <c r="R40" s="9"/>
      <c r="S40" s="9"/>
      <c r="T40" s="9"/>
      <c r="U40" s="9"/>
      <c r="V40" s="9"/>
    </row>
    <row r="41" spans="1:22" x14ac:dyDescent="0.25">
      <c r="A41" s="14">
        <v>1984</v>
      </c>
      <c r="B41" s="8"/>
      <c r="C41" s="8">
        <v>771</v>
      </c>
      <c r="D41" s="8"/>
      <c r="E41" s="9"/>
      <c r="F41" s="9"/>
      <c r="G41" s="9"/>
      <c r="H41" s="9"/>
      <c r="I41" s="9"/>
      <c r="J41" s="9"/>
      <c r="K41" s="9"/>
      <c r="L41" s="9"/>
      <c r="M41" s="9"/>
      <c r="N41" s="8">
        <v>4429</v>
      </c>
      <c r="O41" s="9"/>
      <c r="P41" s="9"/>
      <c r="Q41" s="9"/>
      <c r="R41" s="9"/>
      <c r="S41" s="9"/>
      <c r="T41" s="9"/>
      <c r="U41" s="9"/>
      <c r="V41" s="9"/>
    </row>
    <row r="42" spans="1:22" x14ac:dyDescent="0.25">
      <c r="A42" s="14">
        <v>1985</v>
      </c>
      <c r="C42" s="8">
        <v>725</v>
      </c>
      <c r="D42" s="8"/>
      <c r="E42" s="9"/>
      <c r="F42" s="9"/>
      <c r="G42" s="9"/>
      <c r="H42" s="9"/>
      <c r="I42" s="9"/>
      <c r="J42" s="9"/>
      <c r="K42" s="9"/>
      <c r="L42" s="9"/>
      <c r="M42" s="9"/>
      <c r="N42" s="8">
        <v>4314</v>
      </c>
      <c r="O42" s="9"/>
      <c r="P42" s="9"/>
      <c r="Q42" s="9"/>
      <c r="R42" s="9"/>
      <c r="S42" s="9"/>
      <c r="T42" s="9"/>
      <c r="U42" s="9"/>
      <c r="V42" s="9"/>
    </row>
    <row r="43" spans="1:22" x14ac:dyDescent="0.25">
      <c r="A43" s="14">
        <v>1986</v>
      </c>
      <c r="C43" s="8">
        <v>685</v>
      </c>
      <c r="D43" s="8"/>
      <c r="E43" s="9"/>
      <c r="F43" s="9"/>
      <c r="G43" s="9"/>
      <c r="H43" s="9"/>
      <c r="I43" s="9"/>
      <c r="J43" s="9"/>
      <c r="K43" s="9"/>
      <c r="L43" s="9"/>
      <c r="M43" s="9"/>
      <c r="N43" s="8">
        <v>5072</v>
      </c>
      <c r="O43" s="9"/>
      <c r="P43" s="9"/>
      <c r="Q43" s="9"/>
      <c r="R43" s="9"/>
      <c r="S43" s="9"/>
      <c r="T43" s="9"/>
      <c r="U43" s="9"/>
      <c r="V43" s="9"/>
    </row>
    <row r="44" spans="1:22" x14ac:dyDescent="0.25">
      <c r="A44" s="14">
        <v>1987</v>
      </c>
      <c r="C44" s="8">
        <v>705</v>
      </c>
      <c r="D44" s="8"/>
      <c r="E44" s="9"/>
      <c r="F44" s="9"/>
      <c r="G44" s="9"/>
      <c r="H44" s="9"/>
      <c r="I44" s="9"/>
      <c r="J44" s="9"/>
      <c r="K44" s="9"/>
      <c r="L44" s="9"/>
      <c r="M44" s="9"/>
      <c r="N44" s="8">
        <v>6019</v>
      </c>
      <c r="O44" s="9"/>
      <c r="P44" s="9"/>
      <c r="Q44" s="9"/>
      <c r="R44" s="9"/>
      <c r="S44" s="9"/>
      <c r="T44" s="9"/>
      <c r="U44" s="9"/>
      <c r="V44" s="9"/>
    </row>
    <row r="45" spans="1:22" x14ac:dyDescent="0.25">
      <c r="A45" s="14">
        <v>1988</v>
      </c>
      <c r="C45" s="8">
        <v>780</v>
      </c>
      <c r="D45" s="8"/>
      <c r="E45" s="9"/>
      <c r="F45" s="9"/>
      <c r="G45" s="9"/>
      <c r="H45" s="9"/>
      <c r="I45" s="9"/>
      <c r="J45" s="9"/>
      <c r="K45" s="9"/>
      <c r="L45" s="9"/>
      <c r="M45" s="9"/>
      <c r="N45" s="8">
        <v>6660</v>
      </c>
      <c r="O45" s="9"/>
      <c r="P45" s="9"/>
      <c r="Q45" s="9"/>
      <c r="R45" s="9"/>
      <c r="S45" s="9"/>
      <c r="T45" s="9"/>
      <c r="U45" s="9"/>
      <c r="V45" s="9"/>
    </row>
    <row r="46" spans="1:22" x14ac:dyDescent="0.25">
      <c r="A46" s="14">
        <v>1989</v>
      </c>
      <c r="C46" s="8">
        <v>775</v>
      </c>
      <c r="D46" s="8"/>
      <c r="E46" s="9"/>
      <c r="F46" s="9"/>
      <c r="G46" s="9"/>
      <c r="H46" s="9"/>
      <c r="I46" s="9"/>
      <c r="J46" s="9"/>
      <c r="K46" s="9"/>
      <c r="L46" s="9">
        <v>140653</v>
      </c>
      <c r="M46" s="9">
        <v>614.17899999999997</v>
      </c>
      <c r="N46" s="8">
        <v>6760</v>
      </c>
      <c r="O46" s="9">
        <v>2718</v>
      </c>
      <c r="P46" s="9">
        <v>2432</v>
      </c>
      <c r="Q46" s="9"/>
      <c r="S46" s="9">
        <v>4251</v>
      </c>
      <c r="T46" s="9"/>
      <c r="U46" s="9"/>
      <c r="V46" s="9"/>
    </row>
    <row r="47" spans="1:22" x14ac:dyDescent="0.25">
      <c r="A47" s="14">
        <v>1990</v>
      </c>
      <c r="C47" s="8">
        <v>875</v>
      </c>
      <c r="D47" s="8"/>
      <c r="E47" s="9"/>
      <c r="F47" s="9"/>
      <c r="G47" s="9"/>
      <c r="H47" s="9"/>
      <c r="I47" s="9"/>
      <c r="J47" s="9"/>
      <c r="K47" s="9"/>
      <c r="L47" s="9">
        <v>154596</v>
      </c>
      <c r="M47" s="9">
        <f>25.791+853.279</f>
        <v>879.07</v>
      </c>
      <c r="N47" s="8">
        <v>7062</v>
      </c>
      <c r="O47" s="9">
        <v>2759</v>
      </c>
      <c r="P47" s="9">
        <v>2692</v>
      </c>
      <c r="Q47" s="9"/>
      <c r="R47" s="9">
        <v>12305</v>
      </c>
      <c r="S47" s="9"/>
      <c r="T47" s="9"/>
      <c r="U47" s="9"/>
      <c r="V47" s="9"/>
    </row>
    <row r="48" spans="1:22" x14ac:dyDescent="0.25">
      <c r="A48" s="14">
        <v>1991</v>
      </c>
      <c r="C48" s="8">
        <v>820</v>
      </c>
      <c r="D48" s="8"/>
      <c r="E48" s="9"/>
      <c r="F48" s="9"/>
      <c r="G48" s="9"/>
      <c r="H48" s="9"/>
      <c r="I48" s="9"/>
      <c r="J48" s="9"/>
      <c r="K48" s="9"/>
      <c r="L48" s="9">
        <f>2301+154114</f>
        <v>156415</v>
      </c>
      <c r="M48" s="9">
        <f>26.828+815.344</f>
        <v>842.17200000000003</v>
      </c>
      <c r="N48" s="8">
        <v>8047</v>
      </c>
      <c r="O48" s="9">
        <v>3162</v>
      </c>
      <c r="P48" s="9">
        <v>2577</v>
      </c>
      <c r="Q48" s="9"/>
      <c r="R48" s="9">
        <v>12084</v>
      </c>
      <c r="S48" s="9"/>
      <c r="T48" s="9"/>
      <c r="U48" s="9"/>
      <c r="V48" s="9"/>
    </row>
    <row r="49" spans="1:22" x14ac:dyDescent="0.25">
      <c r="A49" s="14">
        <v>1992</v>
      </c>
      <c r="C49" s="8">
        <v>827.68499999999995</v>
      </c>
      <c r="D49" s="8"/>
      <c r="E49" s="9"/>
      <c r="F49" s="9"/>
      <c r="G49" s="9"/>
      <c r="H49" s="9"/>
      <c r="I49" s="9"/>
      <c r="J49" s="9"/>
      <c r="K49" s="9"/>
      <c r="L49" s="9">
        <f>2332+141074</f>
        <v>143406</v>
      </c>
      <c r="M49" s="9">
        <f>21.948+810.986</f>
        <v>832.93399999999997</v>
      </c>
      <c r="N49" s="8">
        <v>7945</v>
      </c>
      <c r="O49" s="9">
        <v>3026</v>
      </c>
      <c r="P49" s="9">
        <v>2676</v>
      </c>
      <c r="Q49" s="9"/>
      <c r="R49" s="9">
        <v>12374</v>
      </c>
      <c r="S49" s="9"/>
      <c r="T49" s="9"/>
      <c r="U49" s="9"/>
      <c r="V49" s="9"/>
    </row>
    <row r="50" spans="1:22" x14ac:dyDescent="0.25">
      <c r="A50" s="14">
        <v>1993</v>
      </c>
      <c r="C50" s="8">
        <v>809</v>
      </c>
      <c r="D50" s="8"/>
      <c r="E50" s="9"/>
      <c r="F50" s="9"/>
      <c r="G50" s="9"/>
      <c r="H50" s="9"/>
      <c r="I50" s="9"/>
      <c r="J50" s="9"/>
      <c r="K50" s="9"/>
      <c r="L50" s="9">
        <f>2311+166706</f>
        <v>169017</v>
      </c>
      <c r="M50" s="9">
        <f>23.547+786.451</f>
        <v>809.99800000000005</v>
      </c>
      <c r="N50" s="8">
        <v>8091</v>
      </c>
      <c r="O50" s="9">
        <v>3079</v>
      </c>
      <c r="P50" s="9">
        <v>2844</v>
      </c>
      <c r="Q50" s="9"/>
      <c r="R50" s="9">
        <v>12874</v>
      </c>
      <c r="S50" s="9"/>
      <c r="T50" s="9"/>
      <c r="U50" s="9"/>
      <c r="V50" s="9"/>
    </row>
    <row r="51" spans="1:22" x14ac:dyDescent="0.25">
      <c r="A51" s="14">
        <v>1994</v>
      </c>
      <c r="C51" s="8">
        <v>867.42</v>
      </c>
      <c r="D51" s="29">
        <v>0.5</v>
      </c>
      <c r="E51" s="8"/>
      <c r="F51" s="8"/>
      <c r="G51" s="8"/>
      <c r="H51" s="8"/>
      <c r="I51" s="8"/>
      <c r="J51" s="8"/>
      <c r="K51" s="9"/>
      <c r="L51" s="9"/>
      <c r="M51" s="9">
        <v>868.404</v>
      </c>
      <c r="N51" s="8">
        <v>8998</v>
      </c>
      <c r="O51" s="9">
        <v>3077</v>
      </c>
      <c r="P51" s="9">
        <v>3144</v>
      </c>
      <c r="Q51" s="9"/>
      <c r="R51" s="9"/>
      <c r="S51" s="9">
        <v>4115</v>
      </c>
      <c r="T51" s="9">
        <v>15114</v>
      </c>
      <c r="U51" s="9">
        <f>P51+S51</f>
        <v>7259</v>
      </c>
      <c r="V51" s="9"/>
    </row>
    <row r="52" spans="1:22" x14ac:dyDescent="0.25">
      <c r="A52" s="14">
        <v>1995</v>
      </c>
      <c r="C52" s="8">
        <v>853</v>
      </c>
      <c r="D52" s="8"/>
      <c r="E52" s="9"/>
      <c r="F52" s="9"/>
      <c r="G52" s="9"/>
      <c r="H52" s="9"/>
      <c r="I52" s="9"/>
      <c r="J52" s="9"/>
      <c r="M52" s="9"/>
      <c r="N52" s="8">
        <v>9563</v>
      </c>
      <c r="O52" s="9">
        <v>3294</v>
      </c>
      <c r="P52" s="9">
        <v>3163</v>
      </c>
      <c r="Q52" s="9"/>
      <c r="S52" s="9">
        <v>4154</v>
      </c>
      <c r="T52" s="9">
        <v>10884</v>
      </c>
      <c r="U52" s="9">
        <f>P52+S52</f>
        <v>7317</v>
      </c>
      <c r="V52" s="9"/>
    </row>
    <row r="53" spans="1:22" x14ac:dyDescent="0.25">
      <c r="A53" s="14">
        <v>1996</v>
      </c>
      <c r="C53" s="8">
        <v>751.61</v>
      </c>
      <c r="D53" s="29"/>
      <c r="E53" s="9"/>
      <c r="F53" s="9"/>
      <c r="G53" s="9"/>
      <c r="H53" s="9"/>
      <c r="I53" s="9"/>
      <c r="J53" s="9"/>
      <c r="M53" s="9"/>
      <c r="N53" s="8">
        <v>9768</v>
      </c>
      <c r="O53" s="9">
        <v>3689</v>
      </c>
      <c r="P53" s="9">
        <v>3929</v>
      </c>
      <c r="Q53" s="9">
        <v>59712</v>
      </c>
      <c r="S53" s="9">
        <v>4547</v>
      </c>
      <c r="T53" s="9">
        <v>11204</v>
      </c>
      <c r="U53" s="9"/>
      <c r="V53" s="9"/>
    </row>
    <row r="54" spans="1:22" x14ac:dyDescent="0.25">
      <c r="A54" s="14">
        <v>1997</v>
      </c>
      <c r="C54" s="8">
        <v>1038</v>
      </c>
      <c r="D54" s="8"/>
      <c r="E54" s="9"/>
      <c r="F54" s="9"/>
      <c r="G54" s="9"/>
      <c r="H54" s="9"/>
      <c r="I54" s="9"/>
      <c r="J54" s="9"/>
      <c r="M54" s="9"/>
      <c r="N54" s="9">
        <v>10243</v>
      </c>
      <c r="O54" s="9">
        <v>4117</v>
      </c>
      <c r="P54" s="9">
        <v>3943</v>
      </c>
      <c r="Q54" s="9">
        <v>62865</v>
      </c>
      <c r="S54" s="9">
        <v>4788</v>
      </c>
      <c r="T54" s="9">
        <v>11678</v>
      </c>
      <c r="U54" s="9"/>
      <c r="V54" s="9"/>
    </row>
    <row r="55" spans="1:22" x14ac:dyDescent="0.25">
      <c r="A55" s="14">
        <v>1998</v>
      </c>
      <c r="C55" s="8">
        <v>852</v>
      </c>
      <c r="D55" s="8"/>
      <c r="E55" s="9"/>
      <c r="F55" s="9"/>
      <c r="G55" s="9"/>
      <c r="H55" s="9"/>
      <c r="I55" s="9"/>
      <c r="J55" s="9"/>
      <c r="M55" s="6"/>
      <c r="N55" s="9">
        <v>10926</v>
      </c>
      <c r="O55" s="9">
        <v>4103</v>
      </c>
      <c r="P55" s="9">
        <v>4410</v>
      </c>
      <c r="Q55" s="9">
        <v>68783</v>
      </c>
      <c r="T55" s="9"/>
      <c r="U55" s="9"/>
      <c r="V55" s="9"/>
    </row>
    <row r="56" spans="1:22" x14ac:dyDescent="0.25">
      <c r="A56" s="14">
        <v>1999</v>
      </c>
      <c r="C56" s="8">
        <v>788.13499999999999</v>
      </c>
      <c r="D56" s="29"/>
      <c r="E56" s="9"/>
      <c r="F56" s="9"/>
      <c r="G56" s="9"/>
      <c r="H56" s="9"/>
      <c r="I56" s="9"/>
      <c r="J56" s="9"/>
      <c r="M56" s="9"/>
      <c r="N56" s="9">
        <v>12257</v>
      </c>
      <c r="O56" s="9">
        <v>4033</v>
      </c>
      <c r="P56" s="9">
        <v>4384</v>
      </c>
      <c r="Q56" s="9">
        <v>68268</v>
      </c>
      <c r="T56" s="9"/>
      <c r="U56" s="9"/>
      <c r="V56" s="9"/>
    </row>
    <row r="57" spans="1:22" x14ac:dyDescent="0.25">
      <c r="A57" s="14">
        <v>2000</v>
      </c>
      <c r="C57" s="8">
        <v>860.58299999999997</v>
      </c>
      <c r="D57" s="8"/>
      <c r="E57" s="9"/>
      <c r="F57" s="9"/>
      <c r="G57" s="9"/>
      <c r="H57" s="9"/>
      <c r="I57" s="9"/>
      <c r="J57" s="9"/>
      <c r="M57" s="9">
        <f>(91.993+97.083+93.111+97.314+77.789+84.047+76.404+74.775+76.435+88.061+86+86)</f>
        <v>1029.0120000000002</v>
      </c>
      <c r="N57" s="9">
        <v>13383</v>
      </c>
      <c r="O57" s="9">
        <v>4273</v>
      </c>
      <c r="P57" s="9">
        <v>4492</v>
      </c>
      <c r="Q57" s="9">
        <v>72480</v>
      </c>
      <c r="T57" s="9"/>
      <c r="U57" s="9"/>
      <c r="V57" s="9">
        <f>(1399+2242+2122+1778+2006+1967+2446+2043+1731+556+1970+1970)</f>
        <v>22230</v>
      </c>
    </row>
    <row r="58" spans="1:22" x14ac:dyDescent="0.25">
      <c r="A58" s="14">
        <v>2001</v>
      </c>
      <c r="C58" s="8">
        <v>831.524</v>
      </c>
      <c r="D58" s="29"/>
      <c r="E58" s="9"/>
      <c r="F58" s="9"/>
      <c r="G58" s="9"/>
      <c r="H58" s="9"/>
      <c r="I58" s="9"/>
      <c r="J58" s="9"/>
      <c r="M58" s="9"/>
      <c r="N58" s="9">
        <v>14400</v>
      </c>
      <c r="O58" s="9">
        <v>6893</v>
      </c>
      <c r="P58" s="9">
        <v>4151</v>
      </c>
      <c r="Q58" s="9">
        <v>46612</v>
      </c>
      <c r="T58" s="9"/>
      <c r="U58" s="9"/>
      <c r="V58" s="9"/>
    </row>
    <row r="59" spans="1:22" x14ac:dyDescent="0.25">
      <c r="A59" s="14">
        <v>2002</v>
      </c>
      <c r="C59" s="8">
        <v>887.61099999999999</v>
      </c>
      <c r="D59" s="29">
        <v>0.52</v>
      </c>
      <c r="E59" s="9"/>
      <c r="F59" s="9"/>
      <c r="G59" s="9"/>
      <c r="H59" s="9"/>
      <c r="I59" s="9"/>
      <c r="J59" s="9"/>
      <c r="M59" s="9">
        <f>(104.928+109.499+99.674+103.432+112.944+113.511+113.899+108*5)</f>
        <v>1297.8869999999999</v>
      </c>
      <c r="N59" s="9">
        <v>14281</v>
      </c>
      <c r="Q59" s="9"/>
      <c r="T59" s="9"/>
      <c r="U59" s="9"/>
      <c r="V59" s="9">
        <f>(1722+1901+1781+1771+1729+1920+1593+1774*5)</f>
        <v>21287</v>
      </c>
    </row>
    <row r="60" spans="1:22" x14ac:dyDescent="0.25">
      <c r="A60" s="14">
        <v>2003</v>
      </c>
      <c r="C60" s="8">
        <v>937.14</v>
      </c>
      <c r="D60" s="29"/>
      <c r="E60" s="9"/>
      <c r="F60" s="9"/>
      <c r="G60" s="9"/>
      <c r="H60" s="9"/>
      <c r="I60" s="9"/>
      <c r="J60" s="9"/>
      <c r="M60" s="9">
        <f>(109.183+100.755+107.827+83.681+79.097+71.42+103.109+94*5)</f>
        <v>1125.0720000000001</v>
      </c>
      <c r="N60" s="9">
        <v>14465</v>
      </c>
      <c r="P60" s="9">
        <v>4756</v>
      </c>
      <c r="Q60" s="9"/>
      <c r="T60" s="9"/>
      <c r="U60" s="9"/>
      <c r="V60" s="9">
        <f>(1840+1733+1982+1993+1826+1973+2017+1909*5)</f>
        <v>22909</v>
      </c>
    </row>
    <row r="61" spans="1:22" x14ac:dyDescent="0.25">
      <c r="A61" s="14">
        <v>2004</v>
      </c>
      <c r="C61" s="8">
        <v>1146.8530000000001</v>
      </c>
      <c r="D61" s="29">
        <f>0.49</f>
        <v>0.49</v>
      </c>
      <c r="E61" s="9"/>
      <c r="F61" s="9"/>
      <c r="G61" s="9"/>
      <c r="H61" s="9"/>
      <c r="I61" s="9"/>
      <c r="J61" s="9"/>
      <c r="N61" s="9">
        <v>15296</v>
      </c>
      <c r="O61" s="9">
        <v>4751</v>
      </c>
      <c r="P61" s="9">
        <v>5267</v>
      </c>
      <c r="Q61" s="9">
        <v>71327</v>
      </c>
      <c r="T61" s="9"/>
      <c r="U61" s="9"/>
      <c r="V61" s="9"/>
    </row>
    <row r="62" spans="1:22" x14ac:dyDescent="0.25">
      <c r="A62" s="14">
        <v>2005</v>
      </c>
      <c r="C62" s="8">
        <v>1098.4649999999999</v>
      </c>
      <c r="D62" s="8"/>
      <c r="E62" s="9"/>
      <c r="F62" s="9"/>
      <c r="G62" s="9"/>
      <c r="H62" s="9"/>
      <c r="I62" s="9"/>
      <c r="J62" s="9"/>
      <c r="N62" s="9">
        <v>15318.19</v>
      </c>
      <c r="O62" s="9">
        <v>4303.12</v>
      </c>
      <c r="P62" s="9">
        <v>5970.38</v>
      </c>
      <c r="Q62" s="9">
        <v>66426</v>
      </c>
      <c r="T62" s="9"/>
      <c r="U62" s="9"/>
      <c r="V62" s="9"/>
    </row>
    <row r="63" spans="1:22" x14ac:dyDescent="0.25">
      <c r="A63" s="14">
        <v>2006</v>
      </c>
      <c r="C63" s="9">
        <v>1151.222</v>
      </c>
      <c r="D63" s="29"/>
      <c r="E63" s="9"/>
      <c r="F63" s="9"/>
      <c r="G63" s="9"/>
      <c r="H63" s="9"/>
      <c r="I63" s="9"/>
      <c r="J63" s="9"/>
      <c r="N63" s="9">
        <v>16158</v>
      </c>
      <c r="O63" s="9">
        <v>4661.8599999999997</v>
      </c>
      <c r="P63" s="9">
        <v>6483.56</v>
      </c>
      <c r="Q63" s="9">
        <v>74052</v>
      </c>
      <c r="T63" s="9"/>
      <c r="U63" s="9"/>
      <c r="V63" s="9"/>
    </row>
    <row r="64" spans="1:22" x14ac:dyDescent="0.25">
      <c r="A64" s="14">
        <v>2007</v>
      </c>
      <c r="C64" s="9">
        <v>1154.847</v>
      </c>
      <c r="E64" s="9"/>
      <c r="F64" s="9"/>
      <c r="G64" s="9"/>
      <c r="H64" s="9"/>
      <c r="I64" s="9"/>
      <c r="J64" s="9"/>
      <c r="N64" s="9">
        <v>16730</v>
      </c>
      <c r="O64" s="9">
        <v>4636</v>
      </c>
      <c r="P64" s="9">
        <v>7238</v>
      </c>
      <c r="Q64" s="9">
        <v>71526</v>
      </c>
      <c r="T64" s="9"/>
      <c r="U64" s="9"/>
      <c r="V64" s="9"/>
    </row>
    <row r="65" spans="1:78" x14ac:dyDescent="0.25">
      <c r="A65" s="14">
        <v>2008</v>
      </c>
      <c r="C65" s="9">
        <v>992.96</v>
      </c>
      <c r="E65" s="9"/>
      <c r="F65" s="9"/>
      <c r="G65" s="9"/>
      <c r="H65" s="9"/>
      <c r="I65" s="9"/>
      <c r="J65" s="9"/>
      <c r="N65" s="9">
        <v>16382.708000000001</v>
      </c>
      <c r="O65" s="9">
        <v>4098.3109999999997</v>
      </c>
      <c r="P65" s="9">
        <v>6722.7349999999997</v>
      </c>
      <c r="Q65" s="9">
        <v>56310.531999999999</v>
      </c>
      <c r="T65" s="9"/>
      <c r="U65" s="9"/>
      <c r="V65" s="9"/>
    </row>
    <row r="66" spans="1:78" x14ac:dyDescent="0.25">
      <c r="A66" s="14">
        <v>2009</v>
      </c>
      <c r="C66" s="9">
        <v>820</v>
      </c>
      <c r="E66" s="9"/>
      <c r="F66" s="9"/>
      <c r="G66" s="9"/>
      <c r="H66" s="9"/>
      <c r="I66" s="9"/>
      <c r="J66" s="9"/>
      <c r="N66" s="9">
        <v>15460.977999999999</v>
      </c>
      <c r="O66" s="9">
        <v>3545.0970000000002</v>
      </c>
      <c r="P66" s="9">
        <v>7916.0360000000001</v>
      </c>
      <c r="Q66" s="9"/>
      <c r="T66" s="9"/>
      <c r="U66" s="9"/>
      <c r="V66" s="9"/>
    </row>
    <row r="67" spans="1:78" x14ac:dyDescent="0.25">
      <c r="A67" s="14">
        <v>2010</v>
      </c>
      <c r="C67" s="9">
        <v>890</v>
      </c>
      <c r="E67" s="9"/>
      <c r="F67" s="9"/>
      <c r="G67" s="9"/>
      <c r="H67" s="9"/>
      <c r="I67" s="9"/>
      <c r="J67" s="9"/>
      <c r="N67" s="9">
        <v>16209.016</v>
      </c>
      <c r="O67" s="9">
        <v>3590.511</v>
      </c>
      <c r="P67" s="9">
        <v>8608.8940000000002</v>
      </c>
      <c r="Q67" s="9">
        <v>26554.400000000001</v>
      </c>
      <c r="T67" s="9"/>
      <c r="U67" s="9"/>
      <c r="V67" s="9"/>
    </row>
    <row r="68" spans="1:78" x14ac:dyDescent="0.25">
      <c r="A68" s="14">
        <v>2011</v>
      </c>
      <c r="C68" s="9">
        <v>1047</v>
      </c>
      <c r="E68" s="9"/>
      <c r="F68" s="9"/>
      <c r="G68" s="9"/>
      <c r="H68" s="9"/>
      <c r="I68" s="9"/>
      <c r="J68" s="9"/>
      <c r="N68" s="9">
        <v>16997.707999999999</v>
      </c>
      <c r="O68" s="9">
        <v>3382.9360000000001</v>
      </c>
      <c r="P68" s="9">
        <v>7898.2659999999996</v>
      </c>
      <c r="Q68" s="9">
        <v>22244.739000000001</v>
      </c>
      <c r="T68" s="9"/>
      <c r="U68" s="9"/>
      <c r="V68" s="9"/>
    </row>
    <row r="69" spans="1:78" x14ac:dyDescent="0.25">
      <c r="A69" s="14">
        <v>2012</v>
      </c>
      <c r="C69" s="9">
        <v>855</v>
      </c>
      <c r="E69" s="9"/>
      <c r="F69" s="9"/>
      <c r="G69" s="9"/>
      <c r="H69" s="9"/>
      <c r="I69" s="9"/>
      <c r="J69" s="9"/>
      <c r="N69" s="9">
        <v>16424.399000000001</v>
      </c>
      <c r="O69" s="9">
        <v>3165.2840000000001</v>
      </c>
      <c r="P69" s="9">
        <v>7359.2659999999996</v>
      </c>
      <c r="Q69" s="9">
        <v>21980</v>
      </c>
      <c r="T69" s="9"/>
      <c r="U69" s="9"/>
      <c r="V69" s="9"/>
    </row>
    <row r="70" spans="1:78" x14ac:dyDescent="0.25">
      <c r="A70" s="14">
        <v>2013</v>
      </c>
      <c r="C70" s="9">
        <v>778</v>
      </c>
      <c r="E70" s="9"/>
      <c r="F70" s="9"/>
      <c r="G70" s="9"/>
      <c r="H70" s="9"/>
      <c r="I70" s="9"/>
      <c r="J70" s="9"/>
      <c r="N70" s="9">
        <v>15763.493</v>
      </c>
      <c r="O70" s="9">
        <v>2912.5160000000001</v>
      </c>
      <c r="P70" s="9">
        <v>7375.4610000000002</v>
      </c>
      <c r="Q70" s="9">
        <v>18334</v>
      </c>
      <c r="T70" s="9"/>
      <c r="U70" s="9"/>
      <c r="V70" s="9"/>
    </row>
    <row r="71" spans="1:78" x14ac:dyDescent="0.25">
      <c r="A71" s="14">
        <v>2014</v>
      </c>
      <c r="E71" s="9"/>
      <c r="F71" s="9"/>
      <c r="G71" s="9"/>
      <c r="H71" s="9"/>
      <c r="I71" s="9"/>
      <c r="J71" s="9"/>
      <c r="N71" s="9">
        <v>15000.332</v>
      </c>
      <c r="O71" s="9">
        <v>3030.4780000000001</v>
      </c>
      <c r="P71" s="9">
        <v>7512.5110000000004</v>
      </c>
      <c r="Q71" s="9">
        <v>22740.079000000002</v>
      </c>
      <c r="T71" s="9"/>
      <c r="U71" s="9"/>
      <c r="V71" s="9"/>
    </row>
    <row r="72" spans="1:78" x14ac:dyDescent="0.25">
      <c r="A72" s="14">
        <v>2015</v>
      </c>
      <c r="E72" s="9"/>
      <c r="F72" s="9"/>
      <c r="G72" s="9"/>
      <c r="H72" s="9"/>
      <c r="I72" s="9"/>
      <c r="J72" s="9"/>
      <c r="N72" s="9">
        <v>15062.705</v>
      </c>
      <c r="O72" s="9">
        <v>2946.95</v>
      </c>
      <c r="P72" s="9">
        <v>7231.2049999999999</v>
      </c>
      <c r="Q72" s="9">
        <v>17104.144</v>
      </c>
      <c r="T72" s="9"/>
      <c r="U72" s="9"/>
      <c r="V72" s="9"/>
    </row>
    <row r="73" spans="1:78" x14ac:dyDescent="0.25">
      <c r="A73" s="14">
        <v>2016</v>
      </c>
      <c r="E73" s="9"/>
      <c r="F73" s="9"/>
      <c r="G73" s="9"/>
      <c r="H73" s="9"/>
      <c r="I73" s="9"/>
      <c r="J73" s="9"/>
      <c r="N73" s="9">
        <v>15192.061</v>
      </c>
      <c r="O73" s="9">
        <v>2905.9459999999999</v>
      </c>
      <c r="P73" s="9">
        <v>7396.1270000000004</v>
      </c>
      <c r="Q73" s="9">
        <v>18703.665000000001</v>
      </c>
      <c r="T73" s="9"/>
      <c r="U73" s="9"/>
      <c r="V73" s="9"/>
    </row>
    <row r="74" spans="1:78" x14ac:dyDescent="0.25">
      <c r="A74" s="14">
        <v>2017</v>
      </c>
      <c r="E74" s="9"/>
      <c r="F74" s="9"/>
      <c r="G74" s="9"/>
      <c r="H74" s="9"/>
      <c r="I74" s="9"/>
      <c r="J74" s="9"/>
      <c r="N74" s="9">
        <v>15696.879000000001</v>
      </c>
      <c r="O74" s="9">
        <v>3006.424</v>
      </c>
      <c r="P74" s="9">
        <v>8425.2070000000003</v>
      </c>
      <c r="Q74" s="9">
        <v>18505.227999999999</v>
      </c>
      <c r="T74" s="9"/>
      <c r="U74" s="9"/>
      <c r="V74" s="9"/>
    </row>
    <row r="75" spans="1:78" x14ac:dyDescent="0.25">
      <c r="A75" s="14">
        <v>2018</v>
      </c>
      <c r="E75" s="9"/>
      <c r="F75" s="9"/>
      <c r="G75" s="9"/>
      <c r="H75" s="9"/>
      <c r="I75" s="9"/>
      <c r="J75" s="9"/>
      <c r="N75" s="9">
        <v>16462.59</v>
      </c>
      <c r="O75" s="9">
        <v>2697.125</v>
      </c>
      <c r="P75" s="9">
        <v>8747.8580000000002</v>
      </c>
      <c r="Q75" s="9">
        <v>18838.415000000001</v>
      </c>
      <c r="T75" s="9"/>
      <c r="U75" s="9"/>
      <c r="V75" s="9"/>
    </row>
    <row r="76" spans="1:78" x14ac:dyDescent="0.25">
      <c r="A76" s="14">
        <v>2019</v>
      </c>
      <c r="E76" s="9"/>
      <c r="F76" s="9"/>
      <c r="G76" s="9"/>
      <c r="H76" s="9"/>
      <c r="I76" s="9"/>
      <c r="J76" s="9"/>
      <c r="N76" s="9">
        <v>17206.73</v>
      </c>
      <c r="O76" s="9">
        <v>2783.1320000000001</v>
      </c>
      <c r="P76" s="9">
        <v>9924.3230000000003</v>
      </c>
      <c r="Q76" s="9">
        <v>19234.415000000001</v>
      </c>
      <c r="T76" s="9"/>
      <c r="U76" s="9"/>
      <c r="V76" s="9"/>
    </row>
    <row r="77" spans="1:78" x14ac:dyDescent="0.25">
      <c r="A77" s="14">
        <v>2020</v>
      </c>
      <c r="E77" s="10"/>
      <c r="F77" s="10"/>
      <c r="G77" s="10"/>
      <c r="H77" s="10"/>
      <c r="I77" s="9"/>
      <c r="J77" s="9"/>
      <c r="K77" s="9"/>
      <c r="L77" s="9"/>
      <c r="N77" s="9"/>
      <c r="T77" s="9"/>
      <c r="U77" s="9"/>
      <c r="V77" s="9"/>
    </row>
    <row r="78" spans="1:78" s="4" customFormat="1" x14ac:dyDescent="0.25">
      <c r="A78" s="13"/>
      <c r="B78" s="9"/>
      <c r="C78" s="9"/>
      <c r="D78" s="9"/>
      <c r="E78" s="10"/>
      <c r="F78" s="10"/>
      <c r="G78" s="10"/>
      <c r="H78" s="10"/>
      <c r="T78" s="9"/>
      <c r="U78" s="9"/>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row>
    <row r="79" spans="1:78" s="4" customFormat="1" x14ac:dyDescent="0.25">
      <c r="A79" s="13"/>
      <c r="B79" s="9"/>
      <c r="C79" s="9"/>
      <c r="D79" s="9"/>
      <c r="U79" s="9"/>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row>
    <row r="80" spans="1:78" s="4" customFormat="1" x14ac:dyDescent="0.25">
      <c r="A80" s="13"/>
      <c r="B80" s="9"/>
      <c r="C80" s="9"/>
      <c r="D80" s="9"/>
      <c r="Q80" s="9"/>
      <c r="T80" s="9"/>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row>
    <row r="81" spans="1:78" x14ac:dyDescent="0.25">
      <c r="Q81" s="9"/>
      <c r="T81" s="9"/>
    </row>
    <row r="82" spans="1:78" x14ac:dyDescent="0.25">
      <c r="Q82" s="9"/>
      <c r="T82" s="9"/>
      <c r="V82" s="38"/>
      <c r="W82" s="39"/>
    </row>
    <row r="83" spans="1:78" x14ac:dyDescent="0.25">
      <c r="Q83" s="9"/>
      <c r="T83" s="9"/>
      <c r="V83" s="38"/>
      <c r="W83" s="39"/>
    </row>
    <row r="84" spans="1:78" x14ac:dyDescent="0.25">
      <c r="Q84" s="9"/>
      <c r="T84" s="9"/>
      <c r="V84" s="38"/>
      <c r="W84" s="39"/>
    </row>
    <row r="85" spans="1:78" x14ac:dyDescent="0.25">
      <c r="Q85" s="9"/>
      <c r="T85" s="9"/>
      <c r="V85" s="38"/>
      <c r="W85" s="39"/>
    </row>
    <row r="86" spans="1:78" x14ac:dyDescent="0.25">
      <c r="Q86" s="9"/>
      <c r="V86" s="38"/>
      <c r="W86" s="39"/>
    </row>
    <row r="87" spans="1:78" s="4" customFormat="1" x14ac:dyDescent="0.25">
      <c r="A87" s="13"/>
      <c r="B87" s="9"/>
      <c r="C87" s="9"/>
      <c r="D87" s="9"/>
      <c r="L87" s="12"/>
      <c r="Q87" s="9"/>
      <c r="V87" s="38"/>
      <c r="W87" s="39"/>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row>
    <row r="88" spans="1:78" s="4" customFormat="1" x14ac:dyDescent="0.25">
      <c r="A88" s="13"/>
      <c r="B88" s="9"/>
      <c r="C88" s="9"/>
      <c r="D88" s="9"/>
      <c r="L88" s="12"/>
      <c r="Q88" s="9"/>
      <c r="T88" s="9"/>
      <c r="V88" s="38"/>
      <c r="W88" s="39"/>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row>
    <row r="89" spans="1:78" x14ac:dyDescent="0.25">
      <c r="Q89" s="9"/>
      <c r="T89" s="9"/>
      <c r="V89" s="38"/>
      <c r="W89" s="39"/>
    </row>
    <row r="90" spans="1:78" x14ac:dyDescent="0.25">
      <c r="Q90" s="9"/>
      <c r="T90" s="9"/>
      <c r="V90" s="38"/>
      <c r="W90" s="39"/>
    </row>
    <row r="91" spans="1:78" x14ac:dyDescent="0.25">
      <c r="Q91" s="9"/>
      <c r="T91" s="9"/>
      <c r="V91" s="38"/>
      <c r="W91" s="39"/>
    </row>
    <row r="92" spans="1:78" x14ac:dyDescent="0.25">
      <c r="Q92" s="9"/>
      <c r="T92" s="9"/>
      <c r="V92" s="38"/>
      <c r="W92" s="39"/>
    </row>
    <row r="93" spans="1:78" x14ac:dyDescent="0.25">
      <c r="Q93" s="9"/>
      <c r="V93" s="38"/>
      <c r="W93" s="39"/>
    </row>
    <row r="94" spans="1:78" x14ac:dyDescent="0.25">
      <c r="Q94" s="9"/>
      <c r="T94" s="9"/>
      <c r="V94" s="38"/>
      <c r="W94" s="39"/>
    </row>
    <row r="95" spans="1:78" x14ac:dyDescent="0.25">
      <c r="Q95" s="9"/>
      <c r="T95" s="9"/>
      <c r="V95" s="38"/>
      <c r="W95" s="39"/>
    </row>
    <row r="96" spans="1:78" x14ac:dyDescent="0.25">
      <c r="Q96" s="9"/>
      <c r="T96" s="9"/>
      <c r="V96" s="38"/>
      <c r="W96" s="39"/>
    </row>
    <row r="97" spans="17:23" x14ac:dyDescent="0.25">
      <c r="Q97" s="9"/>
      <c r="T97" s="9"/>
      <c r="V97" s="38"/>
      <c r="W97" s="39"/>
    </row>
    <row r="98" spans="17:23" x14ac:dyDescent="0.25">
      <c r="Q98" s="9"/>
      <c r="T98" s="9"/>
      <c r="V98" s="38"/>
      <c r="W98" s="39"/>
    </row>
    <row r="99" spans="17:23" x14ac:dyDescent="0.25">
      <c r="Q99" s="9"/>
      <c r="T99" s="9"/>
      <c r="V99" s="38"/>
      <c r="W99" s="39"/>
    </row>
    <row r="100" spans="17:23" x14ac:dyDescent="0.25">
      <c r="Q100" s="9"/>
      <c r="T100" s="9"/>
      <c r="V100" s="38"/>
      <c r="W100" s="39"/>
    </row>
    <row r="101" spans="17:23" x14ac:dyDescent="0.25">
      <c r="Q101" s="9"/>
      <c r="T101" s="9"/>
      <c r="V101" s="38"/>
      <c r="W101" s="39"/>
    </row>
    <row r="102" spans="17:23" x14ac:dyDescent="0.25">
      <c r="Q102" s="9"/>
      <c r="T102" s="9"/>
      <c r="V102" s="38"/>
      <c r="W102" s="39"/>
    </row>
    <row r="103" spans="17:23" x14ac:dyDescent="0.25">
      <c r="Q103" s="9"/>
      <c r="T103" s="9"/>
      <c r="V103" s="38"/>
      <c r="W103" s="39"/>
    </row>
    <row r="104" spans="17:23" x14ac:dyDescent="0.25">
      <c r="R104" s="9"/>
      <c r="T104" s="9"/>
      <c r="V104" s="38"/>
      <c r="W104" s="39"/>
    </row>
    <row r="105" spans="17:23" x14ac:dyDescent="0.25">
      <c r="R105" s="9"/>
      <c r="T105" s="9"/>
      <c r="V105" s="38"/>
      <c r="W105" s="39"/>
    </row>
    <row r="106" spans="17:23" x14ac:dyDescent="0.25">
      <c r="U106" s="9"/>
      <c r="V106" s="38"/>
      <c r="W106" s="39"/>
    </row>
    <row r="107" spans="17:23" x14ac:dyDescent="0.25">
      <c r="V107"/>
    </row>
    <row r="108" spans="17:23" x14ac:dyDescent="0.25">
      <c r="V108"/>
    </row>
    <row r="109" spans="17:23" x14ac:dyDescent="0.25">
      <c r="V109"/>
    </row>
    <row r="110" spans="17:23" x14ac:dyDescent="0.25">
      <c r="V110"/>
    </row>
    <row r="111" spans="17:23" x14ac:dyDescent="0.25">
      <c r="V111"/>
    </row>
    <row r="112" spans="17:23" x14ac:dyDescent="0.25">
      <c r="V112"/>
    </row>
    <row r="113" spans="22:22" x14ac:dyDescent="0.25">
      <c r="V113"/>
    </row>
    <row r="114" spans="22:22" x14ac:dyDescent="0.25">
      <c r="V114"/>
    </row>
    <row r="115" spans="22:22" x14ac:dyDescent="0.25">
      <c r="V115"/>
    </row>
    <row r="116" spans="22:22" x14ac:dyDescent="0.25">
      <c r="V116"/>
    </row>
    <row r="117" spans="22:22" x14ac:dyDescent="0.25">
      <c r="V117"/>
    </row>
    <row r="118" spans="22:22" x14ac:dyDescent="0.25">
      <c r="V118"/>
    </row>
    <row r="119" spans="22:22" x14ac:dyDescent="0.25">
      <c r="V119"/>
    </row>
    <row r="120" spans="22:22" x14ac:dyDescent="0.25">
      <c r="V120"/>
    </row>
    <row r="121" spans="22:22" x14ac:dyDescent="0.25">
      <c r="V121"/>
    </row>
    <row r="122" spans="22:22" x14ac:dyDescent="0.25">
      <c r="V122"/>
    </row>
    <row r="123" spans="22:22" x14ac:dyDescent="0.25">
      <c r="V123"/>
    </row>
    <row r="124" spans="22:22" x14ac:dyDescent="0.25">
      <c r="V124"/>
    </row>
    <row r="125" spans="22:22" x14ac:dyDescent="0.25">
      <c r="V125"/>
    </row>
    <row r="126" spans="22:22" x14ac:dyDescent="0.25">
      <c r="V126"/>
    </row>
    <row r="127" spans="22:22" x14ac:dyDescent="0.25">
      <c r="V127"/>
    </row>
    <row r="128" spans="22:22" x14ac:dyDescent="0.25">
      <c r="V128"/>
    </row>
    <row r="129" spans="22:22" x14ac:dyDescent="0.25">
      <c r="V129"/>
    </row>
    <row r="130" spans="22:22" x14ac:dyDescent="0.25">
      <c r="V130"/>
    </row>
    <row r="131" spans="22:22" x14ac:dyDescent="0.25">
      <c r="V131"/>
    </row>
    <row r="132" spans="22:22" x14ac:dyDescent="0.25">
      <c r="V132"/>
    </row>
    <row r="133" spans="22:22" x14ac:dyDescent="0.25">
      <c r="V133"/>
    </row>
    <row r="134" spans="22:22" x14ac:dyDescent="0.25">
      <c r="V134"/>
    </row>
    <row r="135" spans="22:22" x14ac:dyDescent="0.25">
      <c r="V135"/>
    </row>
    <row r="136" spans="22:22" x14ac:dyDescent="0.25">
      <c r="V136"/>
    </row>
    <row r="137" spans="22:22" x14ac:dyDescent="0.25">
      <c r="V137"/>
    </row>
    <row r="138" spans="22:22" x14ac:dyDescent="0.25">
      <c r="V138"/>
    </row>
    <row r="139" spans="22:22" x14ac:dyDescent="0.25">
      <c r="V139"/>
    </row>
    <row r="140" spans="22:22" x14ac:dyDescent="0.25">
      <c r="V140"/>
    </row>
    <row r="141" spans="22:22" x14ac:dyDescent="0.25">
      <c r="V141"/>
    </row>
    <row r="142" spans="22:22" x14ac:dyDescent="0.25">
      <c r="V142"/>
    </row>
    <row r="143" spans="22:22" x14ac:dyDescent="0.25">
      <c r="V143"/>
    </row>
    <row r="144" spans="22:22" x14ac:dyDescent="0.25">
      <c r="V144"/>
    </row>
    <row r="145" spans="22:22" x14ac:dyDescent="0.25">
      <c r="V145"/>
    </row>
    <row r="146" spans="22:22" x14ac:dyDescent="0.25">
      <c r="V146"/>
    </row>
    <row r="147" spans="22:22" x14ac:dyDescent="0.25">
      <c r="V147"/>
    </row>
    <row r="148" spans="22:22" x14ac:dyDescent="0.25">
      <c r="V148"/>
    </row>
    <row r="149" spans="22:22" x14ac:dyDescent="0.25">
      <c r="V149"/>
    </row>
    <row r="150" spans="22:22" x14ac:dyDescent="0.25">
      <c r="V150"/>
    </row>
    <row r="151" spans="22:22" x14ac:dyDescent="0.25">
      <c r="V151"/>
    </row>
    <row r="152" spans="22:22" x14ac:dyDescent="0.25">
      <c r="V152"/>
    </row>
    <row r="153" spans="22:22" x14ac:dyDescent="0.25">
      <c r="V153"/>
    </row>
    <row r="154" spans="22:22" x14ac:dyDescent="0.25">
      <c r="V154"/>
    </row>
    <row r="155" spans="22:22" x14ac:dyDescent="0.25">
      <c r="V155"/>
    </row>
    <row r="156" spans="22:22" x14ac:dyDescent="0.25">
      <c r="V156"/>
    </row>
    <row r="157" spans="22:22" x14ac:dyDescent="0.25">
      <c r="V157"/>
    </row>
    <row r="158" spans="22:22" x14ac:dyDescent="0.25">
      <c r="V158"/>
    </row>
    <row r="159" spans="22:22" x14ac:dyDescent="0.25">
      <c r="V159"/>
    </row>
    <row r="160" spans="22:22" x14ac:dyDescent="0.25">
      <c r="V160"/>
    </row>
    <row r="161" spans="22:22" x14ac:dyDescent="0.25">
      <c r="V161"/>
    </row>
    <row r="162" spans="22:22" x14ac:dyDescent="0.25">
      <c r="V162"/>
    </row>
    <row r="163" spans="22:22" x14ac:dyDescent="0.25">
      <c r="V163"/>
    </row>
    <row r="164" spans="22:22" x14ac:dyDescent="0.25">
      <c r="V164"/>
    </row>
    <row r="165" spans="22:22" x14ac:dyDescent="0.25">
      <c r="V165"/>
    </row>
    <row r="166" spans="22:22" x14ac:dyDescent="0.25">
      <c r="V166"/>
    </row>
    <row r="167" spans="22:22" x14ac:dyDescent="0.25">
      <c r="V167"/>
    </row>
    <row r="168" spans="22:22" x14ac:dyDescent="0.25">
      <c r="V168"/>
    </row>
    <row r="169" spans="22:22" x14ac:dyDescent="0.25">
      <c r="V169"/>
    </row>
    <row r="170" spans="22:22" x14ac:dyDescent="0.25">
      <c r="V170"/>
    </row>
    <row r="171" spans="22:22" x14ac:dyDescent="0.25">
      <c r="V171"/>
    </row>
    <row r="172" spans="22:22" x14ac:dyDescent="0.25">
      <c r="V172"/>
    </row>
    <row r="173" spans="22:22" x14ac:dyDescent="0.25">
      <c r="V173"/>
    </row>
    <row r="174" spans="22:22" x14ac:dyDescent="0.25">
      <c r="V174"/>
    </row>
    <row r="175" spans="22:22" x14ac:dyDescent="0.25">
      <c r="V175"/>
    </row>
    <row r="176" spans="22:22" x14ac:dyDescent="0.25">
      <c r="V176"/>
    </row>
    <row r="177" spans="22:22" x14ac:dyDescent="0.25">
      <c r="V177"/>
    </row>
    <row r="178" spans="22:22" x14ac:dyDescent="0.25">
      <c r="V178"/>
    </row>
    <row r="179" spans="22:22" x14ac:dyDescent="0.25">
      <c r="V179"/>
    </row>
    <row r="180" spans="22:22" x14ac:dyDescent="0.25">
      <c r="V180"/>
    </row>
    <row r="181" spans="22:22" x14ac:dyDescent="0.25">
      <c r="V18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R88"/>
  <sheetViews>
    <sheetView topLeftCell="A37" zoomScale="70" zoomScaleNormal="70" workbookViewId="0">
      <selection activeCell="B55" sqref="B55"/>
    </sheetView>
  </sheetViews>
  <sheetFormatPr defaultColWidth="10.7109375" defaultRowHeight="15" x14ac:dyDescent="0.25"/>
  <cols>
    <col min="1" max="1" width="10" style="2" customWidth="1"/>
    <col min="2" max="6" width="26.85546875" style="6" customWidth="1"/>
    <col min="7" max="16384" width="10.7109375" style="6"/>
  </cols>
  <sheetData>
    <row r="1" spans="1:6" s="72" customFormat="1" ht="30" x14ac:dyDescent="0.25">
      <c r="A1" s="40" t="s">
        <v>0</v>
      </c>
      <c r="B1" s="5" t="s">
        <v>5</v>
      </c>
      <c r="C1" s="71" t="s">
        <v>6</v>
      </c>
      <c r="D1" s="5" t="s">
        <v>11</v>
      </c>
      <c r="E1" s="5" t="s">
        <v>10</v>
      </c>
      <c r="F1" s="5" t="s">
        <v>50</v>
      </c>
    </row>
    <row r="2" spans="1:6" s="1" customFormat="1" x14ac:dyDescent="0.25">
      <c r="A2" s="14">
        <v>1945</v>
      </c>
    </row>
    <row r="3" spans="1:6" s="1" customFormat="1" x14ac:dyDescent="0.25">
      <c r="A3" s="14">
        <v>1946</v>
      </c>
    </row>
    <row r="4" spans="1:6" s="1" customFormat="1" x14ac:dyDescent="0.25">
      <c r="A4" s="14">
        <v>1947</v>
      </c>
    </row>
    <row r="5" spans="1:6" s="1" customFormat="1" x14ac:dyDescent="0.25">
      <c r="A5" s="14">
        <v>1948</v>
      </c>
    </row>
    <row r="6" spans="1:6" s="1" customFormat="1" x14ac:dyDescent="0.25">
      <c r="A6" s="14">
        <v>1949</v>
      </c>
    </row>
    <row r="7" spans="1:6" s="1" customFormat="1" x14ac:dyDescent="0.25">
      <c r="A7" s="14">
        <v>1950</v>
      </c>
    </row>
    <row r="8" spans="1:6" s="1" customFormat="1" x14ac:dyDescent="0.25">
      <c r="A8" s="14">
        <v>1951</v>
      </c>
    </row>
    <row r="9" spans="1:6" s="1" customFormat="1" x14ac:dyDescent="0.25">
      <c r="A9" s="14">
        <v>1952</v>
      </c>
      <c r="B9" s="8">
        <v>1.1479999999999999</v>
      </c>
    </row>
    <row r="10" spans="1:6" s="1" customFormat="1" x14ac:dyDescent="0.25">
      <c r="A10" s="14">
        <v>1953</v>
      </c>
      <c r="B10" s="8">
        <v>1.133</v>
      </c>
    </row>
    <row r="11" spans="1:6" s="1" customFormat="1" x14ac:dyDescent="0.25">
      <c r="A11" s="14">
        <v>1954</v>
      </c>
      <c r="B11" s="8">
        <v>10.706</v>
      </c>
    </row>
    <row r="12" spans="1:6" s="1" customFormat="1" x14ac:dyDescent="0.25">
      <c r="A12" s="14">
        <v>1955</v>
      </c>
      <c r="B12" s="8">
        <v>12.1</v>
      </c>
    </row>
    <row r="13" spans="1:6" s="1" customFormat="1" x14ac:dyDescent="0.25">
      <c r="A13" s="14">
        <v>1956</v>
      </c>
    </row>
    <row r="14" spans="1:6" s="1" customFormat="1" x14ac:dyDescent="0.25">
      <c r="A14" s="14">
        <v>1957</v>
      </c>
    </row>
    <row r="15" spans="1:6" s="1" customFormat="1" x14ac:dyDescent="0.25">
      <c r="A15" s="14">
        <v>1958</v>
      </c>
    </row>
    <row r="16" spans="1:6" s="1" customFormat="1" x14ac:dyDescent="0.25">
      <c r="A16" s="14">
        <v>1959</v>
      </c>
    </row>
    <row r="17" spans="1:2" s="1" customFormat="1" x14ac:dyDescent="0.25">
      <c r="A17" s="14">
        <v>1960</v>
      </c>
    </row>
    <row r="18" spans="1:2" s="1" customFormat="1" x14ac:dyDescent="0.25">
      <c r="A18" s="14">
        <v>1961</v>
      </c>
    </row>
    <row r="19" spans="1:2" s="1" customFormat="1" x14ac:dyDescent="0.25">
      <c r="A19" s="14">
        <v>1962</v>
      </c>
      <c r="B19" s="29">
        <v>16.399999999999999</v>
      </c>
    </row>
    <row r="20" spans="1:2" s="1" customFormat="1" x14ac:dyDescent="0.25">
      <c r="A20" s="14">
        <v>1963</v>
      </c>
      <c r="B20" s="8"/>
    </row>
    <row r="21" spans="1:2" s="1" customFormat="1" x14ac:dyDescent="0.25">
      <c r="A21" s="14">
        <v>1964</v>
      </c>
      <c r="B21" s="8"/>
    </row>
    <row r="22" spans="1:2" s="1" customFormat="1" x14ac:dyDescent="0.25">
      <c r="A22" s="14">
        <v>1965</v>
      </c>
      <c r="B22" s="8"/>
    </row>
    <row r="23" spans="1:2" s="1" customFormat="1" x14ac:dyDescent="0.25">
      <c r="A23" s="14">
        <v>1966</v>
      </c>
      <c r="B23" s="29">
        <v>34.299999999999997</v>
      </c>
    </row>
    <row r="24" spans="1:2" s="1" customFormat="1" x14ac:dyDescent="0.25">
      <c r="A24" s="14">
        <v>1967</v>
      </c>
      <c r="B24" s="8"/>
    </row>
    <row r="25" spans="1:2" s="1" customFormat="1" x14ac:dyDescent="0.25">
      <c r="A25" s="14">
        <v>1968</v>
      </c>
      <c r="B25" s="29">
        <v>60.3</v>
      </c>
    </row>
    <row r="26" spans="1:2" s="1" customFormat="1" x14ac:dyDescent="0.25">
      <c r="A26" s="14">
        <v>1969</v>
      </c>
    </row>
    <row r="27" spans="1:2" s="1" customFormat="1" x14ac:dyDescent="0.25">
      <c r="A27" s="14">
        <v>1970</v>
      </c>
    </row>
    <row r="28" spans="1:2" s="1" customFormat="1" x14ac:dyDescent="0.25">
      <c r="A28" s="14">
        <v>1971</v>
      </c>
    </row>
    <row r="29" spans="1:2" s="1" customFormat="1" x14ac:dyDescent="0.25">
      <c r="A29" s="14">
        <v>1972</v>
      </c>
    </row>
    <row r="30" spans="1:2" s="1" customFormat="1" x14ac:dyDescent="0.25">
      <c r="A30" s="14">
        <v>1973</v>
      </c>
    </row>
    <row r="31" spans="1:2" s="1" customFormat="1" x14ac:dyDescent="0.25">
      <c r="A31" s="14">
        <v>1974</v>
      </c>
    </row>
    <row r="32" spans="1:2" s="1" customFormat="1" x14ac:dyDescent="0.25">
      <c r="A32" s="14">
        <v>1975</v>
      </c>
    </row>
    <row r="33" spans="1:1" s="1" customFormat="1" x14ac:dyDescent="0.25">
      <c r="A33" s="14">
        <v>1976</v>
      </c>
    </row>
    <row r="34" spans="1:1" s="1" customFormat="1" x14ac:dyDescent="0.25">
      <c r="A34" s="14">
        <v>1977</v>
      </c>
    </row>
    <row r="35" spans="1:1" s="1" customFormat="1" x14ac:dyDescent="0.25">
      <c r="A35" s="14">
        <v>1978</v>
      </c>
    </row>
    <row r="36" spans="1:1" s="1" customFormat="1" x14ac:dyDescent="0.25">
      <c r="A36" s="14">
        <v>1979</v>
      </c>
    </row>
    <row r="37" spans="1:1" s="1" customFormat="1" x14ac:dyDescent="0.25">
      <c r="A37" s="14">
        <v>1980</v>
      </c>
    </row>
    <row r="38" spans="1:1" s="1" customFormat="1" x14ac:dyDescent="0.25">
      <c r="A38" s="14">
        <v>1981</v>
      </c>
    </row>
    <row r="39" spans="1:1" s="1" customFormat="1" x14ac:dyDescent="0.25">
      <c r="A39" s="14">
        <v>1982</v>
      </c>
    </row>
    <row r="40" spans="1:1" s="1" customFormat="1" x14ac:dyDescent="0.25">
      <c r="A40" s="14">
        <v>1983</v>
      </c>
    </row>
    <row r="41" spans="1:1" s="1" customFormat="1" x14ac:dyDescent="0.25">
      <c r="A41" s="14">
        <v>1984</v>
      </c>
    </row>
    <row r="42" spans="1:1" s="1" customFormat="1" x14ac:dyDescent="0.25">
      <c r="A42" s="14">
        <v>1985</v>
      </c>
    </row>
    <row r="43" spans="1:1" s="1" customFormat="1" x14ac:dyDescent="0.25">
      <c r="A43" s="14">
        <v>1986</v>
      </c>
    </row>
    <row r="44" spans="1:1" s="1" customFormat="1" x14ac:dyDescent="0.25">
      <c r="A44" s="14">
        <v>1987</v>
      </c>
    </row>
    <row r="45" spans="1:1" s="1" customFormat="1" x14ac:dyDescent="0.25">
      <c r="A45" s="14">
        <v>1988</v>
      </c>
    </row>
    <row r="46" spans="1:1" s="1" customFormat="1" x14ac:dyDescent="0.25">
      <c r="A46" s="14">
        <v>1989</v>
      </c>
    </row>
    <row r="47" spans="1:1" s="1" customFormat="1" x14ac:dyDescent="0.25">
      <c r="A47" s="14">
        <v>1990</v>
      </c>
    </row>
    <row r="48" spans="1:1" s="1" customFormat="1" x14ac:dyDescent="0.25">
      <c r="A48" s="14">
        <v>1991</v>
      </c>
    </row>
    <row r="49" spans="1:6" s="1" customFormat="1" x14ac:dyDescent="0.25">
      <c r="A49" s="14">
        <v>1992</v>
      </c>
    </row>
    <row r="50" spans="1:6" s="1" customFormat="1" x14ac:dyDescent="0.25">
      <c r="A50" s="14">
        <v>1993</v>
      </c>
    </row>
    <row r="51" spans="1:6" s="1" customFormat="1" x14ac:dyDescent="0.25">
      <c r="A51" s="14">
        <v>1994</v>
      </c>
    </row>
    <row r="52" spans="1:6" s="1" customFormat="1" x14ac:dyDescent="0.25">
      <c r="A52" s="14">
        <v>1995</v>
      </c>
      <c r="C52" s="9">
        <v>3342.9110000000001</v>
      </c>
      <c r="D52" s="9">
        <v>1118.7159999999999</v>
      </c>
      <c r="E52" s="9">
        <v>1011.47</v>
      </c>
    </row>
    <row r="53" spans="1:6" s="1" customFormat="1" x14ac:dyDescent="0.25">
      <c r="A53" s="14">
        <v>1996</v>
      </c>
      <c r="B53" s="8">
        <f>34.119+13.615+318.491+72.092+14.557</f>
        <v>452.87399999999997</v>
      </c>
      <c r="C53" s="9">
        <v>1260.895</v>
      </c>
      <c r="D53" s="9">
        <v>1189.998</v>
      </c>
      <c r="E53" s="9">
        <v>1004.845</v>
      </c>
      <c r="F53" s="9">
        <v>2784.5149999999999</v>
      </c>
    </row>
    <row r="54" spans="1:6" s="1" customFormat="1" x14ac:dyDescent="0.25">
      <c r="A54" s="14">
        <v>1997</v>
      </c>
      <c r="C54" s="9">
        <v>907.14300000000003</v>
      </c>
      <c r="D54" s="9">
        <v>1785.8679999999999</v>
      </c>
      <c r="E54" s="9">
        <v>805.77300000000002</v>
      </c>
      <c r="F54" s="9">
        <v>2963.442</v>
      </c>
    </row>
    <row r="55" spans="1:6" s="1" customFormat="1" x14ac:dyDescent="0.25">
      <c r="A55" s="14">
        <v>1998</v>
      </c>
      <c r="C55" s="9">
        <v>905.85</v>
      </c>
      <c r="D55" s="9">
        <v>2802.2809999999999</v>
      </c>
      <c r="E55" s="9">
        <v>921.94200000000001</v>
      </c>
      <c r="F55" s="9">
        <v>2466.5990000000002</v>
      </c>
    </row>
    <row r="56" spans="1:6" s="1" customFormat="1" x14ac:dyDescent="0.25">
      <c r="A56" s="14">
        <v>1999</v>
      </c>
      <c r="C56" s="9">
        <v>1316.0060000000001</v>
      </c>
      <c r="D56" s="9">
        <v>3123.2429999999999</v>
      </c>
      <c r="E56" s="9">
        <v>1182.327</v>
      </c>
      <c r="F56" s="9">
        <v>1875.9639999999999</v>
      </c>
    </row>
    <row r="57" spans="1:6" s="1" customFormat="1" x14ac:dyDescent="0.25">
      <c r="A57" s="14">
        <v>2000</v>
      </c>
      <c r="C57" s="9">
        <v>1522.134</v>
      </c>
      <c r="D57" s="9">
        <v>3855.817</v>
      </c>
      <c r="E57" s="9">
        <v>1221.732</v>
      </c>
      <c r="F57" s="9">
        <v>1870.4659999999999</v>
      </c>
    </row>
    <row r="58" spans="1:6" s="1" customFormat="1" x14ac:dyDescent="0.25">
      <c r="A58" s="14">
        <v>2001</v>
      </c>
      <c r="C58" s="9">
        <v>1334.1020000000001</v>
      </c>
      <c r="D58" s="9">
        <v>3597.0790000000002</v>
      </c>
      <c r="E58" s="9">
        <v>1316.9829999999999</v>
      </c>
      <c r="F58" s="9">
        <v>2695.3890000000001</v>
      </c>
    </row>
    <row r="59" spans="1:6" s="1" customFormat="1" x14ac:dyDescent="0.25">
      <c r="A59" s="14">
        <v>2002</v>
      </c>
      <c r="C59" s="9">
        <v>1448.894</v>
      </c>
      <c r="D59" s="9">
        <v>3548.6179999999999</v>
      </c>
      <c r="E59" s="9">
        <v>1368.0340000000001</v>
      </c>
      <c r="F59" s="9">
        <v>3039.223</v>
      </c>
    </row>
    <row r="60" spans="1:6" s="1" customFormat="1" x14ac:dyDescent="0.25">
      <c r="A60" s="14">
        <v>2003</v>
      </c>
      <c r="C60" s="9">
        <v>1797.1279999999999</v>
      </c>
      <c r="D60" s="9">
        <v>3896.3139999999999</v>
      </c>
      <c r="E60" s="9">
        <v>1194.9259999999999</v>
      </c>
      <c r="F60" s="9">
        <v>3882.6909999999998</v>
      </c>
    </row>
    <row r="61" spans="1:6" s="1" customFormat="1" x14ac:dyDescent="0.25">
      <c r="A61" s="14">
        <v>2004</v>
      </c>
      <c r="C61" s="9">
        <v>1249.3679999999999</v>
      </c>
      <c r="D61" s="9">
        <v>4279.7560000000003</v>
      </c>
      <c r="E61" s="9">
        <v>1320.597</v>
      </c>
      <c r="F61" s="9">
        <v>3659.049</v>
      </c>
    </row>
    <row r="62" spans="1:6" s="1" customFormat="1" x14ac:dyDescent="0.25">
      <c r="A62" s="14">
        <v>2005</v>
      </c>
      <c r="C62" s="9">
        <v>1161.8030000000001</v>
      </c>
      <c r="D62" s="9">
        <v>4499.4750000000004</v>
      </c>
      <c r="E62" s="9">
        <v>4045.0520000000001</v>
      </c>
      <c r="F62" s="9">
        <v>4483.7669999999998</v>
      </c>
    </row>
    <row r="63" spans="1:6" s="1" customFormat="1" x14ac:dyDescent="0.25">
      <c r="A63" s="14">
        <v>2006</v>
      </c>
      <c r="C63" s="9">
        <v>1276.7460000000001</v>
      </c>
      <c r="D63" s="9">
        <v>5367.95</v>
      </c>
      <c r="E63" s="9">
        <v>2544.9380000000001</v>
      </c>
      <c r="F63" s="9">
        <v>5951.0630000000001</v>
      </c>
    </row>
    <row r="64" spans="1:6" s="1" customFormat="1" x14ac:dyDescent="0.25">
      <c r="A64" s="14">
        <v>2007</v>
      </c>
      <c r="C64" s="9">
        <v>1605.365</v>
      </c>
      <c r="D64" s="9">
        <v>5439.1580000000004</v>
      </c>
      <c r="E64" s="9">
        <v>2970.2950000000001</v>
      </c>
      <c r="F64" s="9">
        <v>6146.1189999999997</v>
      </c>
    </row>
    <row r="65" spans="1:70" s="1" customFormat="1" x14ac:dyDescent="0.25">
      <c r="A65" s="14">
        <v>2008</v>
      </c>
      <c r="C65" s="9">
        <v>1534.673</v>
      </c>
      <c r="D65" s="9">
        <v>6083.4660000000003</v>
      </c>
      <c r="E65" s="9">
        <v>2929.0509999999999</v>
      </c>
      <c r="F65" s="9">
        <v>6952.1270000000004</v>
      </c>
    </row>
    <row r="66" spans="1:70" s="1" customFormat="1" x14ac:dyDescent="0.25">
      <c r="A66" s="14">
        <v>2009</v>
      </c>
      <c r="C66" s="9">
        <v>1130.6949999999999</v>
      </c>
      <c r="D66" s="9">
        <v>6320.268</v>
      </c>
      <c r="E66" s="9">
        <v>2827.9140000000002</v>
      </c>
      <c r="F66" s="9">
        <v>6910.9979999999996</v>
      </c>
    </row>
    <row r="67" spans="1:70" s="1" customFormat="1" x14ac:dyDescent="0.25">
      <c r="A67" s="14">
        <v>2010</v>
      </c>
      <c r="C67" s="9">
        <v>1329.6479999999999</v>
      </c>
      <c r="D67" s="9">
        <v>6139.7550000000001</v>
      </c>
      <c r="E67" s="9">
        <v>3815.7809999999999</v>
      </c>
      <c r="F67" s="9">
        <v>7344.2380000000003</v>
      </c>
    </row>
    <row r="68" spans="1:70" s="1" customFormat="1" x14ac:dyDescent="0.25">
      <c r="A68" s="14">
        <v>2011</v>
      </c>
      <c r="C68" s="9">
        <v>952.46199999999999</v>
      </c>
      <c r="D68" s="9">
        <v>6475.9620000000004</v>
      </c>
      <c r="E68" s="9">
        <v>3164.152</v>
      </c>
      <c r="F68" s="9">
        <v>7317.8469999999998</v>
      </c>
    </row>
    <row r="69" spans="1:70" s="1" customFormat="1" x14ac:dyDescent="0.25">
      <c r="A69" s="14">
        <v>2012</v>
      </c>
      <c r="C69" s="9">
        <v>628.72500000000002</v>
      </c>
      <c r="D69" s="9">
        <v>6033.143</v>
      </c>
      <c r="E69" s="9">
        <v>3120.951</v>
      </c>
      <c r="F69" s="9">
        <v>5640.6170000000002</v>
      </c>
    </row>
    <row r="70" spans="1:70" s="1" customFormat="1" x14ac:dyDescent="0.25">
      <c r="A70" s="14">
        <v>2013</v>
      </c>
      <c r="C70" s="9">
        <v>627.096</v>
      </c>
      <c r="D70" s="9">
        <v>5448.9610000000002</v>
      </c>
      <c r="E70" s="9">
        <v>4281.59</v>
      </c>
      <c r="F70" s="9">
        <v>7345.0559999999996</v>
      </c>
    </row>
    <row r="71" spans="1:70" s="1" customFormat="1" x14ac:dyDescent="0.25">
      <c r="A71" s="14">
        <v>2014</v>
      </c>
      <c r="C71" s="9">
        <v>555.11800000000005</v>
      </c>
      <c r="D71" s="9">
        <v>6543.2629999999999</v>
      </c>
      <c r="E71" s="9">
        <v>4083.29</v>
      </c>
      <c r="F71" s="9">
        <v>7129.8689999999997</v>
      </c>
    </row>
    <row r="72" spans="1:70" s="1" customFormat="1" x14ac:dyDescent="0.25">
      <c r="A72" s="14">
        <v>2015</v>
      </c>
      <c r="C72" s="9">
        <v>387.24</v>
      </c>
      <c r="D72" s="9">
        <v>6003.8149999999996</v>
      </c>
      <c r="E72" s="9">
        <v>3810.8760000000002</v>
      </c>
      <c r="F72" s="9">
        <v>5698.5159999999996</v>
      </c>
    </row>
    <row r="73" spans="1:70" s="1" customFormat="1" x14ac:dyDescent="0.25">
      <c r="A73" s="14">
        <v>2016</v>
      </c>
      <c r="C73" s="9">
        <v>346.61599999999999</v>
      </c>
      <c r="D73" s="9">
        <v>5906.2629999999999</v>
      </c>
      <c r="E73" s="9">
        <v>3707.34</v>
      </c>
      <c r="F73" s="9">
        <v>7545.7790000000005</v>
      </c>
    </row>
    <row r="74" spans="1:70" s="1" customFormat="1" x14ac:dyDescent="0.25">
      <c r="A74" s="14">
        <v>2017</v>
      </c>
      <c r="C74" s="9">
        <v>321.06</v>
      </c>
      <c r="D74" s="9">
        <v>6355.4480000000003</v>
      </c>
      <c r="E74" s="9">
        <v>5335.55</v>
      </c>
      <c r="F74" s="9">
        <v>8565.5609999999997</v>
      </c>
    </row>
    <row r="75" spans="1:70" s="1" customFormat="1" x14ac:dyDescent="0.25">
      <c r="A75" s="14">
        <v>2018</v>
      </c>
      <c r="C75" s="9">
        <v>437.02</v>
      </c>
      <c r="D75" s="9">
        <v>7094.33</v>
      </c>
      <c r="E75" s="9">
        <v>7508.4030000000002</v>
      </c>
      <c r="F75" s="9">
        <v>6976.6779999999999</v>
      </c>
    </row>
    <row r="76" spans="1:70" s="1" customFormat="1" x14ac:dyDescent="0.25">
      <c r="A76" s="14">
        <v>2019</v>
      </c>
      <c r="C76" s="9">
        <v>413.42700000000002</v>
      </c>
      <c r="D76" s="9">
        <v>10045.366</v>
      </c>
      <c r="E76" s="9">
        <v>8350.3739999999998</v>
      </c>
      <c r="F76" s="9">
        <v>5947.47</v>
      </c>
    </row>
    <row r="77" spans="1:70" s="1" customFormat="1" x14ac:dyDescent="0.25">
      <c r="A77" s="14">
        <v>2020</v>
      </c>
    </row>
    <row r="78" spans="1:70"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row>
    <row r="79" spans="1:70"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row>
    <row r="80" spans="1:70"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row>
    <row r="87" spans="1:70"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row>
    <row r="88" spans="1:70"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Q88"/>
  <sheetViews>
    <sheetView zoomScale="83" zoomScaleNormal="70" workbookViewId="0">
      <pane xSplit="1" ySplit="1" topLeftCell="B44" activePane="bottomRight" state="frozen"/>
      <selection pane="topRight" activeCell="B1" sqref="B1"/>
      <selection pane="bottomLeft" activeCell="A2" sqref="A2"/>
      <selection pane="bottomRight" activeCell="G6" sqref="G6"/>
    </sheetView>
  </sheetViews>
  <sheetFormatPr defaultColWidth="10.7109375" defaultRowHeight="15" x14ac:dyDescent="0.25"/>
  <cols>
    <col min="1" max="1" width="9.28515625" style="13" customWidth="1"/>
    <col min="2" max="4" width="20.7109375" style="8" customWidth="1"/>
    <col min="5" max="7" width="20.7109375" style="6" customWidth="1"/>
    <col min="8" max="16384" width="10.7109375" style="6"/>
  </cols>
  <sheetData>
    <row r="1" spans="1:7" s="41" customFormat="1" ht="45" x14ac:dyDescent="0.25">
      <c r="A1" s="40" t="s">
        <v>0</v>
      </c>
      <c r="B1" s="5" t="s">
        <v>5</v>
      </c>
      <c r="C1" s="5" t="s">
        <v>9</v>
      </c>
      <c r="D1" s="71" t="s">
        <v>6</v>
      </c>
      <c r="E1" s="5" t="s">
        <v>11</v>
      </c>
      <c r="F1" s="5" t="s">
        <v>10</v>
      </c>
      <c r="G1" s="5" t="s">
        <v>50</v>
      </c>
    </row>
    <row r="2" spans="1:7" x14ac:dyDescent="0.25">
      <c r="A2" s="14">
        <v>1945</v>
      </c>
      <c r="C2" s="9"/>
    </row>
    <row r="3" spans="1:7" x14ac:dyDescent="0.25">
      <c r="A3" s="14">
        <v>1946</v>
      </c>
      <c r="C3" s="9"/>
    </row>
    <row r="4" spans="1:7" x14ac:dyDescent="0.25">
      <c r="A4" s="14">
        <v>1947</v>
      </c>
      <c r="C4" s="9"/>
    </row>
    <row r="5" spans="1:7" x14ac:dyDescent="0.25">
      <c r="A5" s="14">
        <v>1948</v>
      </c>
      <c r="C5" s="9"/>
    </row>
    <row r="6" spans="1:7" x14ac:dyDescent="0.25">
      <c r="A6" s="14">
        <v>1949</v>
      </c>
      <c r="C6" s="9"/>
    </row>
    <row r="7" spans="1:7" x14ac:dyDescent="0.25">
      <c r="A7" s="14">
        <v>1950</v>
      </c>
      <c r="B7" s="8">
        <f>43.23+12.37</f>
        <v>55.599999999999994</v>
      </c>
      <c r="C7" s="9"/>
    </row>
    <row r="8" spans="1:7" x14ac:dyDescent="0.25">
      <c r="A8" s="14">
        <v>1951</v>
      </c>
      <c r="C8" s="9"/>
    </row>
    <row r="9" spans="1:7" x14ac:dyDescent="0.25">
      <c r="A9" s="14">
        <v>1952</v>
      </c>
      <c r="B9" s="8">
        <f>27.994+23.667</f>
        <v>51.661000000000001</v>
      </c>
      <c r="C9" s="9"/>
    </row>
    <row r="10" spans="1:7" x14ac:dyDescent="0.25">
      <c r="A10" s="14">
        <v>1953</v>
      </c>
      <c r="B10" s="8">
        <f>29.552+25.651</f>
        <v>55.203000000000003</v>
      </c>
      <c r="C10" s="9"/>
    </row>
    <row r="11" spans="1:7" x14ac:dyDescent="0.25">
      <c r="A11" s="14">
        <v>1954</v>
      </c>
      <c r="B11" s="8">
        <f>28.502+23.427</f>
        <v>51.929000000000002</v>
      </c>
      <c r="C11" s="9"/>
    </row>
    <row r="12" spans="1:7" x14ac:dyDescent="0.25">
      <c r="A12" s="14">
        <v>1955</v>
      </c>
      <c r="B12" s="8">
        <v>51.9</v>
      </c>
      <c r="C12" s="9"/>
    </row>
    <row r="13" spans="1:7" x14ac:dyDescent="0.25">
      <c r="A13" s="14">
        <v>1956</v>
      </c>
      <c r="B13" s="9"/>
      <c r="C13" s="9"/>
    </row>
    <row r="14" spans="1:7" x14ac:dyDescent="0.25">
      <c r="A14" s="14">
        <v>1957</v>
      </c>
      <c r="B14" s="8">
        <f>13.5/100*356.245</f>
        <v>48.093075000000006</v>
      </c>
      <c r="C14" s="9"/>
    </row>
    <row r="15" spans="1:7" x14ac:dyDescent="0.25">
      <c r="A15" s="14">
        <v>1958</v>
      </c>
      <c r="C15" s="9"/>
    </row>
    <row r="16" spans="1:7" x14ac:dyDescent="0.25">
      <c r="A16" s="14">
        <v>1959</v>
      </c>
      <c r="C16" s="9"/>
    </row>
    <row r="17" spans="1:3" x14ac:dyDescent="0.25">
      <c r="A17" s="14">
        <v>1960</v>
      </c>
      <c r="C17" s="9"/>
    </row>
    <row r="18" spans="1:3" x14ac:dyDescent="0.25">
      <c r="A18" s="14">
        <v>1961</v>
      </c>
      <c r="C18" s="9"/>
    </row>
    <row r="19" spans="1:3" x14ac:dyDescent="0.25">
      <c r="A19" s="14">
        <v>1962</v>
      </c>
      <c r="B19" s="29">
        <v>142.80000000000001</v>
      </c>
      <c r="C19" s="9"/>
    </row>
    <row r="20" spans="1:3" x14ac:dyDescent="0.25">
      <c r="A20" s="14">
        <v>1963</v>
      </c>
      <c r="C20" s="9"/>
    </row>
    <row r="21" spans="1:3" x14ac:dyDescent="0.25">
      <c r="A21" s="14">
        <v>1964</v>
      </c>
      <c r="C21" s="9"/>
    </row>
    <row r="22" spans="1:3" x14ac:dyDescent="0.25">
      <c r="A22" s="14">
        <v>1965</v>
      </c>
      <c r="C22" s="9"/>
    </row>
    <row r="23" spans="1:3" x14ac:dyDescent="0.25">
      <c r="A23" s="14">
        <v>1966</v>
      </c>
      <c r="B23" s="29">
        <v>137.1</v>
      </c>
      <c r="C23" s="9"/>
    </row>
    <row r="24" spans="1:3" x14ac:dyDescent="0.25">
      <c r="A24" s="14">
        <v>1967</v>
      </c>
      <c r="C24" s="9"/>
    </row>
    <row r="25" spans="1:3" x14ac:dyDescent="0.25">
      <c r="A25" s="14">
        <v>1968</v>
      </c>
      <c r="B25" s="29">
        <v>159</v>
      </c>
      <c r="C25" s="9"/>
    </row>
    <row r="26" spans="1:3" x14ac:dyDescent="0.25">
      <c r="A26" s="14">
        <v>1969</v>
      </c>
      <c r="C26" s="9"/>
    </row>
    <row r="27" spans="1:3" x14ac:dyDescent="0.25">
      <c r="A27" s="14">
        <v>1970</v>
      </c>
      <c r="C27" s="9"/>
    </row>
    <row r="28" spans="1:3" x14ac:dyDescent="0.25">
      <c r="A28" s="14">
        <v>1971</v>
      </c>
      <c r="C28" s="9"/>
    </row>
    <row r="29" spans="1:3" x14ac:dyDescent="0.25">
      <c r="A29" s="14">
        <v>1972</v>
      </c>
      <c r="C29" s="9"/>
    </row>
    <row r="30" spans="1:3" x14ac:dyDescent="0.25">
      <c r="A30" s="14">
        <v>1973</v>
      </c>
      <c r="C30" s="9"/>
    </row>
    <row r="31" spans="1:3" x14ac:dyDescent="0.25">
      <c r="A31" s="14">
        <v>1974</v>
      </c>
      <c r="C31" s="9"/>
    </row>
    <row r="32" spans="1:3" x14ac:dyDescent="0.25">
      <c r="A32" s="14">
        <v>1975</v>
      </c>
      <c r="C32" s="9"/>
    </row>
    <row r="33" spans="1:4" x14ac:dyDescent="0.25">
      <c r="A33" s="14">
        <v>1976</v>
      </c>
      <c r="C33" s="9"/>
    </row>
    <row r="34" spans="1:4" x14ac:dyDescent="0.25">
      <c r="A34" s="14">
        <v>1977</v>
      </c>
      <c r="C34" s="9"/>
    </row>
    <row r="35" spans="1:4" x14ac:dyDescent="0.25">
      <c r="A35" s="14">
        <v>1978</v>
      </c>
      <c r="C35" s="9"/>
    </row>
    <row r="36" spans="1:4" x14ac:dyDescent="0.25">
      <c r="A36" s="14">
        <v>1979</v>
      </c>
      <c r="C36" s="9"/>
    </row>
    <row r="37" spans="1:4" x14ac:dyDescent="0.25">
      <c r="A37" s="14">
        <v>1980</v>
      </c>
      <c r="C37" s="9"/>
    </row>
    <row r="38" spans="1:4" x14ac:dyDescent="0.25">
      <c r="A38" s="14">
        <v>1981</v>
      </c>
      <c r="C38" s="9"/>
    </row>
    <row r="39" spans="1:4" x14ac:dyDescent="0.25">
      <c r="A39" s="14">
        <v>1982</v>
      </c>
      <c r="C39" s="9"/>
    </row>
    <row r="40" spans="1:4" x14ac:dyDescent="0.25">
      <c r="A40" s="14">
        <v>1983</v>
      </c>
      <c r="C40" s="9"/>
    </row>
    <row r="41" spans="1:4" x14ac:dyDescent="0.25">
      <c r="A41" s="14">
        <v>1984</v>
      </c>
    </row>
    <row r="42" spans="1:4" x14ac:dyDescent="0.25">
      <c r="A42" s="14">
        <v>1985</v>
      </c>
    </row>
    <row r="43" spans="1:4" x14ac:dyDescent="0.25">
      <c r="A43" s="14">
        <v>1986</v>
      </c>
    </row>
    <row r="44" spans="1:4" x14ac:dyDescent="0.25">
      <c r="A44" s="14">
        <v>1987</v>
      </c>
    </row>
    <row r="45" spans="1:4" x14ac:dyDescent="0.25">
      <c r="A45" s="14">
        <v>1988</v>
      </c>
    </row>
    <row r="46" spans="1:4" x14ac:dyDescent="0.25">
      <c r="A46" s="14">
        <v>1989</v>
      </c>
      <c r="C46" s="8">
        <v>44706</v>
      </c>
      <c r="D46" s="8">
        <v>1665</v>
      </c>
    </row>
    <row r="47" spans="1:4" x14ac:dyDescent="0.25">
      <c r="A47" s="14">
        <v>1990</v>
      </c>
      <c r="C47" s="8">
        <v>63405</v>
      </c>
      <c r="D47" s="8">
        <v>2020</v>
      </c>
    </row>
    <row r="48" spans="1:4" x14ac:dyDescent="0.25">
      <c r="A48" s="14">
        <v>1991</v>
      </c>
      <c r="C48" s="8">
        <f>524+52939</f>
        <v>53463</v>
      </c>
      <c r="D48" s="8">
        <v>1528</v>
      </c>
    </row>
    <row r="49" spans="1:7" x14ac:dyDescent="0.25">
      <c r="A49" s="14">
        <v>1992</v>
      </c>
      <c r="C49" s="8">
        <f>678+58555</f>
        <v>59233</v>
      </c>
      <c r="D49" s="8">
        <v>1518</v>
      </c>
    </row>
    <row r="50" spans="1:7" x14ac:dyDescent="0.25">
      <c r="A50" s="14">
        <v>1993</v>
      </c>
      <c r="C50" s="8">
        <f>590+62095</f>
        <v>62685</v>
      </c>
      <c r="D50" s="8">
        <v>1844</v>
      </c>
    </row>
    <row r="51" spans="1:7" x14ac:dyDescent="0.25">
      <c r="A51" s="14">
        <v>1994</v>
      </c>
      <c r="B51" s="8">
        <f>0.191*1900</f>
        <v>362.90000000000003</v>
      </c>
    </row>
    <row r="52" spans="1:7" x14ac:dyDescent="0.25">
      <c r="A52" s="14">
        <v>1995</v>
      </c>
      <c r="D52" s="9">
        <v>685.298</v>
      </c>
      <c r="E52" s="9">
        <v>320.93</v>
      </c>
      <c r="F52" s="9">
        <v>1162.2539999999999</v>
      </c>
    </row>
    <row r="53" spans="1:7" x14ac:dyDescent="0.25">
      <c r="A53" s="14">
        <v>1996</v>
      </c>
      <c r="B53" s="8">
        <f>2.83+5.818+539.536+64.541+13.795</f>
        <v>626.51999999999987</v>
      </c>
      <c r="D53" s="9">
        <v>765.65300000000002</v>
      </c>
      <c r="E53" s="9">
        <v>469.85300000000001</v>
      </c>
      <c r="F53" s="9">
        <v>1171.4590000000001</v>
      </c>
      <c r="G53" s="9">
        <v>8358.1959999999999</v>
      </c>
    </row>
    <row r="54" spans="1:7" x14ac:dyDescent="0.25">
      <c r="A54" s="14">
        <v>1997</v>
      </c>
      <c r="D54" s="9">
        <v>654.58600000000001</v>
      </c>
      <c r="E54" s="9">
        <v>719.23299999999995</v>
      </c>
      <c r="F54" s="9">
        <v>1348.1369999999999</v>
      </c>
      <c r="G54" s="9">
        <v>8556.0049999999992</v>
      </c>
    </row>
    <row r="55" spans="1:7" x14ac:dyDescent="0.25">
      <c r="A55" s="14">
        <v>1998</v>
      </c>
      <c r="D55" s="9">
        <v>469.65499999999997</v>
      </c>
      <c r="E55" s="9">
        <v>1594.3130000000001</v>
      </c>
      <c r="F55" s="9">
        <v>1201.1310000000001</v>
      </c>
      <c r="G55" s="9">
        <v>8184.0649999999996</v>
      </c>
    </row>
    <row r="56" spans="1:7" x14ac:dyDescent="0.25">
      <c r="A56" s="14">
        <v>1999</v>
      </c>
      <c r="D56" s="9">
        <v>281.13200000000001</v>
      </c>
      <c r="E56" s="9">
        <v>1488.356</v>
      </c>
      <c r="F56" s="9">
        <v>1173.105</v>
      </c>
      <c r="G56" s="9">
        <v>4940.4719999999998</v>
      </c>
    </row>
    <row r="57" spans="1:7" x14ac:dyDescent="0.25">
      <c r="A57" s="14">
        <v>2000</v>
      </c>
      <c r="D57" s="9">
        <v>268.596</v>
      </c>
      <c r="E57" s="9">
        <v>949.30399999999997</v>
      </c>
      <c r="F57" s="9">
        <v>1237.885</v>
      </c>
      <c r="G57" s="9">
        <v>4888.8850000000002</v>
      </c>
    </row>
    <row r="58" spans="1:7" x14ac:dyDescent="0.25">
      <c r="A58" s="14">
        <v>2001</v>
      </c>
      <c r="D58" s="9">
        <v>169.071</v>
      </c>
      <c r="E58" s="9">
        <v>470.435</v>
      </c>
      <c r="F58" s="9">
        <v>1432.3889999999999</v>
      </c>
      <c r="G58" s="9">
        <v>4584.5640000000003</v>
      </c>
    </row>
    <row r="59" spans="1:7" x14ac:dyDescent="0.25">
      <c r="A59" s="14">
        <v>2002</v>
      </c>
      <c r="D59" s="9">
        <v>284.79199999999997</v>
      </c>
      <c r="E59" s="9">
        <v>822.06100000000004</v>
      </c>
      <c r="F59" s="9">
        <v>1613.0530000000001</v>
      </c>
      <c r="G59" s="9">
        <v>7137.2579999999998</v>
      </c>
    </row>
    <row r="60" spans="1:7" x14ac:dyDescent="0.25">
      <c r="A60" s="14">
        <v>2003</v>
      </c>
      <c r="B60" s="8">
        <f>0.32*937.14</f>
        <v>299.88479999999998</v>
      </c>
      <c r="D60" s="9">
        <v>317.03800000000001</v>
      </c>
      <c r="E60" s="9">
        <v>642.14</v>
      </c>
      <c r="F60" s="9">
        <v>1662.3869999999999</v>
      </c>
      <c r="G60" s="9">
        <v>8209.3819999999996</v>
      </c>
    </row>
    <row r="61" spans="1:7" x14ac:dyDescent="0.25">
      <c r="A61" s="14">
        <v>2004</v>
      </c>
      <c r="B61" s="8">
        <v>370</v>
      </c>
      <c r="D61" s="9">
        <v>320.613</v>
      </c>
      <c r="E61" s="9">
        <v>688.61400000000003</v>
      </c>
      <c r="F61" s="9">
        <v>1574.7950000000001</v>
      </c>
      <c r="G61" s="9">
        <v>6358.19</v>
      </c>
    </row>
    <row r="62" spans="1:7" x14ac:dyDescent="0.25">
      <c r="A62" s="14">
        <v>2005</v>
      </c>
      <c r="D62" s="9">
        <v>459.02699999999999</v>
      </c>
      <c r="E62" s="9">
        <v>996.48199999999997</v>
      </c>
      <c r="F62" s="9">
        <v>1585.972</v>
      </c>
      <c r="G62" s="9">
        <v>7072.6540000000005</v>
      </c>
    </row>
    <row r="63" spans="1:7" x14ac:dyDescent="0.25">
      <c r="A63" s="14">
        <v>2006</v>
      </c>
      <c r="B63" s="8">
        <f>0.32*1151.222</f>
        <v>368.39103999999998</v>
      </c>
      <c r="D63" s="9">
        <v>497.476</v>
      </c>
      <c r="E63" s="9">
        <v>1451.921</v>
      </c>
      <c r="F63" s="9">
        <v>1912.742</v>
      </c>
      <c r="G63" s="9">
        <v>10086.553</v>
      </c>
    </row>
    <row r="64" spans="1:7" x14ac:dyDescent="0.25">
      <c r="A64" s="14">
        <v>2007</v>
      </c>
      <c r="B64" s="8">
        <f>0.28*1154.847</f>
        <v>323.35716000000002</v>
      </c>
      <c r="D64" s="9">
        <v>459.43</v>
      </c>
      <c r="E64" s="9">
        <v>2011.7090000000001</v>
      </c>
      <c r="F64" s="9">
        <v>2279.8539999999998</v>
      </c>
      <c r="G64" s="9">
        <v>11111.138000000001</v>
      </c>
    </row>
    <row r="65" spans="1:69" x14ac:dyDescent="0.25">
      <c r="A65" s="14">
        <v>2008</v>
      </c>
      <c r="B65" s="8">
        <f>0.36*992.96</f>
        <v>357.46559999999999</v>
      </c>
      <c r="D65" s="9">
        <v>482.06700000000001</v>
      </c>
      <c r="E65" s="9">
        <v>2247.4259999999999</v>
      </c>
      <c r="F65" s="9">
        <v>1850.7639999999999</v>
      </c>
      <c r="G65" s="9">
        <v>11390.635</v>
      </c>
    </row>
    <row r="66" spans="1:69" x14ac:dyDescent="0.25">
      <c r="A66" s="14">
        <v>2009</v>
      </c>
      <c r="D66" s="9">
        <v>415.94900000000001</v>
      </c>
      <c r="E66" s="9">
        <v>2851.9110000000001</v>
      </c>
      <c r="F66" s="9">
        <v>1634.904</v>
      </c>
      <c r="G66" s="9">
        <v>10575.946</v>
      </c>
    </row>
    <row r="67" spans="1:69" x14ac:dyDescent="0.25">
      <c r="A67" s="14">
        <v>2010</v>
      </c>
      <c r="D67" s="9">
        <v>492.572</v>
      </c>
      <c r="E67" s="9">
        <v>3346.4029999999998</v>
      </c>
      <c r="F67" s="9">
        <v>1666.403</v>
      </c>
      <c r="G67" s="9">
        <v>9127.5490000000009</v>
      </c>
    </row>
    <row r="68" spans="1:69" x14ac:dyDescent="0.25">
      <c r="A68" s="14">
        <v>2011</v>
      </c>
      <c r="D68" s="9">
        <v>405.72899999999998</v>
      </c>
      <c r="E68" s="9">
        <v>3783.5909999999999</v>
      </c>
      <c r="F68" s="9">
        <v>1713.635</v>
      </c>
      <c r="G68" s="9">
        <v>14093.241</v>
      </c>
    </row>
    <row r="69" spans="1:69" x14ac:dyDescent="0.25">
      <c r="A69" s="14">
        <v>2012</v>
      </c>
      <c r="D69" s="9">
        <v>429.05399999999997</v>
      </c>
      <c r="E69" s="9">
        <v>2384.326</v>
      </c>
      <c r="F69" s="9">
        <v>2062.5659999999998</v>
      </c>
      <c r="G69" s="9">
        <v>10293.34</v>
      </c>
    </row>
    <row r="70" spans="1:69" x14ac:dyDescent="0.25">
      <c r="A70" s="14">
        <v>2013</v>
      </c>
      <c r="D70" s="9">
        <v>462.90199999999999</v>
      </c>
      <c r="E70" s="9">
        <v>2389.482</v>
      </c>
      <c r="F70" s="9">
        <v>1346.424</v>
      </c>
      <c r="G70" s="9">
        <v>8659.35</v>
      </c>
    </row>
    <row r="71" spans="1:69" x14ac:dyDescent="0.25">
      <c r="A71" s="14">
        <v>2014</v>
      </c>
      <c r="D71" s="9">
        <v>498.60500000000002</v>
      </c>
      <c r="E71" s="9">
        <v>3164.163</v>
      </c>
      <c r="F71" s="9">
        <v>1557.3989999999999</v>
      </c>
      <c r="G71" s="9">
        <v>7399.1779999999999</v>
      </c>
    </row>
    <row r="72" spans="1:69" x14ac:dyDescent="0.25">
      <c r="A72" s="14">
        <v>2015</v>
      </c>
      <c r="D72" s="9">
        <v>476.73</v>
      </c>
      <c r="E72" s="9">
        <v>3996.3409999999999</v>
      </c>
      <c r="F72" s="9">
        <v>1356.471</v>
      </c>
      <c r="G72" s="9">
        <v>6387.3689999999997</v>
      </c>
    </row>
    <row r="73" spans="1:69" x14ac:dyDescent="0.25">
      <c r="A73" s="14">
        <v>2016</v>
      </c>
      <c r="D73" s="9">
        <v>507.42700000000002</v>
      </c>
      <c r="E73" s="9">
        <v>3935.7730000000001</v>
      </c>
      <c r="F73" s="9">
        <v>1874.9659999999999</v>
      </c>
      <c r="G73" s="9">
        <v>6282.6149999999998</v>
      </c>
    </row>
    <row r="74" spans="1:69" x14ac:dyDescent="0.25">
      <c r="A74" s="14">
        <v>2017</v>
      </c>
      <c r="D74" s="9">
        <v>630.41999999999996</v>
      </c>
      <c r="E74" s="9">
        <v>4064.4549999999999</v>
      </c>
      <c r="F74" s="9">
        <v>1724.53</v>
      </c>
      <c r="G74" s="9">
        <v>6541.6959999999999</v>
      </c>
    </row>
    <row r="75" spans="1:69" x14ac:dyDescent="0.25">
      <c r="A75" s="14">
        <v>2018</v>
      </c>
      <c r="D75" s="9">
        <v>651.88099999999997</v>
      </c>
      <c r="E75" s="9">
        <v>4240.027</v>
      </c>
      <c r="F75" s="9">
        <v>2437.5100000000002</v>
      </c>
      <c r="G75" s="9">
        <v>5952.5780000000004</v>
      </c>
    </row>
    <row r="76" spans="1:69" x14ac:dyDescent="0.25">
      <c r="A76" s="14">
        <v>2019</v>
      </c>
      <c r="D76" s="9">
        <v>820.09100000000001</v>
      </c>
      <c r="E76" s="9">
        <v>4533.4740000000002</v>
      </c>
      <c r="F76" s="9">
        <v>1895.3720000000001</v>
      </c>
      <c r="G76" s="9">
        <v>6887.3760000000002</v>
      </c>
    </row>
    <row r="77" spans="1:69" x14ac:dyDescent="0.25">
      <c r="A77" s="14">
        <v>2020</v>
      </c>
    </row>
    <row r="78" spans="1:69" s="4" customFormat="1" x14ac:dyDescent="0.25">
      <c r="A78" s="13"/>
      <c r="B78" s="8"/>
      <c r="C78" s="8"/>
      <c r="D78" s="8"/>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row>
    <row r="79" spans="1:69" s="4" customFormat="1" x14ac:dyDescent="0.25">
      <c r="A79" s="13"/>
      <c r="B79" s="8"/>
      <c r="C79" s="8"/>
      <c r="D79" s="8"/>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row>
    <row r="80" spans="1:69" s="4" customFormat="1" x14ac:dyDescent="0.25">
      <c r="A80" s="13"/>
      <c r="B80" s="8"/>
      <c r="C80" s="8"/>
      <c r="D80" s="8"/>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row>
    <row r="87" spans="1:69" s="4" customFormat="1" x14ac:dyDescent="0.25">
      <c r="A87" s="13"/>
      <c r="B87" s="8"/>
      <c r="C87" s="8"/>
      <c r="D87" s="8"/>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row>
    <row r="88" spans="1:69" s="4" customFormat="1" x14ac:dyDescent="0.25">
      <c r="A88" s="13"/>
      <c r="B88" s="8"/>
      <c r="C88" s="8"/>
      <c r="D88" s="8"/>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C249D-CB63-4815-A44D-2958DA1F3320}">
  <dimension ref="A1:BS88"/>
  <sheetViews>
    <sheetView zoomScale="61" zoomScaleNormal="100" workbookViewId="0">
      <selection activeCell="D11" sqref="D11"/>
    </sheetView>
  </sheetViews>
  <sheetFormatPr defaultColWidth="10.7109375" defaultRowHeight="15" x14ac:dyDescent="0.25"/>
  <cols>
    <col min="1" max="1" width="9.42578125" style="13" customWidth="1"/>
    <col min="2" max="2" width="17.85546875" style="8" bestFit="1" customWidth="1"/>
    <col min="3" max="3" width="24.28515625" style="8" bestFit="1" customWidth="1"/>
    <col min="4" max="4" width="27.28515625" style="6" bestFit="1" customWidth="1"/>
    <col min="5" max="16384" width="10.7109375" style="6"/>
  </cols>
  <sheetData>
    <row r="1" spans="1:9" s="18" customFormat="1" ht="30" x14ac:dyDescent="0.25">
      <c r="A1" s="20" t="s">
        <v>0</v>
      </c>
      <c r="B1" s="5" t="s">
        <v>16</v>
      </c>
      <c r="C1" s="5" t="s">
        <v>44</v>
      </c>
      <c r="D1" s="5" t="s">
        <v>45</v>
      </c>
      <c r="E1" s="6"/>
      <c r="F1" s="6"/>
      <c r="G1" s="6"/>
      <c r="H1" s="6"/>
      <c r="I1" s="6"/>
    </row>
    <row r="2" spans="1:9" x14ac:dyDescent="0.25">
      <c r="A2" s="14">
        <v>1945</v>
      </c>
    </row>
    <row r="3" spans="1:9" x14ac:dyDescent="0.25">
      <c r="A3" s="14">
        <v>1946</v>
      </c>
      <c r="B3" s="9">
        <v>6600</v>
      </c>
    </row>
    <row r="4" spans="1:9" x14ac:dyDescent="0.25">
      <c r="A4" s="14">
        <v>1947</v>
      </c>
      <c r="B4" s="9">
        <v>6700</v>
      </c>
    </row>
    <row r="5" spans="1:9" x14ac:dyDescent="0.25">
      <c r="A5" s="14">
        <v>1948</v>
      </c>
      <c r="B5" s="9">
        <v>6800</v>
      </c>
    </row>
    <row r="6" spans="1:9" x14ac:dyDescent="0.25">
      <c r="A6" s="14">
        <v>1949</v>
      </c>
      <c r="B6" s="9">
        <v>5600</v>
      </c>
    </row>
    <row r="7" spans="1:9" x14ac:dyDescent="0.25">
      <c r="A7" s="14">
        <v>1950</v>
      </c>
      <c r="B7" s="9">
        <v>5500</v>
      </c>
    </row>
    <row r="8" spans="1:9" x14ac:dyDescent="0.25">
      <c r="A8" s="14">
        <v>1951</v>
      </c>
      <c r="B8" s="9">
        <v>6200</v>
      </c>
    </row>
    <row r="9" spans="1:9" x14ac:dyDescent="0.25">
      <c r="A9" s="14">
        <v>1952</v>
      </c>
      <c r="B9" s="9">
        <v>5500</v>
      </c>
    </row>
    <row r="10" spans="1:9" x14ac:dyDescent="0.25">
      <c r="A10" s="14">
        <v>1953</v>
      </c>
      <c r="B10" s="8">
        <v>6542</v>
      </c>
    </row>
    <row r="11" spans="1:9" x14ac:dyDescent="0.25">
      <c r="A11" s="14">
        <v>1954</v>
      </c>
      <c r="B11" s="8">
        <v>6858</v>
      </c>
    </row>
    <row r="12" spans="1:9" x14ac:dyDescent="0.25">
      <c r="A12" s="14">
        <v>1955</v>
      </c>
      <c r="B12" s="8">
        <v>7575</v>
      </c>
    </row>
    <row r="13" spans="1:9" x14ac:dyDescent="0.25">
      <c r="A13" s="14">
        <v>1956</v>
      </c>
      <c r="B13" s="8">
        <v>8232</v>
      </c>
    </row>
    <row r="14" spans="1:9" x14ac:dyDescent="0.25">
      <c r="A14" s="14">
        <v>1957</v>
      </c>
      <c r="B14" s="8">
        <v>8705</v>
      </c>
    </row>
    <row r="15" spans="1:9" x14ac:dyDescent="0.25">
      <c r="A15" s="14">
        <v>1958</v>
      </c>
      <c r="B15" s="8">
        <v>9314</v>
      </c>
    </row>
    <row r="16" spans="1:9" x14ac:dyDescent="0.25">
      <c r="A16" s="14">
        <v>1959</v>
      </c>
      <c r="B16" s="8">
        <v>10086</v>
      </c>
    </row>
    <row r="17" spans="1:2" x14ac:dyDescent="0.25">
      <c r="A17" s="14">
        <v>1960</v>
      </c>
      <c r="B17" s="8">
        <v>10572</v>
      </c>
    </row>
    <row r="18" spans="1:2" x14ac:dyDescent="0.25">
      <c r="A18" s="14">
        <v>1961</v>
      </c>
      <c r="B18" s="8">
        <v>10817</v>
      </c>
    </row>
    <row r="19" spans="1:2" x14ac:dyDescent="0.25">
      <c r="A19" s="14">
        <v>1962</v>
      </c>
      <c r="B19" s="8">
        <v>11402</v>
      </c>
    </row>
    <row r="20" spans="1:2" x14ac:dyDescent="0.25">
      <c r="A20" s="14">
        <v>1963</v>
      </c>
      <c r="B20" s="8">
        <v>11705</v>
      </c>
    </row>
    <row r="21" spans="1:2" x14ac:dyDescent="0.25">
      <c r="A21" s="14">
        <v>1964</v>
      </c>
      <c r="B21" s="8">
        <v>11883</v>
      </c>
    </row>
    <row r="22" spans="1:2" x14ac:dyDescent="0.25">
      <c r="A22" s="14">
        <v>1965</v>
      </c>
      <c r="B22" s="8">
        <v>12288</v>
      </c>
    </row>
    <row r="23" spans="1:2" x14ac:dyDescent="0.25">
      <c r="A23" s="14">
        <v>1966</v>
      </c>
      <c r="B23" s="8">
        <v>12214</v>
      </c>
    </row>
    <row r="24" spans="1:2" x14ac:dyDescent="0.25">
      <c r="A24" s="14">
        <v>1967</v>
      </c>
    </row>
    <row r="25" spans="1:2" x14ac:dyDescent="0.25">
      <c r="A25" s="14">
        <v>1968</v>
      </c>
    </row>
    <row r="26" spans="1:2" x14ac:dyDescent="0.25">
      <c r="A26" s="14">
        <v>1969</v>
      </c>
      <c r="B26" s="8">
        <v>12785</v>
      </c>
    </row>
    <row r="27" spans="1:2" x14ac:dyDescent="0.25">
      <c r="A27" s="14">
        <v>1970</v>
      </c>
      <c r="B27" s="8">
        <v>13401</v>
      </c>
    </row>
    <row r="28" spans="1:2" x14ac:dyDescent="0.25">
      <c r="A28" s="14">
        <v>1971</v>
      </c>
      <c r="B28" s="8">
        <v>14282</v>
      </c>
    </row>
    <row r="29" spans="1:2" x14ac:dyDescent="0.25">
      <c r="A29" s="14">
        <v>1972</v>
      </c>
      <c r="B29" s="8">
        <v>15109</v>
      </c>
    </row>
    <row r="30" spans="1:2" x14ac:dyDescent="0.25">
      <c r="A30" s="14">
        <v>1973</v>
      </c>
      <c r="B30" s="8">
        <v>14989</v>
      </c>
    </row>
    <row r="31" spans="1:2" x14ac:dyDescent="0.25">
      <c r="A31" s="14">
        <v>1974</v>
      </c>
    </row>
    <row r="32" spans="1:2" x14ac:dyDescent="0.25">
      <c r="A32" s="14">
        <v>1975</v>
      </c>
    </row>
    <row r="33" spans="1:2" x14ac:dyDescent="0.25">
      <c r="A33" s="14">
        <v>1976</v>
      </c>
    </row>
    <row r="34" spans="1:2" x14ac:dyDescent="0.25">
      <c r="A34" s="14">
        <v>1977</v>
      </c>
    </row>
    <row r="35" spans="1:2" x14ac:dyDescent="0.25">
      <c r="A35" s="14">
        <v>1978</v>
      </c>
    </row>
    <row r="36" spans="1:2" x14ac:dyDescent="0.25">
      <c r="A36" s="14">
        <v>1979</v>
      </c>
    </row>
    <row r="37" spans="1:2" x14ac:dyDescent="0.25">
      <c r="A37" s="14">
        <v>1980</v>
      </c>
    </row>
    <row r="38" spans="1:2" x14ac:dyDescent="0.25">
      <c r="A38" s="14">
        <v>1981</v>
      </c>
    </row>
    <row r="39" spans="1:2" x14ac:dyDescent="0.25">
      <c r="A39" s="14">
        <v>1982</v>
      </c>
    </row>
    <row r="40" spans="1:2" x14ac:dyDescent="0.25">
      <c r="A40" s="14">
        <v>1983</v>
      </c>
    </row>
    <row r="41" spans="1:2" x14ac:dyDescent="0.25">
      <c r="A41" s="14">
        <v>1984</v>
      </c>
      <c r="B41" s="8">
        <v>14550</v>
      </c>
    </row>
    <row r="42" spans="1:2" x14ac:dyDescent="0.25">
      <c r="A42" s="14">
        <v>1985</v>
      </c>
    </row>
    <row r="43" spans="1:2" x14ac:dyDescent="0.25">
      <c r="A43" s="14">
        <v>1986</v>
      </c>
    </row>
    <row r="44" spans="1:2" x14ac:dyDescent="0.25">
      <c r="A44" s="14">
        <v>1987</v>
      </c>
    </row>
    <row r="45" spans="1:2" x14ac:dyDescent="0.25">
      <c r="A45" s="14">
        <v>1988</v>
      </c>
      <c r="B45" s="8">
        <v>12225</v>
      </c>
    </row>
    <row r="46" spans="1:2" x14ac:dyDescent="0.25">
      <c r="A46" s="14">
        <v>1989</v>
      </c>
    </row>
    <row r="47" spans="1:2" x14ac:dyDescent="0.25">
      <c r="A47" s="14">
        <v>1990</v>
      </c>
    </row>
    <row r="48" spans="1:2" x14ac:dyDescent="0.25">
      <c r="A48" s="14">
        <v>1991</v>
      </c>
    </row>
    <row r="49" spans="1:4" x14ac:dyDescent="0.25">
      <c r="A49" s="14">
        <v>1992</v>
      </c>
    </row>
    <row r="50" spans="1:4" x14ac:dyDescent="0.25">
      <c r="A50" s="14">
        <v>1993</v>
      </c>
    </row>
    <row r="51" spans="1:4" x14ac:dyDescent="0.25">
      <c r="A51" s="14">
        <v>1994</v>
      </c>
    </row>
    <row r="52" spans="1:4" x14ac:dyDescent="0.25">
      <c r="A52" s="14">
        <v>1995</v>
      </c>
      <c r="C52" s="8">
        <v>2334</v>
      </c>
      <c r="D52" s="8">
        <v>8866</v>
      </c>
    </row>
    <row r="53" spans="1:4" x14ac:dyDescent="0.25">
      <c r="A53" s="14">
        <v>1996</v>
      </c>
      <c r="C53" s="8">
        <v>4454</v>
      </c>
    </row>
    <row r="54" spans="1:4" x14ac:dyDescent="0.25">
      <c r="A54" s="14">
        <v>1997</v>
      </c>
    </row>
    <row r="55" spans="1:4" x14ac:dyDescent="0.25">
      <c r="A55" s="14">
        <v>1998</v>
      </c>
    </row>
    <row r="56" spans="1:4" x14ac:dyDescent="0.25">
      <c r="A56" s="14">
        <v>1999</v>
      </c>
    </row>
    <row r="57" spans="1:4" x14ac:dyDescent="0.25">
      <c r="A57" s="14">
        <v>2000</v>
      </c>
      <c r="C57" s="8">
        <v>2971</v>
      </c>
      <c r="D57" s="8">
        <v>10222</v>
      </c>
    </row>
    <row r="58" spans="1:4" x14ac:dyDescent="0.25">
      <c r="A58" s="14">
        <v>2001</v>
      </c>
      <c r="C58" s="8">
        <v>2902</v>
      </c>
      <c r="D58" s="8">
        <v>10006</v>
      </c>
    </row>
    <row r="59" spans="1:4" x14ac:dyDescent="0.25">
      <c r="A59" s="14">
        <v>2002</v>
      </c>
    </row>
    <row r="60" spans="1:4" x14ac:dyDescent="0.25">
      <c r="A60" s="14">
        <v>2003</v>
      </c>
    </row>
    <row r="61" spans="1:4" x14ac:dyDescent="0.25">
      <c r="A61" s="14">
        <v>2004</v>
      </c>
    </row>
    <row r="62" spans="1:4" x14ac:dyDescent="0.25">
      <c r="A62" s="14">
        <v>2005</v>
      </c>
      <c r="C62" s="8">
        <v>2996</v>
      </c>
    </row>
    <row r="63" spans="1:4" x14ac:dyDescent="0.25">
      <c r="A63" s="14">
        <v>2006</v>
      </c>
    </row>
    <row r="64" spans="1:4" x14ac:dyDescent="0.25">
      <c r="A64" s="14">
        <v>2007</v>
      </c>
      <c r="C64" s="8">
        <v>2792</v>
      </c>
      <c r="D64" s="8">
        <v>9526</v>
      </c>
    </row>
    <row r="65" spans="1:71" x14ac:dyDescent="0.25">
      <c r="A65" s="14">
        <v>2008</v>
      </c>
      <c r="C65" s="8">
        <v>3258</v>
      </c>
    </row>
    <row r="66" spans="1:71" x14ac:dyDescent="0.25">
      <c r="A66" s="14">
        <v>2009</v>
      </c>
    </row>
    <row r="67" spans="1:71" x14ac:dyDescent="0.25">
      <c r="A67" s="14">
        <v>2010</v>
      </c>
    </row>
    <row r="68" spans="1:71" x14ac:dyDescent="0.25">
      <c r="A68" s="14">
        <v>2011</v>
      </c>
    </row>
    <row r="69" spans="1:71" x14ac:dyDescent="0.25">
      <c r="A69" s="14">
        <v>2012</v>
      </c>
    </row>
    <row r="70" spans="1:71" x14ac:dyDescent="0.25">
      <c r="A70" s="14">
        <v>2013</v>
      </c>
      <c r="C70" s="8">
        <v>2890</v>
      </c>
    </row>
    <row r="71" spans="1:71" x14ac:dyDescent="0.25">
      <c r="A71" s="14">
        <v>2014</v>
      </c>
    </row>
    <row r="72" spans="1:71" x14ac:dyDescent="0.25">
      <c r="A72" s="14">
        <v>2015</v>
      </c>
    </row>
    <row r="73" spans="1:71" x14ac:dyDescent="0.25">
      <c r="A73" s="14">
        <v>2016</v>
      </c>
    </row>
    <row r="74" spans="1:71" x14ac:dyDescent="0.25">
      <c r="A74" s="14">
        <v>2017</v>
      </c>
    </row>
    <row r="75" spans="1:71" x14ac:dyDescent="0.25">
      <c r="A75" s="14">
        <v>2018</v>
      </c>
    </row>
    <row r="76" spans="1:71" x14ac:dyDescent="0.25">
      <c r="A76" s="14">
        <v>2019</v>
      </c>
    </row>
    <row r="77" spans="1:71" x14ac:dyDescent="0.25">
      <c r="A77" s="14">
        <v>2020</v>
      </c>
    </row>
    <row r="78" spans="1:71" s="4" customFormat="1" x14ac:dyDescent="0.25">
      <c r="A78" s="13"/>
      <c r="B78" s="8"/>
      <c r="C78" s="8"/>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row>
    <row r="79" spans="1:71" s="4" customFormat="1" x14ac:dyDescent="0.25">
      <c r="A79" s="13"/>
      <c r="B79" s="8"/>
      <c r="C79" s="8"/>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row>
    <row r="80" spans="1:71" s="4" customFormat="1" x14ac:dyDescent="0.25">
      <c r="A80" s="13"/>
      <c r="B80" s="8"/>
      <c r="C80" s="8"/>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row>
    <row r="87" spans="1:71" s="4" customFormat="1" x14ac:dyDescent="0.25">
      <c r="A87" s="13"/>
      <c r="B87" s="8"/>
      <c r="C87" s="8"/>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row>
    <row r="88" spans="1:71" s="4" customFormat="1" x14ac:dyDescent="0.25">
      <c r="A88" s="13"/>
      <c r="B88" s="8"/>
      <c r="C88" s="8"/>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8785-7BD6-4303-80A8-3E47198F6C24}">
  <dimension ref="A1:BW88"/>
  <sheetViews>
    <sheetView zoomScale="80" zoomScaleNormal="100" workbookViewId="0">
      <pane xSplit="1" ySplit="1" topLeftCell="F2" activePane="bottomRight" state="frozen"/>
      <selection pane="topRight" activeCell="B1" sqref="B1"/>
      <selection pane="bottomLeft" activeCell="A2" sqref="A2"/>
      <selection pane="bottomRight" activeCell="K27" sqref="K27:L27"/>
    </sheetView>
  </sheetViews>
  <sheetFormatPr defaultColWidth="10.7109375" defaultRowHeight="15" x14ac:dyDescent="0.25"/>
  <cols>
    <col min="1" max="1" width="5.85546875" style="13" bestFit="1" customWidth="1"/>
    <col min="2" max="5" width="20" style="6" customWidth="1"/>
    <col min="6" max="6" width="21" style="6" customWidth="1"/>
    <col min="7" max="9" width="20" style="6" customWidth="1"/>
    <col min="10" max="10" width="4.42578125" style="35" customWidth="1"/>
    <col min="11" max="13" width="20" style="6" customWidth="1"/>
    <col min="14" max="16384" width="10.7109375" style="6"/>
  </cols>
  <sheetData>
    <row r="1" spans="1:13" s="18" customFormat="1" x14ac:dyDescent="0.25">
      <c r="A1" s="20" t="s">
        <v>0</v>
      </c>
      <c r="B1" s="5" t="s">
        <v>24</v>
      </c>
      <c r="C1" s="5" t="s">
        <v>25</v>
      </c>
      <c r="D1" s="5" t="s">
        <v>17</v>
      </c>
      <c r="E1" s="5" t="s">
        <v>18</v>
      </c>
      <c r="F1" s="5" t="s">
        <v>28</v>
      </c>
      <c r="G1" s="5" t="s">
        <v>19</v>
      </c>
      <c r="H1" s="5" t="s">
        <v>20</v>
      </c>
      <c r="I1" s="5" t="s">
        <v>27</v>
      </c>
      <c r="J1" s="32"/>
      <c r="K1" s="5" t="s">
        <v>21</v>
      </c>
      <c r="L1" s="5" t="s">
        <v>22</v>
      </c>
      <c r="M1" s="5" t="s">
        <v>23</v>
      </c>
    </row>
    <row r="2" spans="1:13" x14ac:dyDescent="0.25">
      <c r="A2" s="14">
        <v>1945</v>
      </c>
      <c r="B2" s="21">
        <f>6.17/15-C2</f>
        <v>5.8666666666666645E-2</v>
      </c>
      <c r="C2" s="21">
        <f>5.29/15</f>
        <v>0.35266666666666668</v>
      </c>
      <c r="D2" s="21">
        <f>8.12/15</f>
        <v>0.54133333333333333</v>
      </c>
      <c r="E2" s="21">
        <f>2.68/15</f>
        <v>0.17866666666666667</v>
      </c>
      <c r="F2" s="21">
        <f>0.24/15</f>
        <v>1.6E-2</v>
      </c>
      <c r="G2" s="24">
        <f>1.46/15</f>
        <v>9.7333333333333327E-2</v>
      </c>
      <c r="H2" s="6">
        <f>1.62/15</f>
        <v>0.10800000000000001</v>
      </c>
      <c r="I2" s="24">
        <f>0.41/15</f>
        <v>2.7333333333333331E-2</v>
      </c>
      <c r="J2" s="33"/>
      <c r="K2" s="19"/>
      <c r="L2" s="19"/>
      <c r="M2" s="21"/>
    </row>
    <row r="3" spans="1:13" x14ac:dyDescent="0.25">
      <c r="A3" s="14">
        <v>1946</v>
      </c>
      <c r="B3" s="21">
        <f t="shared" ref="B3:B22" si="0">6.17/15-C3</f>
        <v>5.8666666666666645E-2</v>
      </c>
      <c r="C3" s="21">
        <f t="shared" ref="C3:C22" si="1">5.29/15</f>
        <v>0.35266666666666668</v>
      </c>
      <c r="D3" s="21">
        <f t="shared" ref="D3:D22" si="2">8.12/15</f>
        <v>0.54133333333333333</v>
      </c>
      <c r="E3" s="21">
        <f t="shared" ref="E3:E22" si="3">2.68/15</f>
        <v>0.17866666666666667</v>
      </c>
      <c r="F3" s="21">
        <f t="shared" ref="F3:F22" si="4">0.24/15</f>
        <v>1.6E-2</v>
      </c>
      <c r="G3" s="24">
        <f t="shared" ref="G3:G22" si="5">1.46/15</f>
        <v>9.7333333333333327E-2</v>
      </c>
      <c r="H3" s="6">
        <f t="shared" ref="H3:H22" si="6">1.62/15</f>
        <v>0.10800000000000001</v>
      </c>
      <c r="I3" s="24">
        <f t="shared" ref="I3:I22" si="7">0.41/15</f>
        <v>2.7333333333333331E-2</v>
      </c>
      <c r="J3" s="33"/>
      <c r="K3" s="19"/>
      <c r="L3" s="19"/>
    </row>
    <row r="4" spans="1:13" x14ac:dyDescent="0.25">
      <c r="A4" s="14">
        <v>1947</v>
      </c>
      <c r="B4" s="21">
        <f t="shared" si="0"/>
        <v>5.8666666666666645E-2</v>
      </c>
      <c r="C4" s="21">
        <f t="shared" si="1"/>
        <v>0.35266666666666668</v>
      </c>
      <c r="D4" s="21">
        <f t="shared" si="2"/>
        <v>0.54133333333333333</v>
      </c>
      <c r="E4" s="21">
        <f t="shared" si="3"/>
        <v>0.17866666666666667</v>
      </c>
      <c r="F4" s="21">
        <f t="shared" si="4"/>
        <v>1.6E-2</v>
      </c>
      <c r="G4" s="24">
        <f t="shared" si="5"/>
        <v>9.7333333333333327E-2</v>
      </c>
      <c r="H4" s="6">
        <f t="shared" si="6"/>
        <v>0.10800000000000001</v>
      </c>
      <c r="I4" s="24">
        <f t="shared" si="7"/>
        <v>2.7333333333333331E-2</v>
      </c>
      <c r="J4" s="33"/>
      <c r="K4" s="19">
        <f>19.39/15</f>
        <v>1.2926666666666666</v>
      </c>
      <c r="L4" s="19">
        <f>10.05/15</f>
        <v>0.67</v>
      </c>
    </row>
    <row r="5" spans="1:13" x14ac:dyDescent="0.25">
      <c r="A5" s="14">
        <v>1948</v>
      </c>
      <c r="B5" s="21">
        <f t="shared" si="0"/>
        <v>5.8666666666666645E-2</v>
      </c>
      <c r="C5" s="21">
        <f t="shared" si="1"/>
        <v>0.35266666666666668</v>
      </c>
      <c r="D5" s="21">
        <f t="shared" si="2"/>
        <v>0.54133333333333333</v>
      </c>
      <c r="E5" s="21">
        <f t="shared" si="3"/>
        <v>0.17866666666666667</v>
      </c>
      <c r="F5" s="21">
        <f t="shared" si="4"/>
        <v>1.6E-2</v>
      </c>
      <c r="G5" s="24">
        <f t="shared" si="5"/>
        <v>9.7333333333333327E-2</v>
      </c>
      <c r="H5" s="6">
        <f t="shared" si="6"/>
        <v>0.10800000000000001</v>
      </c>
      <c r="I5" s="24">
        <f t="shared" si="7"/>
        <v>2.7333333333333331E-2</v>
      </c>
      <c r="J5" s="33"/>
      <c r="K5" s="19"/>
      <c r="L5" s="19"/>
    </row>
    <row r="6" spans="1:13" x14ac:dyDescent="0.25">
      <c r="A6" s="14">
        <v>1949</v>
      </c>
      <c r="B6" s="21">
        <f t="shared" si="0"/>
        <v>5.8666666666666645E-2</v>
      </c>
      <c r="C6" s="21">
        <f t="shared" si="1"/>
        <v>0.35266666666666668</v>
      </c>
      <c r="D6" s="21">
        <f t="shared" si="2"/>
        <v>0.54133333333333333</v>
      </c>
      <c r="E6" s="21">
        <f t="shared" si="3"/>
        <v>0.17866666666666667</v>
      </c>
      <c r="F6" s="21">
        <f t="shared" si="4"/>
        <v>1.6E-2</v>
      </c>
      <c r="G6" s="24">
        <f t="shared" si="5"/>
        <v>9.7333333333333327E-2</v>
      </c>
      <c r="H6" s="6">
        <f t="shared" si="6"/>
        <v>0.10800000000000001</v>
      </c>
      <c r="I6" s="24">
        <f t="shared" si="7"/>
        <v>2.7333333333333331E-2</v>
      </c>
      <c r="J6" s="33"/>
      <c r="K6" s="19"/>
      <c r="L6" s="19"/>
    </row>
    <row r="7" spans="1:13" x14ac:dyDescent="0.25">
      <c r="A7" s="14">
        <v>1950</v>
      </c>
      <c r="B7" s="21">
        <f t="shared" si="0"/>
        <v>5.8666666666666645E-2</v>
      </c>
      <c r="C7" s="21">
        <f t="shared" si="1"/>
        <v>0.35266666666666668</v>
      </c>
      <c r="D7" s="21">
        <f t="shared" si="2"/>
        <v>0.54133333333333333</v>
      </c>
      <c r="E7" s="21">
        <f t="shared" si="3"/>
        <v>0.17866666666666667</v>
      </c>
      <c r="F7" s="21">
        <f t="shared" si="4"/>
        <v>1.6E-2</v>
      </c>
      <c r="G7" s="24">
        <f t="shared" si="5"/>
        <v>9.7333333333333327E-2</v>
      </c>
      <c r="H7" s="6">
        <f t="shared" si="6"/>
        <v>0.10800000000000001</v>
      </c>
      <c r="I7" s="24">
        <f t="shared" si="7"/>
        <v>2.7333333333333331E-2</v>
      </c>
      <c r="J7" s="33"/>
      <c r="K7" s="19">
        <f>16.15/15</f>
        <v>1.0766666666666667</v>
      </c>
      <c r="L7" s="19">
        <f>7.5/15</f>
        <v>0.5</v>
      </c>
    </row>
    <row r="8" spans="1:13" x14ac:dyDescent="0.25">
      <c r="A8" s="14">
        <v>1951</v>
      </c>
      <c r="B8" s="21">
        <f t="shared" si="0"/>
        <v>5.8666666666666645E-2</v>
      </c>
      <c r="C8" s="21">
        <f t="shared" si="1"/>
        <v>0.35266666666666668</v>
      </c>
      <c r="D8" s="21">
        <f t="shared" si="2"/>
        <v>0.54133333333333333</v>
      </c>
      <c r="E8" s="21">
        <f t="shared" si="3"/>
        <v>0.17866666666666667</v>
      </c>
      <c r="F8" s="21">
        <f t="shared" si="4"/>
        <v>1.6E-2</v>
      </c>
      <c r="G8" s="24">
        <f t="shared" si="5"/>
        <v>9.7333333333333327E-2</v>
      </c>
      <c r="H8" s="6">
        <f t="shared" si="6"/>
        <v>0.10800000000000001</v>
      </c>
      <c r="I8" s="24">
        <f t="shared" si="7"/>
        <v>2.7333333333333331E-2</v>
      </c>
      <c r="J8" s="33"/>
      <c r="K8" s="19"/>
      <c r="L8" s="19"/>
    </row>
    <row r="9" spans="1:13" x14ac:dyDescent="0.25">
      <c r="A9" s="14">
        <v>1952</v>
      </c>
      <c r="B9" s="21">
        <f t="shared" si="0"/>
        <v>5.8666666666666645E-2</v>
      </c>
      <c r="C9" s="21">
        <f t="shared" si="1"/>
        <v>0.35266666666666668</v>
      </c>
      <c r="D9" s="21">
        <f t="shared" si="2"/>
        <v>0.54133333333333333</v>
      </c>
      <c r="E9" s="21">
        <f t="shared" si="3"/>
        <v>0.17866666666666667</v>
      </c>
      <c r="F9" s="21">
        <f t="shared" si="4"/>
        <v>1.6E-2</v>
      </c>
      <c r="G9" s="24">
        <f t="shared" si="5"/>
        <v>9.7333333333333327E-2</v>
      </c>
      <c r="H9" s="6">
        <f t="shared" si="6"/>
        <v>0.10800000000000001</v>
      </c>
      <c r="I9" s="24">
        <f t="shared" si="7"/>
        <v>2.7333333333333331E-2</v>
      </c>
      <c r="J9" s="33"/>
      <c r="K9" s="19"/>
      <c r="L9" s="19"/>
    </row>
    <row r="10" spans="1:13" x14ac:dyDescent="0.25">
      <c r="A10" s="14">
        <v>1953</v>
      </c>
      <c r="B10" s="21">
        <f t="shared" si="0"/>
        <v>5.8666666666666645E-2</v>
      </c>
      <c r="C10" s="21">
        <f t="shared" si="1"/>
        <v>0.35266666666666668</v>
      </c>
      <c r="D10" s="21">
        <f t="shared" si="2"/>
        <v>0.54133333333333333</v>
      </c>
      <c r="E10" s="21">
        <f t="shared" si="3"/>
        <v>0.17866666666666667</v>
      </c>
      <c r="F10" s="21">
        <f t="shared" si="4"/>
        <v>1.6E-2</v>
      </c>
      <c r="G10" s="24">
        <f t="shared" si="5"/>
        <v>9.7333333333333327E-2</v>
      </c>
      <c r="H10" s="6">
        <f t="shared" si="6"/>
        <v>0.10800000000000001</v>
      </c>
      <c r="I10" s="24">
        <f t="shared" si="7"/>
        <v>2.7333333333333331E-2</v>
      </c>
      <c r="J10" s="33"/>
      <c r="K10" s="19"/>
      <c r="L10" s="19"/>
    </row>
    <row r="11" spans="1:13" x14ac:dyDescent="0.25">
      <c r="A11" s="14">
        <v>1954</v>
      </c>
      <c r="B11" s="21">
        <f t="shared" si="0"/>
        <v>5.8666666666666645E-2</v>
      </c>
      <c r="C11" s="21">
        <f t="shared" si="1"/>
        <v>0.35266666666666668</v>
      </c>
      <c r="D11" s="21">
        <f t="shared" si="2"/>
        <v>0.54133333333333333</v>
      </c>
      <c r="E11" s="21">
        <f t="shared" si="3"/>
        <v>0.17866666666666667</v>
      </c>
      <c r="F11" s="21">
        <f t="shared" si="4"/>
        <v>1.6E-2</v>
      </c>
      <c r="G11" s="24">
        <f t="shared" si="5"/>
        <v>9.7333333333333327E-2</v>
      </c>
      <c r="H11" s="6">
        <f t="shared" si="6"/>
        <v>0.10800000000000001</v>
      </c>
      <c r="I11" s="24">
        <f t="shared" si="7"/>
        <v>2.7333333333333331E-2</v>
      </c>
      <c r="J11" s="33"/>
      <c r="K11" s="19"/>
      <c r="L11" s="19"/>
    </row>
    <row r="12" spans="1:13" x14ac:dyDescent="0.25">
      <c r="A12" s="14">
        <v>1955</v>
      </c>
      <c r="B12" s="21">
        <f t="shared" si="0"/>
        <v>5.8666666666666645E-2</v>
      </c>
      <c r="C12" s="21">
        <f t="shared" si="1"/>
        <v>0.35266666666666668</v>
      </c>
      <c r="D12" s="21">
        <f t="shared" si="2"/>
        <v>0.54133333333333333</v>
      </c>
      <c r="E12" s="21">
        <f t="shared" si="3"/>
        <v>0.17866666666666667</v>
      </c>
      <c r="F12" s="21">
        <f t="shared" si="4"/>
        <v>1.6E-2</v>
      </c>
      <c r="G12" s="24">
        <f t="shared" si="5"/>
        <v>9.7333333333333327E-2</v>
      </c>
      <c r="H12" s="6">
        <f t="shared" si="6"/>
        <v>0.10800000000000001</v>
      </c>
      <c r="I12" s="24">
        <f t="shared" si="7"/>
        <v>2.7333333333333331E-2</v>
      </c>
      <c r="J12" s="33"/>
      <c r="K12" s="19"/>
      <c r="L12" s="19"/>
    </row>
    <row r="13" spans="1:13" x14ac:dyDescent="0.25">
      <c r="A13" s="14">
        <v>1956</v>
      </c>
      <c r="B13" s="21">
        <f t="shared" si="0"/>
        <v>5.8666666666666645E-2</v>
      </c>
      <c r="C13" s="21">
        <f t="shared" si="1"/>
        <v>0.35266666666666668</v>
      </c>
      <c r="D13" s="21">
        <f t="shared" si="2"/>
        <v>0.54133333333333333</v>
      </c>
      <c r="E13" s="21">
        <f t="shared" si="3"/>
        <v>0.17866666666666667</v>
      </c>
      <c r="F13" s="21">
        <f t="shared" si="4"/>
        <v>1.6E-2</v>
      </c>
      <c r="G13" s="24">
        <f t="shared" si="5"/>
        <v>9.7333333333333327E-2</v>
      </c>
      <c r="H13" s="6">
        <f t="shared" si="6"/>
        <v>0.10800000000000001</v>
      </c>
      <c r="I13" s="24">
        <f t="shared" si="7"/>
        <v>2.7333333333333331E-2</v>
      </c>
      <c r="J13" s="33"/>
      <c r="K13" s="19"/>
      <c r="L13" s="19"/>
    </row>
    <row r="14" spans="1:13" x14ac:dyDescent="0.25">
      <c r="A14" s="14">
        <v>1957</v>
      </c>
      <c r="B14" s="21">
        <f t="shared" si="0"/>
        <v>5.8666666666666645E-2</v>
      </c>
      <c r="C14" s="21">
        <f t="shared" si="1"/>
        <v>0.35266666666666668</v>
      </c>
      <c r="D14" s="21">
        <f t="shared" si="2"/>
        <v>0.54133333333333333</v>
      </c>
      <c r="E14" s="21">
        <f t="shared" si="3"/>
        <v>0.17866666666666667</v>
      </c>
      <c r="F14" s="21">
        <f t="shared" si="4"/>
        <v>1.6E-2</v>
      </c>
      <c r="G14" s="24">
        <f t="shared" si="5"/>
        <v>9.7333333333333327E-2</v>
      </c>
      <c r="H14" s="6">
        <f t="shared" si="6"/>
        <v>0.10800000000000001</v>
      </c>
      <c r="I14" s="24">
        <f t="shared" si="7"/>
        <v>2.7333333333333331E-2</v>
      </c>
      <c r="J14" s="33"/>
      <c r="K14" s="19"/>
      <c r="L14" s="19"/>
    </row>
    <row r="15" spans="1:13" x14ac:dyDescent="0.25">
      <c r="A15" s="14">
        <v>1958</v>
      </c>
      <c r="B15" s="21">
        <f t="shared" si="0"/>
        <v>5.8666666666666645E-2</v>
      </c>
      <c r="C15" s="21">
        <f t="shared" si="1"/>
        <v>0.35266666666666668</v>
      </c>
      <c r="D15" s="21">
        <f t="shared" si="2"/>
        <v>0.54133333333333333</v>
      </c>
      <c r="E15" s="21">
        <f t="shared" si="3"/>
        <v>0.17866666666666667</v>
      </c>
      <c r="F15" s="21">
        <f t="shared" si="4"/>
        <v>1.6E-2</v>
      </c>
      <c r="G15" s="24">
        <f t="shared" si="5"/>
        <v>9.7333333333333327E-2</v>
      </c>
      <c r="H15" s="6">
        <f t="shared" si="6"/>
        <v>0.10800000000000001</v>
      </c>
      <c r="I15" s="24">
        <f t="shared" si="7"/>
        <v>2.7333333333333331E-2</v>
      </c>
      <c r="J15" s="33"/>
      <c r="K15" s="19"/>
      <c r="L15" s="19"/>
    </row>
    <row r="16" spans="1:13" x14ac:dyDescent="0.25">
      <c r="A16" s="14">
        <v>1959</v>
      </c>
      <c r="B16" s="21">
        <f t="shared" si="0"/>
        <v>5.8666666666666645E-2</v>
      </c>
      <c r="C16" s="21">
        <f t="shared" si="1"/>
        <v>0.35266666666666668</v>
      </c>
      <c r="D16" s="21">
        <f t="shared" si="2"/>
        <v>0.54133333333333333</v>
      </c>
      <c r="E16" s="21">
        <f t="shared" si="3"/>
        <v>0.17866666666666667</v>
      </c>
      <c r="F16" s="21">
        <f t="shared" si="4"/>
        <v>1.6E-2</v>
      </c>
      <c r="G16" s="24">
        <f t="shared" si="5"/>
        <v>9.7333333333333327E-2</v>
      </c>
      <c r="H16" s="6">
        <f t="shared" si="6"/>
        <v>0.10800000000000001</v>
      </c>
      <c r="I16" s="24">
        <f t="shared" si="7"/>
        <v>2.7333333333333331E-2</v>
      </c>
      <c r="J16" s="33"/>
      <c r="K16" s="19"/>
      <c r="L16" s="19"/>
    </row>
    <row r="17" spans="1:12" x14ac:dyDescent="0.25">
      <c r="A17" s="14">
        <v>1960</v>
      </c>
      <c r="B17" s="21">
        <f t="shared" si="0"/>
        <v>5.8666666666666645E-2</v>
      </c>
      <c r="C17" s="21">
        <f t="shared" si="1"/>
        <v>0.35266666666666668</v>
      </c>
      <c r="D17" s="21">
        <f t="shared" si="2"/>
        <v>0.54133333333333333</v>
      </c>
      <c r="E17" s="21">
        <f t="shared" si="3"/>
        <v>0.17866666666666667</v>
      </c>
      <c r="F17" s="21">
        <f t="shared" si="4"/>
        <v>1.6E-2</v>
      </c>
      <c r="G17" s="24">
        <f t="shared" si="5"/>
        <v>9.7333333333333327E-2</v>
      </c>
      <c r="H17" s="6">
        <f t="shared" si="6"/>
        <v>0.10800000000000001</v>
      </c>
      <c r="I17" s="24">
        <f t="shared" si="7"/>
        <v>2.7333333333333331E-2</v>
      </c>
      <c r="J17" s="33"/>
      <c r="K17" s="19">
        <f>9.3/15</f>
        <v>0.62</v>
      </c>
      <c r="L17" s="19">
        <f>5.24/15</f>
        <v>0.34933333333333333</v>
      </c>
    </row>
    <row r="18" spans="1:12" x14ac:dyDescent="0.25">
      <c r="A18" s="14">
        <v>1961</v>
      </c>
      <c r="B18" s="21">
        <f t="shared" si="0"/>
        <v>5.8666666666666645E-2</v>
      </c>
      <c r="C18" s="21">
        <f t="shared" si="1"/>
        <v>0.35266666666666668</v>
      </c>
      <c r="D18" s="21">
        <f t="shared" si="2"/>
        <v>0.54133333333333333</v>
      </c>
      <c r="E18" s="21">
        <f t="shared" si="3"/>
        <v>0.17866666666666667</v>
      </c>
      <c r="F18" s="21">
        <f t="shared" si="4"/>
        <v>1.6E-2</v>
      </c>
      <c r="G18" s="24">
        <f t="shared" si="5"/>
        <v>9.7333333333333327E-2</v>
      </c>
      <c r="H18" s="6">
        <f t="shared" si="6"/>
        <v>0.10800000000000001</v>
      </c>
      <c r="I18" s="24">
        <f t="shared" si="7"/>
        <v>2.7333333333333331E-2</v>
      </c>
      <c r="J18" s="33"/>
      <c r="K18" s="19"/>
      <c r="L18" s="19"/>
    </row>
    <row r="19" spans="1:12" x14ac:dyDescent="0.25">
      <c r="A19" s="14">
        <v>1962</v>
      </c>
      <c r="B19" s="21">
        <f t="shared" si="0"/>
        <v>5.8666666666666645E-2</v>
      </c>
      <c r="C19" s="21">
        <f t="shared" si="1"/>
        <v>0.35266666666666668</v>
      </c>
      <c r="D19" s="21">
        <f t="shared" si="2"/>
        <v>0.54133333333333333</v>
      </c>
      <c r="E19" s="21">
        <f t="shared" si="3"/>
        <v>0.17866666666666667</v>
      </c>
      <c r="F19" s="21">
        <f t="shared" si="4"/>
        <v>1.6E-2</v>
      </c>
      <c r="G19" s="24">
        <f t="shared" si="5"/>
        <v>9.7333333333333327E-2</v>
      </c>
      <c r="H19" s="6">
        <f t="shared" si="6"/>
        <v>0.10800000000000001</v>
      </c>
      <c r="I19" s="24">
        <f t="shared" si="7"/>
        <v>2.7333333333333331E-2</v>
      </c>
      <c r="J19" s="33"/>
      <c r="K19" s="19"/>
      <c r="L19" s="19"/>
    </row>
    <row r="20" spans="1:12" x14ac:dyDescent="0.25">
      <c r="A20" s="14">
        <v>1963</v>
      </c>
      <c r="B20" s="21">
        <f t="shared" si="0"/>
        <v>5.8666666666666645E-2</v>
      </c>
      <c r="C20" s="21">
        <f t="shared" si="1"/>
        <v>0.35266666666666668</v>
      </c>
      <c r="D20" s="21">
        <f t="shared" si="2"/>
        <v>0.54133333333333333</v>
      </c>
      <c r="E20" s="21">
        <f t="shared" si="3"/>
        <v>0.17866666666666667</v>
      </c>
      <c r="F20" s="21">
        <f t="shared" si="4"/>
        <v>1.6E-2</v>
      </c>
      <c r="G20" s="24">
        <f t="shared" si="5"/>
        <v>9.7333333333333327E-2</v>
      </c>
      <c r="H20" s="6">
        <f t="shared" si="6"/>
        <v>0.10800000000000001</v>
      </c>
      <c r="I20" s="24">
        <f t="shared" si="7"/>
        <v>2.7333333333333331E-2</v>
      </c>
      <c r="J20" s="33"/>
      <c r="K20" s="19"/>
      <c r="L20" s="19"/>
    </row>
    <row r="21" spans="1:12" x14ac:dyDescent="0.25">
      <c r="A21" s="14">
        <v>1964</v>
      </c>
      <c r="B21" s="21">
        <f t="shared" si="0"/>
        <v>5.8666666666666645E-2</v>
      </c>
      <c r="C21" s="21">
        <f t="shared" si="1"/>
        <v>0.35266666666666668</v>
      </c>
      <c r="D21" s="21">
        <f t="shared" si="2"/>
        <v>0.54133333333333333</v>
      </c>
      <c r="E21" s="21">
        <f t="shared" si="3"/>
        <v>0.17866666666666667</v>
      </c>
      <c r="F21" s="21">
        <f t="shared" si="4"/>
        <v>1.6E-2</v>
      </c>
      <c r="G21" s="24">
        <f t="shared" si="5"/>
        <v>9.7333333333333327E-2</v>
      </c>
      <c r="H21" s="6">
        <f t="shared" si="6"/>
        <v>0.10800000000000001</v>
      </c>
      <c r="I21" s="24">
        <f t="shared" si="7"/>
        <v>2.7333333333333331E-2</v>
      </c>
      <c r="J21" s="33"/>
      <c r="K21" s="19"/>
      <c r="L21" s="19"/>
    </row>
    <row r="22" spans="1:12" x14ac:dyDescent="0.25">
      <c r="A22" s="14">
        <v>1965</v>
      </c>
      <c r="B22" s="21">
        <f t="shared" si="0"/>
        <v>5.8666666666666645E-2</v>
      </c>
      <c r="C22" s="21">
        <f t="shared" si="1"/>
        <v>0.35266666666666668</v>
      </c>
      <c r="D22" s="21">
        <f t="shared" si="2"/>
        <v>0.54133333333333333</v>
      </c>
      <c r="E22" s="21">
        <f t="shared" si="3"/>
        <v>0.17866666666666667</v>
      </c>
      <c r="F22" s="21">
        <f t="shared" si="4"/>
        <v>1.6E-2</v>
      </c>
      <c r="G22" s="24">
        <f t="shared" si="5"/>
        <v>9.7333333333333327E-2</v>
      </c>
      <c r="H22" s="6">
        <f t="shared" si="6"/>
        <v>0.10800000000000001</v>
      </c>
      <c r="I22" s="24">
        <f t="shared" si="7"/>
        <v>2.7333333333333331E-2</v>
      </c>
      <c r="J22" s="33"/>
      <c r="K22" s="19"/>
      <c r="L22" s="19"/>
    </row>
    <row r="23" spans="1:12" x14ac:dyDescent="0.25">
      <c r="A23" s="14">
        <v>1966</v>
      </c>
      <c r="B23" s="21">
        <f t="shared" ref="B23:B30" si="8">5.39/15-C23</f>
        <v>5.1333333333333342E-2</v>
      </c>
      <c r="C23" s="21">
        <f>4.62/15</f>
        <v>0.308</v>
      </c>
      <c r="D23" s="21">
        <f t="shared" ref="D23:D47" si="9">6.83/15</f>
        <v>0.45533333333333331</v>
      </c>
      <c r="E23" s="21">
        <f>2.12/15</f>
        <v>0.14133333333333334</v>
      </c>
      <c r="F23" s="21">
        <f>0.2/15</f>
        <v>1.3333333333333334E-2</v>
      </c>
      <c r="G23" s="24">
        <f>0.91/15</f>
        <v>6.0666666666666667E-2</v>
      </c>
      <c r="H23" s="24">
        <f>1.71/15</f>
        <v>0.114</v>
      </c>
      <c r="I23" s="24">
        <f>0.82/15</f>
        <v>5.4666666666666662E-2</v>
      </c>
      <c r="J23" s="33"/>
      <c r="K23" s="19"/>
      <c r="L23" s="19"/>
    </row>
    <row r="24" spans="1:12" x14ac:dyDescent="0.25">
      <c r="A24" s="14">
        <v>1967</v>
      </c>
      <c r="B24" s="21">
        <f t="shared" si="8"/>
        <v>5.1333333333333342E-2</v>
      </c>
      <c r="C24" s="21">
        <f t="shared" ref="C24:C47" si="10">4.62/15</f>
        <v>0.308</v>
      </c>
      <c r="D24" s="21">
        <f t="shared" si="9"/>
        <v>0.45533333333333331</v>
      </c>
      <c r="E24" s="21">
        <f t="shared" ref="E24:E47" si="11">2.12/15</f>
        <v>0.14133333333333334</v>
      </c>
      <c r="F24" s="21">
        <f t="shared" ref="F24:F31" si="12">0.2/15</f>
        <v>1.3333333333333334E-2</v>
      </c>
      <c r="G24" s="24">
        <f t="shared" ref="G24:G47" si="13">0.91/15</f>
        <v>6.0666666666666667E-2</v>
      </c>
      <c r="H24" s="24">
        <f t="shared" ref="H24:H47" si="14">1.71/15</f>
        <v>0.114</v>
      </c>
      <c r="I24" s="24">
        <f t="shared" ref="I24:I47" si="15">0.82/15</f>
        <v>5.4666666666666662E-2</v>
      </c>
      <c r="J24" s="33"/>
      <c r="K24" s="19"/>
      <c r="L24" s="19"/>
    </row>
    <row r="25" spans="1:12" x14ac:dyDescent="0.25">
      <c r="A25" s="14">
        <v>1968</v>
      </c>
      <c r="B25" s="21">
        <f t="shared" si="8"/>
        <v>5.1333333333333342E-2</v>
      </c>
      <c r="C25" s="21">
        <f t="shared" si="10"/>
        <v>0.308</v>
      </c>
      <c r="D25" s="21">
        <f t="shared" si="9"/>
        <v>0.45533333333333331</v>
      </c>
      <c r="E25" s="21">
        <f t="shared" si="11"/>
        <v>0.14133333333333334</v>
      </c>
      <c r="F25" s="21">
        <f t="shared" si="12"/>
        <v>1.3333333333333334E-2</v>
      </c>
      <c r="G25" s="24">
        <f t="shared" si="13"/>
        <v>6.0666666666666667E-2</v>
      </c>
      <c r="H25" s="24">
        <f t="shared" si="14"/>
        <v>0.114</v>
      </c>
      <c r="I25" s="24">
        <f t="shared" si="15"/>
        <v>5.4666666666666662E-2</v>
      </c>
      <c r="J25" s="33"/>
      <c r="K25" s="19"/>
      <c r="L25" s="19"/>
    </row>
    <row r="26" spans="1:12" x14ac:dyDescent="0.25">
      <c r="A26" s="14">
        <v>1969</v>
      </c>
      <c r="B26" s="21">
        <f t="shared" si="8"/>
        <v>5.1333333333333342E-2</v>
      </c>
      <c r="C26" s="21">
        <f t="shared" si="10"/>
        <v>0.308</v>
      </c>
      <c r="D26" s="21">
        <f t="shared" si="9"/>
        <v>0.45533333333333331</v>
      </c>
      <c r="E26" s="21">
        <f t="shared" si="11"/>
        <v>0.14133333333333334</v>
      </c>
      <c r="F26" s="21">
        <f t="shared" si="12"/>
        <v>1.3333333333333334E-2</v>
      </c>
      <c r="G26" s="24">
        <f t="shared" si="13"/>
        <v>6.0666666666666667E-2</v>
      </c>
      <c r="H26" s="24">
        <f t="shared" si="14"/>
        <v>0.114</v>
      </c>
      <c r="I26" s="24">
        <f t="shared" si="15"/>
        <v>5.4666666666666662E-2</v>
      </c>
      <c r="J26" s="33"/>
      <c r="K26" s="19"/>
      <c r="L26" s="19"/>
    </row>
    <row r="27" spans="1:12" x14ac:dyDescent="0.25">
      <c r="A27" s="14">
        <v>1970</v>
      </c>
      <c r="B27" s="21">
        <f t="shared" si="8"/>
        <v>5.1333333333333342E-2</v>
      </c>
      <c r="C27" s="21">
        <f t="shared" si="10"/>
        <v>0.308</v>
      </c>
      <c r="D27" s="21">
        <f t="shared" si="9"/>
        <v>0.45533333333333331</v>
      </c>
      <c r="E27" s="21">
        <f t="shared" si="11"/>
        <v>0.14133333333333334</v>
      </c>
      <c r="F27" s="21">
        <f t="shared" si="12"/>
        <v>1.3333333333333334E-2</v>
      </c>
      <c r="G27" s="24">
        <f t="shared" si="13"/>
        <v>6.0666666666666667E-2</v>
      </c>
      <c r="H27" s="24">
        <f t="shared" si="14"/>
        <v>0.114</v>
      </c>
      <c r="I27" s="24">
        <f t="shared" si="15"/>
        <v>5.4666666666666662E-2</v>
      </c>
      <c r="J27" s="33"/>
      <c r="K27" s="19">
        <f>6.74/15</f>
        <v>0.44933333333333336</v>
      </c>
      <c r="L27" s="19">
        <f>5.4/15</f>
        <v>0.36000000000000004</v>
      </c>
    </row>
    <row r="28" spans="1:12" x14ac:dyDescent="0.25">
      <c r="A28" s="14">
        <v>1971</v>
      </c>
      <c r="B28" s="21">
        <f t="shared" si="8"/>
        <v>5.1333333333333342E-2</v>
      </c>
      <c r="C28" s="21">
        <f t="shared" si="10"/>
        <v>0.308</v>
      </c>
      <c r="D28" s="21">
        <f t="shared" si="9"/>
        <v>0.45533333333333331</v>
      </c>
      <c r="E28" s="21">
        <f t="shared" si="11"/>
        <v>0.14133333333333334</v>
      </c>
      <c r="F28" s="21">
        <f t="shared" si="12"/>
        <v>1.3333333333333334E-2</v>
      </c>
      <c r="G28" s="24">
        <f t="shared" si="13"/>
        <v>6.0666666666666667E-2</v>
      </c>
      <c r="H28" s="24">
        <f t="shared" si="14"/>
        <v>0.114</v>
      </c>
      <c r="I28" s="24">
        <f t="shared" si="15"/>
        <v>5.4666666666666662E-2</v>
      </c>
      <c r="J28" s="33"/>
      <c r="K28" s="19"/>
      <c r="L28" s="19"/>
    </row>
    <row r="29" spans="1:12" x14ac:dyDescent="0.25">
      <c r="A29" s="14">
        <v>1972</v>
      </c>
      <c r="B29" s="21">
        <f t="shared" si="8"/>
        <v>5.1333333333333342E-2</v>
      </c>
      <c r="C29" s="21">
        <f t="shared" si="10"/>
        <v>0.308</v>
      </c>
      <c r="D29" s="21">
        <f t="shared" si="9"/>
        <v>0.45533333333333331</v>
      </c>
      <c r="E29" s="21">
        <f t="shared" si="11"/>
        <v>0.14133333333333334</v>
      </c>
      <c r="F29" s="21">
        <f t="shared" si="12"/>
        <v>1.3333333333333334E-2</v>
      </c>
      <c r="G29" s="24">
        <f t="shared" si="13"/>
        <v>6.0666666666666667E-2</v>
      </c>
      <c r="H29" s="24">
        <f t="shared" si="14"/>
        <v>0.114</v>
      </c>
      <c r="I29" s="24">
        <f t="shared" si="15"/>
        <v>5.4666666666666662E-2</v>
      </c>
      <c r="J29" s="33"/>
      <c r="K29" s="19"/>
      <c r="L29" s="19"/>
    </row>
    <row r="30" spans="1:12" x14ac:dyDescent="0.25">
      <c r="A30" s="14">
        <v>1973</v>
      </c>
      <c r="B30" s="21">
        <f t="shared" si="8"/>
        <v>5.1333333333333342E-2</v>
      </c>
      <c r="C30" s="21">
        <f t="shared" si="10"/>
        <v>0.308</v>
      </c>
      <c r="D30" s="21">
        <f t="shared" si="9"/>
        <v>0.45533333333333331</v>
      </c>
      <c r="E30" s="21">
        <f t="shared" si="11"/>
        <v>0.14133333333333334</v>
      </c>
      <c r="F30" s="21">
        <f t="shared" si="12"/>
        <v>1.3333333333333334E-2</v>
      </c>
      <c r="G30" s="24">
        <f t="shared" si="13"/>
        <v>6.0666666666666667E-2</v>
      </c>
      <c r="H30" s="24">
        <f t="shared" si="14"/>
        <v>0.114</v>
      </c>
      <c r="I30" s="24">
        <f t="shared" si="15"/>
        <v>5.4666666666666662E-2</v>
      </c>
      <c r="J30" s="33"/>
      <c r="K30" s="19"/>
      <c r="L30" s="19"/>
    </row>
    <row r="31" spans="1:12" x14ac:dyDescent="0.25">
      <c r="A31" s="14">
        <v>1974</v>
      </c>
      <c r="B31" s="21">
        <f>5.39/15-C31</f>
        <v>5.1333333333333342E-2</v>
      </c>
      <c r="C31" s="21">
        <f t="shared" si="10"/>
        <v>0.308</v>
      </c>
      <c r="D31" s="21">
        <f t="shared" si="9"/>
        <v>0.45533333333333331</v>
      </c>
      <c r="E31" s="21">
        <f t="shared" si="11"/>
        <v>0.14133333333333334</v>
      </c>
      <c r="F31" s="21">
        <f t="shared" si="12"/>
        <v>1.3333333333333334E-2</v>
      </c>
      <c r="G31" s="24">
        <f t="shared" si="13"/>
        <v>6.0666666666666667E-2</v>
      </c>
      <c r="H31" s="24">
        <f t="shared" si="14"/>
        <v>0.114</v>
      </c>
      <c r="I31" s="24">
        <f t="shared" si="15"/>
        <v>5.4666666666666662E-2</v>
      </c>
      <c r="J31" s="33"/>
      <c r="K31" s="19"/>
      <c r="L31" s="19"/>
    </row>
    <row r="32" spans="1:12" x14ac:dyDescent="0.25">
      <c r="A32" s="14">
        <v>1975</v>
      </c>
      <c r="B32" s="21">
        <f>5.39/15-C32</f>
        <v>5.1333333333333342E-2</v>
      </c>
      <c r="C32" s="21">
        <f t="shared" si="10"/>
        <v>0.308</v>
      </c>
      <c r="D32" s="21">
        <f t="shared" si="9"/>
        <v>0.45533333333333331</v>
      </c>
      <c r="E32" s="21">
        <f t="shared" si="11"/>
        <v>0.14133333333333334</v>
      </c>
      <c r="F32" s="21">
        <f>0.2/15</f>
        <v>1.3333333333333334E-2</v>
      </c>
      <c r="G32" s="24">
        <f t="shared" si="13"/>
        <v>6.0666666666666667E-2</v>
      </c>
      <c r="H32" s="24">
        <f t="shared" si="14"/>
        <v>0.114</v>
      </c>
      <c r="I32" s="24">
        <f t="shared" si="15"/>
        <v>5.4666666666666662E-2</v>
      </c>
      <c r="J32" s="33"/>
      <c r="K32" s="19">
        <f>5.53/15</f>
        <v>0.3686666666666667</v>
      </c>
      <c r="L32" s="19">
        <f>5.42/15</f>
        <v>0.36133333333333334</v>
      </c>
    </row>
    <row r="33" spans="1:10" x14ac:dyDescent="0.25">
      <c r="A33" s="14">
        <v>1976</v>
      </c>
      <c r="B33" s="21">
        <f t="shared" ref="B33:B47" si="16">5.39/15-C33</f>
        <v>5.1333333333333342E-2</v>
      </c>
      <c r="C33" s="21">
        <f t="shared" si="10"/>
        <v>0.308</v>
      </c>
      <c r="D33" s="21">
        <f t="shared" si="9"/>
        <v>0.45533333333333331</v>
      </c>
      <c r="E33" s="21">
        <f t="shared" si="11"/>
        <v>0.14133333333333334</v>
      </c>
      <c r="F33" s="21">
        <f t="shared" ref="F33:F47" si="17">0.2/15</f>
        <v>1.3333333333333334E-2</v>
      </c>
      <c r="G33" s="24">
        <f t="shared" si="13"/>
        <v>6.0666666666666667E-2</v>
      </c>
      <c r="H33" s="24">
        <f t="shared" si="14"/>
        <v>0.114</v>
      </c>
      <c r="I33" s="24">
        <f t="shared" si="15"/>
        <v>5.4666666666666662E-2</v>
      </c>
      <c r="J33" s="36"/>
    </row>
    <row r="34" spans="1:10" x14ac:dyDescent="0.25">
      <c r="A34" s="14">
        <v>1977</v>
      </c>
      <c r="B34" s="21">
        <f t="shared" si="16"/>
        <v>5.1333333333333342E-2</v>
      </c>
      <c r="C34" s="21">
        <f t="shared" si="10"/>
        <v>0.308</v>
      </c>
      <c r="D34" s="21">
        <f t="shared" si="9"/>
        <v>0.45533333333333331</v>
      </c>
      <c r="E34" s="21">
        <f t="shared" si="11"/>
        <v>0.14133333333333334</v>
      </c>
      <c r="F34" s="21">
        <f t="shared" si="17"/>
        <v>1.3333333333333334E-2</v>
      </c>
      <c r="G34" s="24">
        <f t="shared" si="13"/>
        <v>6.0666666666666667E-2</v>
      </c>
      <c r="H34" s="24">
        <f t="shared" si="14"/>
        <v>0.114</v>
      </c>
      <c r="I34" s="24">
        <f t="shared" si="15"/>
        <v>5.4666666666666662E-2</v>
      </c>
      <c r="J34" s="36"/>
    </row>
    <row r="35" spans="1:10" x14ac:dyDescent="0.25">
      <c r="A35" s="14">
        <v>1978</v>
      </c>
      <c r="B35" s="21">
        <f t="shared" si="16"/>
        <v>5.1333333333333342E-2</v>
      </c>
      <c r="C35" s="21">
        <f t="shared" si="10"/>
        <v>0.308</v>
      </c>
      <c r="D35" s="21">
        <f t="shared" si="9"/>
        <v>0.45533333333333331</v>
      </c>
      <c r="E35" s="21">
        <f t="shared" si="11"/>
        <v>0.14133333333333334</v>
      </c>
      <c r="F35" s="21">
        <f t="shared" si="17"/>
        <v>1.3333333333333334E-2</v>
      </c>
      <c r="G35" s="24">
        <f t="shared" si="13"/>
        <v>6.0666666666666667E-2</v>
      </c>
      <c r="H35" s="24">
        <f t="shared" si="14"/>
        <v>0.114</v>
      </c>
      <c r="I35" s="24">
        <f t="shared" si="15"/>
        <v>5.4666666666666662E-2</v>
      </c>
    </row>
    <row r="36" spans="1:10" x14ac:dyDescent="0.25">
      <c r="A36" s="14">
        <v>1979</v>
      </c>
      <c r="B36" s="21">
        <f t="shared" si="16"/>
        <v>5.1333333333333342E-2</v>
      </c>
      <c r="C36" s="21">
        <f t="shared" si="10"/>
        <v>0.308</v>
      </c>
      <c r="D36" s="21">
        <f t="shared" si="9"/>
        <v>0.45533333333333331</v>
      </c>
      <c r="E36" s="21">
        <f t="shared" si="11"/>
        <v>0.14133333333333334</v>
      </c>
      <c r="F36" s="21">
        <f t="shared" si="17"/>
        <v>1.3333333333333334E-2</v>
      </c>
      <c r="G36" s="24">
        <f t="shared" si="13"/>
        <v>6.0666666666666667E-2</v>
      </c>
      <c r="H36" s="24">
        <f t="shared" si="14"/>
        <v>0.114</v>
      </c>
      <c r="I36" s="24">
        <f t="shared" si="15"/>
        <v>5.4666666666666662E-2</v>
      </c>
    </row>
    <row r="37" spans="1:10" x14ac:dyDescent="0.25">
      <c r="A37" s="14">
        <v>1980</v>
      </c>
      <c r="B37" s="21">
        <f t="shared" si="16"/>
        <v>5.1333333333333342E-2</v>
      </c>
      <c r="C37" s="21">
        <f t="shared" si="10"/>
        <v>0.308</v>
      </c>
      <c r="D37" s="21">
        <f t="shared" si="9"/>
        <v>0.45533333333333331</v>
      </c>
      <c r="E37" s="21">
        <f t="shared" si="11"/>
        <v>0.14133333333333334</v>
      </c>
      <c r="F37" s="21">
        <f t="shared" si="17"/>
        <v>1.3333333333333334E-2</v>
      </c>
      <c r="G37" s="24">
        <f t="shared" si="13"/>
        <v>6.0666666666666667E-2</v>
      </c>
      <c r="H37" s="24">
        <f t="shared" si="14"/>
        <v>0.114</v>
      </c>
      <c r="I37" s="24">
        <f t="shared" si="15"/>
        <v>5.4666666666666662E-2</v>
      </c>
    </row>
    <row r="38" spans="1:10" x14ac:dyDescent="0.25">
      <c r="A38" s="14">
        <v>1981</v>
      </c>
      <c r="B38" s="21">
        <f t="shared" si="16"/>
        <v>5.1333333333333342E-2</v>
      </c>
      <c r="C38" s="21">
        <f t="shared" si="10"/>
        <v>0.308</v>
      </c>
      <c r="D38" s="21">
        <f t="shared" si="9"/>
        <v>0.45533333333333331</v>
      </c>
      <c r="E38" s="21">
        <f t="shared" si="11"/>
        <v>0.14133333333333334</v>
      </c>
      <c r="F38" s="21">
        <f t="shared" si="17"/>
        <v>1.3333333333333334E-2</v>
      </c>
      <c r="G38" s="24">
        <f t="shared" si="13"/>
        <v>6.0666666666666667E-2</v>
      </c>
      <c r="H38" s="24">
        <f t="shared" si="14"/>
        <v>0.114</v>
      </c>
      <c r="I38" s="24">
        <f t="shared" si="15"/>
        <v>5.4666666666666662E-2</v>
      </c>
    </row>
    <row r="39" spans="1:10" x14ac:dyDescent="0.25">
      <c r="A39" s="14">
        <v>1982</v>
      </c>
      <c r="B39" s="21">
        <f t="shared" si="16"/>
        <v>5.1333333333333342E-2</v>
      </c>
      <c r="C39" s="21">
        <f t="shared" si="10"/>
        <v>0.308</v>
      </c>
      <c r="D39" s="21">
        <f t="shared" si="9"/>
        <v>0.45533333333333331</v>
      </c>
      <c r="E39" s="21">
        <f t="shared" si="11"/>
        <v>0.14133333333333334</v>
      </c>
      <c r="F39" s="21">
        <f t="shared" si="17"/>
        <v>1.3333333333333334E-2</v>
      </c>
      <c r="G39" s="24">
        <f t="shared" si="13"/>
        <v>6.0666666666666667E-2</v>
      </c>
      <c r="H39" s="24">
        <f t="shared" si="14"/>
        <v>0.114</v>
      </c>
      <c r="I39" s="24">
        <f t="shared" si="15"/>
        <v>5.4666666666666662E-2</v>
      </c>
    </row>
    <row r="40" spans="1:10" x14ac:dyDescent="0.25">
      <c r="A40" s="14">
        <v>1983</v>
      </c>
      <c r="B40" s="21">
        <f t="shared" si="16"/>
        <v>5.1333333333333342E-2</v>
      </c>
      <c r="C40" s="21">
        <f t="shared" si="10"/>
        <v>0.308</v>
      </c>
      <c r="D40" s="21">
        <f t="shared" si="9"/>
        <v>0.45533333333333331</v>
      </c>
      <c r="E40" s="21">
        <f t="shared" si="11"/>
        <v>0.14133333333333334</v>
      </c>
      <c r="F40" s="21">
        <f t="shared" si="17"/>
        <v>1.3333333333333334E-2</v>
      </c>
      <c r="G40" s="24">
        <f t="shared" si="13"/>
        <v>6.0666666666666667E-2</v>
      </c>
      <c r="H40" s="24">
        <f t="shared" si="14"/>
        <v>0.114</v>
      </c>
      <c r="I40" s="24">
        <f t="shared" si="15"/>
        <v>5.4666666666666662E-2</v>
      </c>
    </row>
    <row r="41" spans="1:10" x14ac:dyDescent="0.25">
      <c r="A41" s="14">
        <v>1984</v>
      </c>
      <c r="B41" s="21">
        <f t="shared" si="16"/>
        <v>5.1333333333333342E-2</v>
      </c>
      <c r="C41" s="21">
        <f t="shared" si="10"/>
        <v>0.308</v>
      </c>
      <c r="D41" s="21">
        <f t="shared" si="9"/>
        <v>0.45533333333333331</v>
      </c>
      <c r="E41" s="21">
        <f t="shared" si="11"/>
        <v>0.14133333333333334</v>
      </c>
      <c r="F41" s="21">
        <f t="shared" si="17"/>
        <v>1.3333333333333334E-2</v>
      </c>
      <c r="G41" s="24">
        <f t="shared" si="13"/>
        <v>6.0666666666666667E-2</v>
      </c>
      <c r="H41" s="24">
        <f t="shared" si="14"/>
        <v>0.114</v>
      </c>
      <c r="I41" s="24">
        <f t="shared" si="15"/>
        <v>5.4666666666666662E-2</v>
      </c>
    </row>
    <row r="42" spans="1:10" x14ac:dyDescent="0.25">
      <c r="A42" s="14">
        <v>1985</v>
      </c>
      <c r="B42" s="21">
        <f t="shared" si="16"/>
        <v>5.1333333333333342E-2</v>
      </c>
      <c r="C42" s="21">
        <f t="shared" si="10"/>
        <v>0.308</v>
      </c>
      <c r="D42" s="21">
        <f t="shared" si="9"/>
        <v>0.45533333333333331</v>
      </c>
      <c r="E42" s="21">
        <f t="shared" si="11"/>
        <v>0.14133333333333334</v>
      </c>
      <c r="F42" s="21">
        <f t="shared" si="17"/>
        <v>1.3333333333333334E-2</v>
      </c>
      <c r="G42" s="24">
        <f t="shared" si="13"/>
        <v>6.0666666666666667E-2</v>
      </c>
      <c r="H42" s="24">
        <f t="shared" si="14"/>
        <v>0.114</v>
      </c>
      <c r="I42" s="24">
        <f t="shared" si="15"/>
        <v>5.4666666666666662E-2</v>
      </c>
    </row>
    <row r="43" spans="1:10" x14ac:dyDescent="0.25">
      <c r="A43" s="14">
        <v>1986</v>
      </c>
      <c r="B43" s="21">
        <f t="shared" si="16"/>
        <v>5.1333333333333342E-2</v>
      </c>
      <c r="C43" s="21">
        <f t="shared" si="10"/>
        <v>0.308</v>
      </c>
      <c r="D43" s="21">
        <f t="shared" si="9"/>
        <v>0.45533333333333331</v>
      </c>
      <c r="E43" s="21">
        <f t="shared" si="11"/>
        <v>0.14133333333333334</v>
      </c>
      <c r="F43" s="21">
        <f t="shared" si="17"/>
        <v>1.3333333333333334E-2</v>
      </c>
      <c r="G43" s="24">
        <f t="shared" si="13"/>
        <v>6.0666666666666667E-2</v>
      </c>
      <c r="H43" s="24">
        <f t="shared" si="14"/>
        <v>0.114</v>
      </c>
      <c r="I43" s="24">
        <f t="shared" si="15"/>
        <v>5.4666666666666662E-2</v>
      </c>
    </row>
    <row r="44" spans="1:10" x14ac:dyDescent="0.25">
      <c r="A44" s="14">
        <v>1987</v>
      </c>
      <c r="B44" s="21">
        <f t="shared" si="16"/>
        <v>5.1333333333333342E-2</v>
      </c>
      <c r="C44" s="21">
        <f t="shared" si="10"/>
        <v>0.308</v>
      </c>
      <c r="D44" s="21">
        <f t="shared" si="9"/>
        <v>0.45533333333333331</v>
      </c>
      <c r="E44" s="21">
        <f t="shared" si="11"/>
        <v>0.14133333333333334</v>
      </c>
      <c r="F44" s="21">
        <f t="shared" si="17"/>
        <v>1.3333333333333334E-2</v>
      </c>
      <c r="G44" s="24">
        <f t="shared" si="13"/>
        <v>6.0666666666666667E-2</v>
      </c>
      <c r="H44" s="24">
        <f t="shared" si="14"/>
        <v>0.114</v>
      </c>
      <c r="I44" s="24">
        <f t="shared" si="15"/>
        <v>5.4666666666666662E-2</v>
      </c>
    </row>
    <row r="45" spans="1:10" x14ac:dyDescent="0.25">
      <c r="A45" s="14">
        <v>1988</v>
      </c>
      <c r="B45" s="21">
        <f t="shared" si="16"/>
        <v>5.1333333333333342E-2</v>
      </c>
      <c r="C45" s="21">
        <f t="shared" si="10"/>
        <v>0.308</v>
      </c>
      <c r="D45" s="21">
        <f t="shared" si="9"/>
        <v>0.45533333333333331</v>
      </c>
      <c r="E45" s="21">
        <f t="shared" si="11"/>
        <v>0.14133333333333334</v>
      </c>
      <c r="F45" s="21">
        <f t="shared" si="17"/>
        <v>1.3333333333333334E-2</v>
      </c>
      <c r="G45" s="24">
        <f t="shared" si="13"/>
        <v>6.0666666666666667E-2</v>
      </c>
      <c r="H45" s="24">
        <f t="shared" si="14"/>
        <v>0.114</v>
      </c>
      <c r="I45" s="24">
        <f t="shared" si="15"/>
        <v>5.4666666666666662E-2</v>
      </c>
    </row>
    <row r="46" spans="1:10" x14ac:dyDescent="0.25">
      <c r="A46" s="14">
        <v>1989</v>
      </c>
      <c r="B46" s="21">
        <f t="shared" si="16"/>
        <v>5.1333333333333342E-2</v>
      </c>
      <c r="C46" s="21">
        <f t="shared" si="10"/>
        <v>0.308</v>
      </c>
      <c r="D46" s="21">
        <f t="shared" si="9"/>
        <v>0.45533333333333331</v>
      </c>
      <c r="E46" s="21">
        <f t="shared" si="11"/>
        <v>0.14133333333333334</v>
      </c>
      <c r="F46" s="21">
        <f t="shared" si="17"/>
        <v>1.3333333333333334E-2</v>
      </c>
      <c r="G46" s="24">
        <f t="shared" si="13"/>
        <v>6.0666666666666667E-2</v>
      </c>
      <c r="H46" s="24">
        <f t="shared" si="14"/>
        <v>0.114</v>
      </c>
      <c r="I46" s="24">
        <f t="shared" si="15"/>
        <v>5.4666666666666662E-2</v>
      </c>
    </row>
    <row r="47" spans="1:10" x14ac:dyDescent="0.25">
      <c r="A47" s="14">
        <v>1990</v>
      </c>
      <c r="B47" s="21">
        <f t="shared" si="16"/>
        <v>5.1333333333333342E-2</v>
      </c>
      <c r="C47" s="21">
        <f t="shared" si="10"/>
        <v>0.308</v>
      </c>
      <c r="D47" s="21">
        <f t="shared" si="9"/>
        <v>0.45533333333333331</v>
      </c>
      <c r="E47" s="21">
        <f t="shared" si="11"/>
        <v>0.14133333333333334</v>
      </c>
      <c r="F47" s="21">
        <f t="shared" si="17"/>
        <v>1.3333333333333334E-2</v>
      </c>
      <c r="G47" s="24">
        <f t="shared" si="13"/>
        <v>6.0666666666666667E-2</v>
      </c>
      <c r="H47" s="24">
        <f t="shared" si="14"/>
        <v>0.114</v>
      </c>
      <c r="I47" s="24">
        <f t="shared" si="15"/>
        <v>5.4666666666666662E-2</v>
      </c>
    </row>
    <row r="48" spans="1:10" x14ac:dyDescent="0.25">
      <c r="A48" s="14">
        <v>1991</v>
      </c>
    </row>
    <row r="49" spans="1:11" x14ac:dyDescent="0.25">
      <c r="A49" s="14">
        <v>1992</v>
      </c>
      <c r="B49" s="22"/>
      <c r="C49" s="22"/>
      <c r="D49" s="22"/>
      <c r="E49" s="22"/>
      <c r="F49" s="22"/>
      <c r="G49" s="22"/>
      <c r="H49" s="22"/>
      <c r="I49" s="22"/>
      <c r="J49" s="37"/>
      <c r="K49" s="22"/>
    </row>
    <row r="50" spans="1:11" x14ac:dyDescent="0.25">
      <c r="A50" s="14">
        <v>1993</v>
      </c>
      <c r="B50" s="23"/>
      <c r="C50" s="23"/>
      <c r="D50" s="23"/>
      <c r="E50" s="23"/>
      <c r="F50" s="23"/>
      <c r="G50" s="23"/>
      <c r="H50" s="23"/>
      <c r="I50" s="23"/>
      <c r="J50" s="34"/>
    </row>
    <row r="51" spans="1:11" x14ac:dyDescent="0.25">
      <c r="A51" s="14">
        <v>1994</v>
      </c>
      <c r="B51" s="23"/>
      <c r="C51" s="23"/>
      <c r="D51" s="23"/>
      <c r="E51" s="23"/>
      <c r="F51" s="23"/>
      <c r="G51" s="23"/>
      <c r="H51" s="23"/>
      <c r="I51" s="23"/>
      <c r="J51" s="34"/>
    </row>
    <row r="52" spans="1:11" x14ac:dyDescent="0.25">
      <c r="A52" s="14">
        <v>1995</v>
      </c>
      <c r="B52" s="23"/>
      <c r="C52" s="23"/>
      <c r="D52" s="23"/>
      <c r="E52" s="23"/>
      <c r="F52" s="23"/>
      <c r="G52" s="23"/>
      <c r="H52" s="23"/>
      <c r="I52" s="23"/>
      <c r="J52" s="34"/>
    </row>
    <row r="53" spans="1:11" x14ac:dyDescent="0.25">
      <c r="A53" s="14">
        <v>1996</v>
      </c>
      <c r="B53" s="23"/>
      <c r="C53" s="23"/>
      <c r="D53" s="23"/>
      <c r="E53" s="23"/>
      <c r="F53" s="23"/>
      <c r="G53" s="23"/>
      <c r="H53" s="23"/>
      <c r="I53" s="23"/>
      <c r="J53" s="34"/>
    </row>
    <row r="54" spans="1:11" x14ac:dyDescent="0.25">
      <c r="A54" s="14">
        <v>1997</v>
      </c>
      <c r="B54" s="23"/>
      <c r="C54" s="23"/>
      <c r="D54" s="23"/>
      <c r="E54" s="23"/>
      <c r="F54" s="23"/>
      <c r="G54" s="23"/>
      <c r="H54" s="23"/>
      <c r="I54" s="23"/>
      <c r="J54" s="34"/>
    </row>
    <row r="55" spans="1:11" x14ac:dyDescent="0.25">
      <c r="A55" s="14">
        <v>1998</v>
      </c>
      <c r="B55" s="23"/>
      <c r="C55" s="23"/>
      <c r="D55" s="23"/>
      <c r="E55" s="23"/>
      <c r="F55" s="23"/>
      <c r="G55" s="23"/>
      <c r="H55" s="23"/>
      <c r="I55" s="23"/>
      <c r="J55" s="34"/>
    </row>
    <row r="56" spans="1:11" x14ac:dyDescent="0.25">
      <c r="A56" s="14">
        <v>1999</v>
      </c>
      <c r="B56" s="23"/>
      <c r="C56" s="23"/>
      <c r="D56" s="23"/>
      <c r="E56" s="23"/>
      <c r="F56" s="23"/>
      <c r="G56" s="23"/>
      <c r="H56" s="23"/>
      <c r="I56" s="23"/>
      <c r="J56" s="34"/>
    </row>
    <row r="57" spans="1:11" x14ac:dyDescent="0.25">
      <c r="A57" s="14">
        <v>2000</v>
      </c>
      <c r="B57" s="23"/>
      <c r="C57" s="23"/>
      <c r="D57" s="23"/>
      <c r="E57" s="23"/>
      <c r="F57" s="23"/>
      <c r="G57" s="23"/>
      <c r="H57" s="23"/>
      <c r="I57" s="23"/>
      <c r="J57" s="34"/>
    </row>
    <row r="58" spans="1:11" x14ac:dyDescent="0.25">
      <c r="A58" s="14">
        <v>2001</v>
      </c>
      <c r="B58" s="23"/>
      <c r="C58" s="23"/>
      <c r="D58" s="23"/>
      <c r="E58" s="23"/>
      <c r="F58" s="23"/>
      <c r="G58" s="23"/>
      <c r="H58" s="23"/>
      <c r="I58" s="23"/>
      <c r="J58" s="34"/>
    </row>
    <row r="59" spans="1:11" x14ac:dyDescent="0.25">
      <c r="A59" s="14">
        <v>2002</v>
      </c>
      <c r="B59" s="23"/>
      <c r="C59" s="23"/>
      <c r="D59" s="23"/>
      <c r="E59" s="23"/>
      <c r="F59" s="23"/>
      <c r="G59" s="23"/>
      <c r="H59" s="23"/>
      <c r="I59" s="23"/>
      <c r="J59" s="34"/>
    </row>
    <row r="60" spans="1:11" x14ac:dyDescent="0.25">
      <c r="A60" s="14">
        <v>2003</v>
      </c>
      <c r="B60" s="23"/>
      <c r="C60" s="23"/>
      <c r="D60" s="23"/>
      <c r="E60" s="23"/>
      <c r="F60" s="23"/>
      <c r="G60" s="23"/>
      <c r="H60" s="23"/>
      <c r="I60" s="23"/>
      <c r="J60" s="34"/>
    </row>
    <row r="61" spans="1:11" x14ac:dyDescent="0.25">
      <c r="A61" s="14">
        <v>2004</v>
      </c>
      <c r="B61" s="23"/>
      <c r="C61" s="23"/>
      <c r="D61" s="23"/>
      <c r="E61" s="23"/>
      <c r="F61" s="23"/>
      <c r="G61" s="23"/>
      <c r="H61" s="23"/>
      <c r="I61" s="23"/>
      <c r="J61" s="34"/>
    </row>
    <row r="62" spans="1:11" x14ac:dyDescent="0.25">
      <c r="A62" s="14">
        <v>2005</v>
      </c>
      <c r="B62" s="23"/>
      <c r="C62" s="23"/>
      <c r="D62" s="23"/>
      <c r="E62" s="23"/>
      <c r="F62" s="23"/>
      <c r="G62" s="23"/>
      <c r="H62" s="23"/>
      <c r="I62" s="23"/>
      <c r="J62" s="34"/>
    </row>
    <row r="63" spans="1:11" x14ac:dyDescent="0.25">
      <c r="A63" s="14">
        <v>2006</v>
      </c>
      <c r="B63" s="23"/>
      <c r="C63" s="23"/>
      <c r="D63" s="23"/>
      <c r="E63" s="23"/>
      <c r="F63" s="23"/>
      <c r="G63" s="23"/>
      <c r="H63" s="23"/>
      <c r="I63" s="23"/>
      <c r="J63" s="34"/>
    </row>
    <row r="64" spans="1:11" x14ac:dyDescent="0.25">
      <c r="A64" s="14">
        <v>2007</v>
      </c>
      <c r="B64" s="23"/>
      <c r="C64" s="23"/>
      <c r="D64" s="23"/>
      <c r="E64" s="23"/>
      <c r="F64" s="23"/>
      <c r="G64" s="23"/>
      <c r="H64" s="23"/>
      <c r="I64" s="23"/>
      <c r="J64" s="34"/>
    </row>
    <row r="65" spans="1:75" x14ac:dyDescent="0.25">
      <c r="A65" s="14">
        <v>2008</v>
      </c>
    </row>
    <row r="66" spans="1:75" x14ac:dyDescent="0.25">
      <c r="A66" s="14">
        <v>2009</v>
      </c>
    </row>
    <row r="67" spans="1:75" x14ac:dyDescent="0.25">
      <c r="A67" s="14">
        <v>2010</v>
      </c>
    </row>
    <row r="68" spans="1:75" x14ac:dyDescent="0.25">
      <c r="A68" s="14">
        <v>2011</v>
      </c>
    </row>
    <row r="69" spans="1:75" x14ac:dyDescent="0.25">
      <c r="A69" s="14">
        <v>2012</v>
      </c>
    </row>
    <row r="70" spans="1:75" x14ac:dyDescent="0.25">
      <c r="A70" s="14">
        <v>2013</v>
      </c>
    </row>
    <row r="71" spans="1:75" x14ac:dyDescent="0.25">
      <c r="A71" s="14">
        <v>2014</v>
      </c>
    </row>
    <row r="72" spans="1:75" x14ac:dyDescent="0.25">
      <c r="A72" s="14">
        <v>2015</v>
      </c>
    </row>
    <row r="73" spans="1:75" x14ac:dyDescent="0.25">
      <c r="A73" s="14">
        <v>2016</v>
      </c>
    </row>
    <row r="74" spans="1:75" x14ac:dyDescent="0.25">
      <c r="A74" s="14">
        <v>2017</v>
      </c>
    </row>
    <row r="75" spans="1:75" x14ac:dyDescent="0.25">
      <c r="A75" s="14">
        <v>2018</v>
      </c>
    </row>
    <row r="76" spans="1:75" x14ac:dyDescent="0.25">
      <c r="A76" s="14">
        <v>2019</v>
      </c>
    </row>
    <row r="77" spans="1:75" x14ac:dyDescent="0.25">
      <c r="A77" s="14">
        <v>2020</v>
      </c>
    </row>
    <row r="78" spans="1:75" s="4" customFormat="1" x14ac:dyDescent="0.25">
      <c r="A78" s="13"/>
      <c r="B78" s="6"/>
      <c r="C78" s="6"/>
      <c r="D78" s="6"/>
      <c r="E78" s="6"/>
      <c r="F78" s="6"/>
      <c r="G78" s="6"/>
      <c r="H78" s="6"/>
      <c r="I78" s="6"/>
      <c r="J78" s="35"/>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row>
    <row r="79" spans="1:75" s="4" customFormat="1" x14ac:dyDescent="0.25">
      <c r="A79" s="13"/>
      <c r="B79" s="6"/>
      <c r="C79" s="6"/>
      <c r="D79" s="6"/>
      <c r="E79" s="6"/>
      <c r="F79" s="6"/>
      <c r="G79" s="6"/>
      <c r="H79" s="6"/>
      <c r="I79" s="6"/>
      <c r="J79" s="35"/>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row>
    <row r="80" spans="1:75" s="4" customFormat="1" x14ac:dyDescent="0.25">
      <c r="A80" s="13"/>
      <c r="B80" s="6"/>
      <c r="C80" s="6"/>
      <c r="D80" s="6"/>
      <c r="E80" s="6"/>
      <c r="F80" s="6"/>
      <c r="G80" s="6"/>
      <c r="H80" s="6"/>
      <c r="I80" s="6"/>
      <c r="J80" s="35"/>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row>
    <row r="87" spans="1:75" s="4" customFormat="1" x14ac:dyDescent="0.25">
      <c r="A87" s="13"/>
      <c r="B87" s="6"/>
      <c r="C87" s="6"/>
      <c r="D87" s="6"/>
      <c r="E87" s="6"/>
      <c r="F87" s="6"/>
      <c r="G87" s="6"/>
      <c r="H87" s="6"/>
      <c r="I87" s="6"/>
      <c r="J87" s="35"/>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row>
    <row r="88" spans="1:75" s="4" customFormat="1" x14ac:dyDescent="0.25">
      <c r="A88" s="13"/>
      <c r="B88" s="6"/>
      <c r="C88" s="6"/>
      <c r="D88" s="6"/>
      <c r="E88" s="6"/>
      <c r="F88" s="6"/>
      <c r="G88" s="6"/>
      <c r="H88" s="6"/>
      <c r="I88" s="6"/>
      <c r="J88" s="35"/>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7DDE-3AA8-4578-8EAA-86C606C63883}">
  <dimension ref="A1:BX88"/>
  <sheetViews>
    <sheetView zoomScale="85" zoomScaleNormal="85" workbookViewId="0">
      <pane xSplit="1" ySplit="1" topLeftCell="B2" activePane="bottomRight" state="frozen"/>
      <selection pane="topRight" activeCell="B1" sqref="B1"/>
      <selection pane="bottomLeft" activeCell="A2" sqref="A2"/>
      <selection pane="bottomRight" activeCell="C6" sqref="C6"/>
    </sheetView>
  </sheetViews>
  <sheetFormatPr defaultColWidth="10.7109375" defaultRowHeight="15" x14ac:dyDescent="0.25"/>
  <cols>
    <col min="1" max="1" width="8" style="60" bestFit="1" customWidth="1"/>
    <col min="2" max="9" width="16.42578125" style="57" customWidth="1"/>
    <col min="10" max="10" width="16.42578125" style="67" customWidth="1"/>
    <col min="11" max="14" width="16.42578125" style="57" customWidth="1"/>
    <col min="15" max="16384" width="10.7109375" style="57"/>
  </cols>
  <sheetData>
    <row r="1" spans="1:14" s="70" customFormat="1" ht="30" x14ac:dyDescent="0.25">
      <c r="A1" s="69" t="s">
        <v>0</v>
      </c>
      <c r="B1" s="55" t="s">
        <v>24</v>
      </c>
      <c r="C1" s="55" t="s">
        <v>25</v>
      </c>
      <c r="D1" s="55" t="s">
        <v>26</v>
      </c>
      <c r="E1" s="55" t="s">
        <v>18</v>
      </c>
      <c r="F1" s="55" t="s">
        <v>28</v>
      </c>
      <c r="G1" s="55" t="s">
        <v>19</v>
      </c>
      <c r="H1" s="55" t="s">
        <v>20</v>
      </c>
      <c r="I1" s="55" t="s">
        <v>27</v>
      </c>
      <c r="J1" s="62"/>
      <c r="K1" s="55" t="s">
        <v>48</v>
      </c>
      <c r="L1" s="55" t="s">
        <v>21</v>
      </c>
      <c r="M1" s="55" t="s">
        <v>22</v>
      </c>
      <c r="N1" s="55" t="s">
        <v>23</v>
      </c>
    </row>
    <row r="2" spans="1:14" x14ac:dyDescent="0.25">
      <c r="A2" s="25">
        <v>1945</v>
      </c>
      <c r="B2" s="58">
        <f>1.99/5-C2</f>
        <v>0.38</v>
      </c>
      <c r="C2" s="58">
        <f>0.09/5</f>
        <v>1.7999999999999999E-2</v>
      </c>
      <c r="D2" s="58">
        <f>3.43/5</f>
        <v>0.68600000000000005</v>
      </c>
      <c r="E2" s="58">
        <f>1.03/5</f>
        <v>0.20600000000000002</v>
      </c>
      <c r="F2" s="58">
        <f>0.21/5</f>
        <v>4.1999999999999996E-2</v>
      </c>
      <c r="G2" s="58">
        <f>0.34/5</f>
        <v>6.8000000000000005E-2</v>
      </c>
      <c r="H2" s="58">
        <f>0.69/5</f>
        <v>0.13799999999999998</v>
      </c>
      <c r="I2" s="58">
        <f>0.1/5</f>
        <v>0.02</v>
      </c>
      <c r="J2" s="63"/>
      <c r="K2" s="58"/>
      <c r="L2" s="58"/>
      <c r="M2" s="58"/>
    </row>
    <row r="3" spans="1:14" x14ac:dyDescent="0.25">
      <c r="A3" s="25">
        <v>1946</v>
      </c>
      <c r="B3" s="58">
        <f t="shared" ref="B3:B32" si="0">1.99/5-C3</f>
        <v>0.38</v>
      </c>
      <c r="C3" s="58">
        <f t="shared" ref="C3:C32" si="1">0.09/5</f>
        <v>1.7999999999999999E-2</v>
      </c>
      <c r="D3" s="58">
        <f t="shared" ref="D3:D32" si="2">3.43/5</f>
        <v>0.68600000000000005</v>
      </c>
      <c r="E3" s="58">
        <f t="shared" ref="E3:E32" si="3">1.03/5</f>
        <v>0.20600000000000002</v>
      </c>
      <c r="F3" s="58">
        <f t="shared" ref="F3:F22" si="4">0.21/5</f>
        <v>4.1999999999999996E-2</v>
      </c>
      <c r="G3" s="58">
        <f t="shared" ref="G3:G32" si="5">0.34/5</f>
        <v>6.8000000000000005E-2</v>
      </c>
      <c r="H3" s="58">
        <f t="shared" ref="H3:H32" si="6">0.69/5</f>
        <v>0.13799999999999998</v>
      </c>
      <c r="I3" s="58">
        <f t="shared" ref="I3:I32" si="7">0.1/5</f>
        <v>0.02</v>
      </c>
      <c r="J3" s="63"/>
      <c r="K3" s="58"/>
      <c r="L3" s="58"/>
      <c r="M3" s="58"/>
    </row>
    <row r="4" spans="1:14" x14ac:dyDescent="0.25">
      <c r="A4" s="25">
        <v>1947</v>
      </c>
      <c r="B4" s="58">
        <f t="shared" si="0"/>
        <v>0.38</v>
      </c>
      <c r="C4" s="58">
        <f t="shared" si="1"/>
        <v>1.7999999999999999E-2</v>
      </c>
      <c r="D4" s="58">
        <f t="shared" si="2"/>
        <v>0.68600000000000005</v>
      </c>
      <c r="E4" s="58">
        <f t="shared" si="3"/>
        <v>0.20600000000000002</v>
      </c>
      <c r="F4" s="58">
        <f t="shared" si="4"/>
        <v>4.1999999999999996E-2</v>
      </c>
      <c r="G4" s="58">
        <f t="shared" si="5"/>
        <v>6.8000000000000005E-2</v>
      </c>
      <c r="H4" s="58">
        <f t="shared" si="6"/>
        <v>0.13799999999999998</v>
      </c>
      <c r="I4" s="58">
        <f t="shared" si="7"/>
        <v>0.02</v>
      </c>
      <c r="J4" s="63"/>
      <c r="K4" s="58"/>
      <c r="L4" s="58">
        <f>3.57/5</f>
        <v>0.71399999999999997</v>
      </c>
      <c r="M4" s="58">
        <f>0.4/5</f>
        <v>0.08</v>
      </c>
    </row>
    <row r="5" spans="1:14" x14ac:dyDescent="0.25">
      <c r="A5" s="25">
        <v>1948</v>
      </c>
      <c r="B5" s="58">
        <f t="shared" si="0"/>
        <v>0.38</v>
      </c>
      <c r="C5" s="58">
        <f t="shared" si="1"/>
        <v>1.7999999999999999E-2</v>
      </c>
      <c r="D5" s="58">
        <f t="shared" si="2"/>
        <v>0.68600000000000005</v>
      </c>
      <c r="E5" s="58">
        <f t="shared" si="3"/>
        <v>0.20600000000000002</v>
      </c>
      <c r="F5" s="58">
        <f t="shared" si="4"/>
        <v>4.1999999999999996E-2</v>
      </c>
      <c r="G5" s="58">
        <f t="shared" si="5"/>
        <v>6.8000000000000005E-2</v>
      </c>
      <c r="H5" s="58">
        <f t="shared" si="6"/>
        <v>0.13799999999999998</v>
      </c>
      <c r="I5" s="58">
        <f t="shared" si="7"/>
        <v>0.02</v>
      </c>
      <c r="J5" s="64"/>
      <c r="K5" s="56"/>
      <c r="L5" s="58"/>
      <c r="M5" s="58"/>
    </row>
    <row r="6" spans="1:14" x14ac:dyDescent="0.25">
      <c r="A6" s="25">
        <v>1949</v>
      </c>
      <c r="B6" s="58">
        <f t="shared" si="0"/>
        <v>0.38</v>
      </c>
      <c r="C6" s="58">
        <f t="shared" si="1"/>
        <v>1.7999999999999999E-2</v>
      </c>
      <c r="D6" s="58">
        <f t="shared" si="2"/>
        <v>0.68600000000000005</v>
      </c>
      <c r="E6" s="58">
        <f t="shared" si="3"/>
        <v>0.20600000000000002</v>
      </c>
      <c r="F6" s="58">
        <f t="shared" si="4"/>
        <v>4.1999999999999996E-2</v>
      </c>
      <c r="G6" s="58">
        <f t="shared" si="5"/>
        <v>6.8000000000000005E-2</v>
      </c>
      <c r="H6" s="58">
        <f t="shared" si="6"/>
        <v>0.13799999999999998</v>
      </c>
      <c r="I6" s="58">
        <f t="shared" si="7"/>
        <v>0.02</v>
      </c>
      <c r="J6" s="64"/>
      <c r="K6" s="56"/>
      <c r="L6" s="58"/>
      <c r="M6" s="58"/>
    </row>
    <row r="7" spans="1:14" x14ac:dyDescent="0.25">
      <c r="A7" s="25">
        <v>1950</v>
      </c>
      <c r="B7" s="58">
        <f t="shared" si="0"/>
        <v>0.38</v>
      </c>
      <c r="C7" s="58">
        <f t="shared" si="1"/>
        <v>1.7999999999999999E-2</v>
      </c>
      <c r="D7" s="58">
        <f t="shared" si="2"/>
        <v>0.68600000000000005</v>
      </c>
      <c r="E7" s="58">
        <f t="shared" si="3"/>
        <v>0.20600000000000002</v>
      </c>
      <c r="F7" s="58">
        <f t="shared" si="4"/>
        <v>4.1999999999999996E-2</v>
      </c>
      <c r="G7" s="58">
        <f t="shared" si="5"/>
        <v>6.8000000000000005E-2</v>
      </c>
      <c r="H7" s="58">
        <f t="shared" si="6"/>
        <v>0.13799999999999998</v>
      </c>
      <c r="I7" s="58">
        <f t="shared" si="7"/>
        <v>0.02</v>
      </c>
      <c r="J7" s="64"/>
      <c r="K7" s="56"/>
      <c r="L7" s="58">
        <f>3.31/5</f>
        <v>0.66200000000000003</v>
      </c>
      <c r="M7" s="58">
        <f>0.5/5</f>
        <v>0.1</v>
      </c>
    </row>
    <row r="8" spans="1:14" x14ac:dyDescent="0.25">
      <c r="A8" s="25">
        <v>1951</v>
      </c>
      <c r="B8" s="58">
        <f t="shared" si="0"/>
        <v>0.38</v>
      </c>
      <c r="C8" s="58">
        <f t="shared" si="1"/>
        <v>1.7999999999999999E-2</v>
      </c>
      <c r="D8" s="58">
        <f t="shared" si="2"/>
        <v>0.68600000000000005</v>
      </c>
      <c r="E8" s="58">
        <f t="shared" si="3"/>
        <v>0.20600000000000002</v>
      </c>
      <c r="F8" s="58">
        <f t="shared" si="4"/>
        <v>4.1999999999999996E-2</v>
      </c>
      <c r="G8" s="58">
        <f t="shared" si="5"/>
        <v>6.8000000000000005E-2</v>
      </c>
      <c r="H8" s="58">
        <f t="shared" si="6"/>
        <v>0.13799999999999998</v>
      </c>
      <c r="I8" s="58">
        <f t="shared" si="7"/>
        <v>0.02</v>
      </c>
      <c r="J8" s="64"/>
      <c r="K8" s="56"/>
      <c r="L8" s="58"/>
      <c r="M8" s="58"/>
    </row>
    <row r="9" spans="1:14" x14ac:dyDescent="0.25">
      <c r="A9" s="25">
        <v>1952</v>
      </c>
      <c r="B9" s="58">
        <f t="shared" si="0"/>
        <v>0.38</v>
      </c>
      <c r="C9" s="58">
        <f t="shared" si="1"/>
        <v>1.7999999999999999E-2</v>
      </c>
      <c r="D9" s="58">
        <f t="shared" si="2"/>
        <v>0.68600000000000005</v>
      </c>
      <c r="E9" s="58">
        <f t="shared" si="3"/>
        <v>0.20600000000000002</v>
      </c>
      <c r="F9" s="58">
        <f t="shared" si="4"/>
        <v>4.1999999999999996E-2</v>
      </c>
      <c r="G9" s="58">
        <f t="shared" si="5"/>
        <v>6.8000000000000005E-2</v>
      </c>
      <c r="H9" s="58">
        <f t="shared" si="6"/>
        <v>0.13799999999999998</v>
      </c>
      <c r="I9" s="58">
        <f t="shared" si="7"/>
        <v>0.02</v>
      </c>
      <c r="J9" s="64"/>
      <c r="K9" s="56"/>
      <c r="L9" s="58"/>
      <c r="M9" s="58"/>
    </row>
    <row r="10" spans="1:14" x14ac:dyDescent="0.25">
      <c r="A10" s="25">
        <v>1953</v>
      </c>
      <c r="B10" s="58">
        <f t="shared" si="0"/>
        <v>0.38</v>
      </c>
      <c r="C10" s="58">
        <f t="shared" si="1"/>
        <v>1.7999999999999999E-2</v>
      </c>
      <c r="D10" s="58">
        <f t="shared" si="2"/>
        <v>0.68600000000000005</v>
      </c>
      <c r="E10" s="58">
        <f t="shared" si="3"/>
        <v>0.20600000000000002</v>
      </c>
      <c r="F10" s="58">
        <f t="shared" si="4"/>
        <v>4.1999999999999996E-2</v>
      </c>
      <c r="G10" s="58">
        <f t="shared" si="5"/>
        <v>6.8000000000000005E-2</v>
      </c>
      <c r="H10" s="58">
        <f t="shared" si="6"/>
        <v>0.13799999999999998</v>
      </c>
      <c r="I10" s="58">
        <f t="shared" si="7"/>
        <v>0.02</v>
      </c>
      <c r="J10" s="64"/>
      <c r="K10" s="56"/>
      <c r="L10" s="58"/>
      <c r="M10" s="58"/>
    </row>
    <row r="11" spans="1:14" x14ac:dyDescent="0.25">
      <c r="A11" s="25">
        <v>1954</v>
      </c>
      <c r="B11" s="58">
        <f t="shared" si="0"/>
        <v>0.38</v>
      </c>
      <c r="C11" s="58">
        <v>1.7999999999999999E-2</v>
      </c>
      <c r="D11" s="58">
        <v>0.68600000000000005</v>
      </c>
      <c r="E11" s="58">
        <v>0.20600000000000002</v>
      </c>
      <c r="F11" s="58">
        <v>4.1999999999999996E-2</v>
      </c>
      <c r="G11" s="58">
        <v>6.8000000000000005E-2</v>
      </c>
      <c r="H11" s="58">
        <v>0.13799999999999998</v>
      </c>
      <c r="I11" s="58">
        <v>0.02</v>
      </c>
      <c r="J11" s="64"/>
      <c r="K11" s="58">
        <v>0.11</v>
      </c>
      <c r="L11" s="58"/>
      <c r="M11" s="58"/>
      <c r="N11" s="58">
        <v>194</v>
      </c>
    </row>
    <row r="12" spans="1:14" x14ac:dyDescent="0.25">
      <c r="A12" s="25">
        <v>1955</v>
      </c>
      <c r="B12" s="58">
        <f t="shared" si="0"/>
        <v>0.38</v>
      </c>
      <c r="C12" s="58">
        <f t="shared" si="1"/>
        <v>1.7999999999999999E-2</v>
      </c>
      <c r="D12" s="58">
        <f t="shared" si="2"/>
        <v>0.68600000000000005</v>
      </c>
      <c r="E12" s="58">
        <f t="shared" si="3"/>
        <v>0.20600000000000002</v>
      </c>
      <c r="F12" s="58">
        <f t="shared" si="4"/>
        <v>4.1999999999999996E-2</v>
      </c>
      <c r="G12" s="58">
        <f t="shared" si="5"/>
        <v>6.8000000000000005E-2</v>
      </c>
      <c r="H12" s="58">
        <f t="shared" si="6"/>
        <v>0.13799999999999998</v>
      </c>
      <c r="I12" s="58">
        <f t="shared" si="7"/>
        <v>0.02</v>
      </c>
      <c r="J12" s="64"/>
      <c r="K12" s="56"/>
      <c r="L12" s="58"/>
      <c r="M12" s="58"/>
    </row>
    <row r="13" spans="1:14" x14ac:dyDescent="0.25">
      <c r="A13" s="25">
        <v>1956</v>
      </c>
      <c r="B13" s="58">
        <f t="shared" si="0"/>
        <v>0.38</v>
      </c>
      <c r="C13" s="58">
        <f t="shared" si="1"/>
        <v>1.7999999999999999E-2</v>
      </c>
      <c r="D13" s="58">
        <f t="shared" si="2"/>
        <v>0.68600000000000005</v>
      </c>
      <c r="E13" s="58">
        <f t="shared" si="3"/>
        <v>0.20600000000000002</v>
      </c>
      <c r="F13" s="58">
        <f t="shared" si="4"/>
        <v>4.1999999999999996E-2</v>
      </c>
      <c r="G13" s="58">
        <f t="shared" si="5"/>
        <v>6.8000000000000005E-2</v>
      </c>
      <c r="H13" s="58">
        <f t="shared" si="6"/>
        <v>0.13799999999999998</v>
      </c>
      <c r="I13" s="58">
        <f t="shared" si="7"/>
        <v>0.02</v>
      </c>
      <c r="J13" s="64"/>
      <c r="K13" s="56"/>
      <c r="L13" s="58"/>
      <c r="M13" s="58"/>
    </row>
    <row r="14" spans="1:14" x14ac:dyDescent="0.25">
      <c r="A14" s="25">
        <v>1957</v>
      </c>
      <c r="B14" s="58">
        <v>0.38</v>
      </c>
      <c r="C14" s="58">
        <v>1.7999999999999999E-2</v>
      </c>
      <c r="D14" s="58">
        <v>0.68600000000000005</v>
      </c>
      <c r="E14" s="58">
        <v>0.20600000000000002</v>
      </c>
      <c r="F14" s="58">
        <v>4.1999999999999996E-2</v>
      </c>
      <c r="G14" s="58">
        <v>6.8000000000000005E-2</v>
      </c>
      <c r="H14" s="58">
        <v>0.13799999999999998</v>
      </c>
      <c r="I14" s="58">
        <v>0.02</v>
      </c>
      <c r="J14" s="64"/>
      <c r="K14" s="56"/>
      <c r="L14" s="58"/>
      <c r="M14" s="58"/>
    </row>
    <row r="15" spans="1:14" x14ac:dyDescent="0.25">
      <c r="A15" s="25">
        <v>1958</v>
      </c>
      <c r="B15" s="58">
        <f t="shared" si="0"/>
        <v>0.38</v>
      </c>
      <c r="C15" s="58">
        <f t="shared" si="1"/>
        <v>1.7999999999999999E-2</v>
      </c>
      <c r="D15" s="58">
        <f t="shared" si="2"/>
        <v>0.68600000000000005</v>
      </c>
      <c r="E15" s="58">
        <f t="shared" si="3"/>
        <v>0.20600000000000002</v>
      </c>
      <c r="F15" s="58">
        <f t="shared" si="4"/>
        <v>4.1999999999999996E-2</v>
      </c>
      <c r="G15" s="58">
        <f t="shared" si="5"/>
        <v>6.8000000000000005E-2</v>
      </c>
      <c r="H15" s="58">
        <f t="shared" si="6"/>
        <v>0.13799999999999998</v>
      </c>
      <c r="I15" s="58">
        <f t="shared" si="7"/>
        <v>0.02</v>
      </c>
      <c r="J15" s="64"/>
      <c r="K15" s="56"/>
      <c r="L15" s="58"/>
      <c r="M15" s="58"/>
    </row>
    <row r="16" spans="1:14" x14ac:dyDescent="0.25">
      <c r="A16" s="25">
        <v>1959</v>
      </c>
      <c r="B16" s="58">
        <f t="shared" si="0"/>
        <v>0.38</v>
      </c>
      <c r="C16" s="58">
        <f t="shared" si="1"/>
        <v>1.7999999999999999E-2</v>
      </c>
      <c r="D16" s="58">
        <f t="shared" si="2"/>
        <v>0.68600000000000005</v>
      </c>
      <c r="E16" s="58">
        <f t="shared" si="3"/>
        <v>0.20600000000000002</v>
      </c>
      <c r="F16" s="58">
        <f t="shared" si="4"/>
        <v>4.1999999999999996E-2</v>
      </c>
      <c r="G16" s="58">
        <f t="shared" si="5"/>
        <v>6.8000000000000005E-2</v>
      </c>
      <c r="H16" s="58">
        <f t="shared" si="6"/>
        <v>0.13799999999999998</v>
      </c>
      <c r="I16" s="58">
        <f t="shared" si="7"/>
        <v>0.02</v>
      </c>
      <c r="J16" s="64"/>
      <c r="K16" s="56"/>
      <c r="L16" s="58"/>
      <c r="M16" s="58"/>
    </row>
    <row r="17" spans="1:13" x14ac:dyDescent="0.25">
      <c r="A17" s="25">
        <v>1960</v>
      </c>
      <c r="B17" s="58">
        <f t="shared" si="0"/>
        <v>0.38</v>
      </c>
      <c r="C17" s="58">
        <f t="shared" si="1"/>
        <v>1.7999999999999999E-2</v>
      </c>
      <c r="D17" s="58">
        <f t="shared" si="2"/>
        <v>0.68600000000000005</v>
      </c>
      <c r="E17" s="58">
        <f t="shared" si="3"/>
        <v>0.20600000000000002</v>
      </c>
      <c r="F17" s="58">
        <f t="shared" si="4"/>
        <v>4.1999999999999996E-2</v>
      </c>
      <c r="G17" s="58">
        <f t="shared" si="5"/>
        <v>6.8000000000000005E-2</v>
      </c>
      <c r="H17" s="58">
        <f t="shared" si="6"/>
        <v>0.13799999999999998</v>
      </c>
      <c r="I17" s="58">
        <f t="shared" si="7"/>
        <v>0.02</v>
      </c>
      <c r="J17" s="64"/>
      <c r="K17" s="56"/>
      <c r="L17" s="58">
        <f>2.85/5</f>
        <v>0.57000000000000006</v>
      </c>
      <c r="M17" s="58">
        <f>0.6/5</f>
        <v>0.12</v>
      </c>
    </row>
    <row r="18" spans="1:13" x14ac:dyDescent="0.25">
      <c r="A18" s="25">
        <v>1961</v>
      </c>
      <c r="B18" s="58">
        <f t="shared" si="0"/>
        <v>0.38</v>
      </c>
      <c r="C18" s="58">
        <f t="shared" si="1"/>
        <v>1.7999999999999999E-2</v>
      </c>
      <c r="D18" s="58">
        <f t="shared" si="2"/>
        <v>0.68600000000000005</v>
      </c>
      <c r="E18" s="58">
        <f t="shared" si="3"/>
        <v>0.20600000000000002</v>
      </c>
      <c r="F18" s="58">
        <f t="shared" si="4"/>
        <v>4.1999999999999996E-2</v>
      </c>
      <c r="G18" s="58">
        <f t="shared" si="5"/>
        <v>6.8000000000000005E-2</v>
      </c>
      <c r="H18" s="58">
        <f t="shared" si="6"/>
        <v>0.13799999999999998</v>
      </c>
      <c r="I18" s="58">
        <f t="shared" si="7"/>
        <v>0.02</v>
      </c>
      <c r="J18" s="64"/>
      <c r="K18" s="56"/>
      <c r="L18" s="58"/>
      <c r="M18" s="58"/>
    </row>
    <row r="19" spans="1:13" x14ac:dyDescent="0.25">
      <c r="A19" s="25">
        <v>1962</v>
      </c>
      <c r="B19" s="58">
        <f t="shared" si="0"/>
        <v>0.38</v>
      </c>
      <c r="C19" s="58">
        <f t="shared" si="1"/>
        <v>1.7999999999999999E-2</v>
      </c>
      <c r="D19" s="58">
        <f t="shared" si="2"/>
        <v>0.68600000000000005</v>
      </c>
      <c r="E19" s="58">
        <f t="shared" si="3"/>
        <v>0.20600000000000002</v>
      </c>
      <c r="F19" s="58">
        <f t="shared" si="4"/>
        <v>4.1999999999999996E-2</v>
      </c>
      <c r="G19" s="58">
        <f t="shared" si="5"/>
        <v>6.8000000000000005E-2</v>
      </c>
      <c r="H19" s="58">
        <f t="shared" si="6"/>
        <v>0.13799999999999998</v>
      </c>
      <c r="I19" s="58">
        <f t="shared" si="7"/>
        <v>0.02</v>
      </c>
      <c r="J19" s="64"/>
      <c r="K19" s="56"/>
      <c r="L19" s="58"/>
      <c r="M19" s="58"/>
    </row>
    <row r="20" spans="1:13" x14ac:dyDescent="0.25">
      <c r="A20" s="25">
        <v>1963</v>
      </c>
      <c r="B20" s="58">
        <f t="shared" si="0"/>
        <v>0.38</v>
      </c>
      <c r="C20" s="58">
        <f t="shared" si="1"/>
        <v>1.7999999999999999E-2</v>
      </c>
      <c r="D20" s="58">
        <f t="shared" si="2"/>
        <v>0.68600000000000005</v>
      </c>
      <c r="E20" s="58">
        <f t="shared" si="3"/>
        <v>0.20600000000000002</v>
      </c>
      <c r="F20" s="58">
        <f t="shared" si="4"/>
        <v>4.1999999999999996E-2</v>
      </c>
      <c r="G20" s="58">
        <f t="shared" si="5"/>
        <v>6.8000000000000005E-2</v>
      </c>
      <c r="H20" s="58">
        <f t="shared" si="6"/>
        <v>0.13799999999999998</v>
      </c>
      <c r="I20" s="58">
        <f t="shared" si="7"/>
        <v>0.02</v>
      </c>
      <c r="J20" s="64"/>
      <c r="K20" s="56"/>
      <c r="L20" s="58"/>
      <c r="M20" s="58"/>
    </row>
    <row r="21" spans="1:13" x14ac:dyDescent="0.25">
      <c r="A21" s="25">
        <v>1964</v>
      </c>
      <c r="B21" s="58">
        <f t="shared" si="0"/>
        <v>0.38</v>
      </c>
      <c r="C21" s="58">
        <f t="shared" si="1"/>
        <v>1.7999999999999999E-2</v>
      </c>
      <c r="D21" s="58">
        <f t="shared" si="2"/>
        <v>0.68600000000000005</v>
      </c>
      <c r="E21" s="58">
        <f t="shared" si="3"/>
        <v>0.20600000000000002</v>
      </c>
      <c r="F21" s="58">
        <f t="shared" si="4"/>
        <v>4.1999999999999996E-2</v>
      </c>
      <c r="G21" s="58">
        <f t="shared" si="5"/>
        <v>6.8000000000000005E-2</v>
      </c>
      <c r="H21" s="58">
        <f t="shared" si="6"/>
        <v>0.13799999999999998</v>
      </c>
      <c r="I21" s="58">
        <f t="shared" si="7"/>
        <v>0.02</v>
      </c>
      <c r="J21" s="64"/>
      <c r="K21" s="56"/>
      <c r="L21" s="58"/>
      <c r="M21" s="58"/>
    </row>
    <row r="22" spans="1:13" x14ac:dyDescent="0.25">
      <c r="A22" s="25">
        <v>1965</v>
      </c>
      <c r="B22" s="58">
        <f t="shared" si="0"/>
        <v>0.38</v>
      </c>
      <c r="C22" s="58">
        <f t="shared" si="1"/>
        <v>1.7999999999999999E-2</v>
      </c>
      <c r="D22" s="58">
        <f t="shared" si="2"/>
        <v>0.68600000000000005</v>
      </c>
      <c r="E22" s="58">
        <f t="shared" si="3"/>
        <v>0.20600000000000002</v>
      </c>
      <c r="F22" s="58">
        <f t="shared" si="4"/>
        <v>4.1999999999999996E-2</v>
      </c>
      <c r="G22" s="58">
        <f t="shared" si="5"/>
        <v>6.8000000000000005E-2</v>
      </c>
      <c r="H22" s="58">
        <f t="shared" si="6"/>
        <v>0.13799999999999998</v>
      </c>
      <c r="I22" s="58">
        <f t="shared" si="7"/>
        <v>0.02</v>
      </c>
      <c r="J22" s="64"/>
      <c r="K22" s="56"/>
      <c r="L22" s="58"/>
      <c r="M22" s="58"/>
    </row>
    <row r="23" spans="1:13" x14ac:dyDescent="0.25">
      <c r="A23" s="25">
        <v>1966</v>
      </c>
      <c r="B23" s="58">
        <f t="shared" si="0"/>
        <v>0.38</v>
      </c>
      <c r="C23" s="58">
        <f t="shared" si="1"/>
        <v>1.7999999999999999E-2</v>
      </c>
      <c r="D23" s="58">
        <f t="shared" si="2"/>
        <v>0.68600000000000005</v>
      </c>
      <c r="E23" s="58">
        <f t="shared" si="3"/>
        <v>0.20600000000000002</v>
      </c>
      <c r="F23" s="58">
        <f>0.07/5</f>
        <v>1.4000000000000002E-2</v>
      </c>
      <c r="G23" s="58">
        <f t="shared" si="5"/>
        <v>6.8000000000000005E-2</v>
      </c>
      <c r="H23" s="58">
        <f t="shared" si="6"/>
        <v>0.13799999999999998</v>
      </c>
      <c r="I23" s="58">
        <f t="shared" si="7"/>
        <v>0.02</v>
      </c>
      <c r="J23" s="64"/>
      <c r="K23" s="56"/>
      <c r="L23" s="58"/>
      <c r="M23" s="58"/>
    </row>
    <row r="24" spans="1:13" x14ac:dyDescent="0.25">
      <c r="A24" s="25">
        <v>1967</v>
      </c>
      <c r="B24" s="58">
        <f t="shared" si="0"/>
        <v>0.38</v>
      </c>
      <c r="C24" s="58">
        <f t="shared" si="1"/>
        <v>1.7999999999999999E-2</v>
      </c>
      <c r="D24" s="58">
        <f t="shared" si="2"/>
        <v>0.68600000000000005</v>
      </c>
      <c r="E24" s="58">
        <f t="shared" si="3"/>
        <v>0.20600000000000002</v>
      </c>
      <c r="F24" s="58">
        <f t="shared" ref="F24:F47" si="8">0.07/5</f>
        <v>1.4000000000000002E-2</v>
      </c>
      <c r="G24" s="58">
        <f t="shared" si="5"/>
        <v>6.8000000000000005E-2</v>
      </c>
      <c r="H24" s="58">
        <f t="shared" si="6"/>
        <v>0.13799999999999998</v>
      </c>
      <c r="I24" s="58">
        <f t="shared" si="7"/>
        <v>0.02</v>
      </c>
      <c r="J24" s="64"/>
      <c r="K24" s="56"/>
      <c r="L24" s="58"/>
      <c r="M24" s="58"/>
    </row>
    <row r="25" spans="1:13" x14ac:dyDescent="0.25">
      <c r="A25" s="25">
        <v>1968</v>
      </c>
      <c r="B25" s="58">
        <f t="shared" si="0"/>
        <v>0.38</v>
      </c>
      <c r="C25" s="58">
        <f t="shared" si="1"/>
        <v>1.7999999999999999E-2</v>
      </c>
      <c r="D25" s="58">
        <f t="shared" si="2"/>
        <v>0.68600000000000005</v>
      </c>
      <c r="E25" s="58">
        <f t="shared" si="3"/>
        <v>0.20600000000000002</v>
      </c>
      <c r="F25" s="58">
        <f t="shared" si="8"/>
        <v>1.4000000000000002E-2</v>
      </c>
      <c r="G25" s="58">
        <f t="shared" si="5"/>
        <v>6.8000000000000005E-2</v>
      </c>
      <c r="H25" s="58">
        <f t="shared" si="6"/>
        <v>0.13799999999999998</v>
      </c>
      <c r="I25" s="58">
        <f t="shared" si="7"/>
        <v>0.02</v>
      </c>
      <c r="J25" s="64"/>
      <c r="K25" s="56"/>
      <c r="L25" s="58"/>
      <c r="M25" s="58"/>
    </row>
    <row r="26" spans="1:13" x14ac:dyDescent="0.25">
      <c r="A26" s="25">
        <v>1969</v>
      </c>
      <c r="B26" s="58">
        <f t="shared" si="0"/>
        <v>0.38</v>
      </c>
      <c r="C26" s="58">
        <f t="shared" si="1"/>
        <v>1.7999999999999999E-2</v>
      </c>
      <c r="D26" s="58">
        <f t="shared" si="2"/>
        <v>0.68600000000000005</v>
      </c>
      <c r="E26" s="58">
        <f t="shared" si="3"/>
        <v>0.20600000000000002</v>
      </c>
      <c r="F26" s="58">
        <f t="shared" si="8"/>
        <v>1.4000000000000002E-2</v>
      </c>
      <c r="G26" s="58">
        <f t="shared" si="5"/>
        <v>6.8000000000000005E-2</v>
      </c>
      <c r="H26" s="58">
        <f t="shared" si="6"/>
        <v>0.13799999999999998</v>
      </c>
      <c r="I26" s="58">
        <f t="shared" si="7"/>
        <v>0.02</v>
      </c>
      <c r="J26" s="64"/>
      <c r="K26" s="56"/>
      <c r="L26" s="58"/>
      <c r="M26" s="58"/>
    </row>
    <row r="27" spans="1:13" x14ac:dyDescent="0.25">
      <c r="A27" s="25">
        <v>1970</v>
      </c>
      <c r="B27" s="58">
        <f t="shared" si="0"/>
        <v>0.38</v>
      </c>
      <c r="C27" s="58">
        <f t="shared" si="1"/>
        <v>1.7999999999999999E-2</v>
      </c>
      <c r="D27" s="58">
        <f t="shared" si="2"/>
        <v>0.68600000000000005</v>
      </c>
      <c r="E27" s="58">
        <f t="shared" si="3"/>
        <v>0.20600000000000002</v>
      </c>
      <c r="F27" s="58">
        <f t="shared" si="8"/>
        <v>1.4000000000000002E-2</v>
      </c>
      <c r="G27" s="58">
        <f t="shared" si="5"/>
        <v>6.8000000000000005E-2</v>
      </c>
      <c r="H27" s="58">
        <f t="shared" si="6"/>
        <v>0.13799999999999998</v>
      </c>
      <c r="I27" s="58">
        <f t="shared" si="7"/>
        <v>0.02</v>
      </c>
      <c r="J27" s="64"/>
      <c r="K27" s="56"/>
      <c r="L27" s="58">
        <f>2.11/5</f>
        <v>0.42199999999999999</v>
      </c>
      <c r="M27" s="58">
        <f>1/5</f>
        <v>0.2</v>
      </c>
    </row>
    <row r="28" spans="1:13" x14ac:dyDescent="0.25">
      <c r="A28" s="25">
        <v>1971</v>
      </c>
      <c r="B28" s="58">
        <f t="shared" si="0"/>
        <v>0.38</v>
      </c>
      <c r="C28" s="58">
        <f t="shared" si="1"/>
        <v>1.7999999999999999E-2</v>
      </c>
      <c r="D28" s="58">
        <f t="shared" si="2"/>
        <v>0.68600000000000005</v>
      </c>
      <c r="E28" s="58">
        <f t="shared" si="3"/>
        <v>0.20600000000000002</v>
      </c>
      <c r="F28" s="58">
        <f t="shared" si="8"/>
        <v>1.4000000000000002E-2</v>
      </c>
      <c r="G28" s="58">
        <f t="shared" si="5"/>
        <v>6.8000000000000005E-2</v>
      </c>
      <c r="H28" s="58">
        <f t="shared" si="6"/>
        <v>0.13799999999999998</v>
      </c>
      <c r="I28" s="58">
        <f t="shared" si="7"/>
        <v>0.02</v>
      </c>
      <c r="J28" s="64"/>
      <c r="K28" s="56"/>
      <c r="L28" s="58"/>
      <c r="M28" s="58"/>
    </row>
    <row r="29" spans="1:13" x14ac:dyDescent="0.25">
      <c r="A29" s="25">
        <v>1972</v>
      </c>
      <c r="B29" s="58">
        <v>0.38</v>
      </c>
      <c r="C29" s="58">
        <v>1.7999999999999999E-2</v>
      </c>
      <c r="D29" s="58">
        <v>0.68600000000000005</v>
      </c>
      <c r="E29" s="58">
        <v>0.20600000000000002</v>
      </c>
      <c r="F29" s="58">
        <v>1.4000000000000002E-2</v>
      </c>
      <c r="G29" s="58">
        <v>6.8000000000000005E-2</v>
      </c>
      <c r="H29" s="58">
        <v>0.13799999999999998</v>
      </c>
      <c r="I29" s="58">
        <v>0.02</v>
      </c>
      <c r="J29" s="64"/>
      <c r="K29" s="56"/>
      <c r="L29" s="58"/>
      <c r="M29" s="58"/>
    </row>
    <row r="30" spans="1:13" x14ac:dyDescent="0.25">
      <c r="A30" s="25">
        <v>1973</v>
      </c>
      <c r="B30" s="58">
        <f t="shared" si="0"/>
        <v>0.38</v>
      </c>
      <c r="C30" s="58">
        <f t="shared" si="1"/>
        <v>1.7999999999999999E-2</v>
      </c>
      <c r="D30" s="58">
        <f t="shared" si="2"/>
        <v>0.68600000000000005</v>
      </c>
      <c r="E30" s="58">
        <f t="shared" si="3"/>
        <v>0.20600000000000002</v>
      </c>
      <c r="F30" s="58">
        <f t="shared" si="8"/>
        <v>1.4000000000000002E-2</v>
      </c>
      <c r="G30" s="58">
        <f t="shared" si="5"/>
        <v>6.8000000000000005E-2</v>
      </c>
      <c r="H30" s="58">
        <f t="shared" si="6"/>
        <v>0.13799999999999998</v>
      </c>
      <c r="I30" s="58">
        <f t="shared" si="7"/>
        <v>0.02</v>
      </c>
      <c r="J30" s="64"/>
      <c r="K30" s="56"/>
      <c r="L30" s="58"/>
      <c r="M30" s="58"/>
    </row>
    <row r="31" spans="1:13" x14ac:dyDescent="0.25">
      <c r="A31" s="25">
        <v>1974</v>
      </c>
      <c r="B31" s="58">
        <f t="shared" si="0"/>
        <v>0.38</v>
      </c>
      <c r="C31" s="58">
        <f t="shared" si="1"/>
        <v>1.7999999999999999E-2</v>
      </c>
      <c r="D31" s="58">
        <f t="shared" si="2"/>
        <v>0.68600000000000005</v>
      </c>
      <c r="E31" s="58">
        <f t="shared" si="3"/>
        <v>0.20600000000000002</v>
      </c>
      <c r="F31" s="58">
        <f t="shared" si="8"/>
        <v>1.4000000000000002E-2</v>
      </c>
      <c r="G31" s="58">
        <f t="shared" si="5"/>
        <v>6.8000000000000005E-2</v>
      </c>
      <c r="H31" s="58">
        <f t="shared" si="6"/>
        <v>0.13799999999999998</v>
      </c>
      <c r="I31" s="58">
        <f t="shared" si="7"/>
        <v>0.02</v>
      </c>
      <c r="J31" s="64"/>
      <c r="K31" s="56"/>
      <c r="L31" s="58"/>
      <c r="M31" s="58"/>
    </row>
    <row r="32" spans="1:13" x14ac:dyDescent="0.25">
      <c r="A32" s="25">
        <v>1975</v>
      </c>
      <c r="B32" s="58">
        <f t="shared" si="0"/>
        <v>0.38</v>
      </c>
      <c r="C32" s="58">
        <f t="shared" si="1"/>
        <v>1.7999999999999999E-2</v>
      </c>
      <c r="D32" s="58">
        <f t="shared" si="2"/>
        <v>0.68600000000000005</v>
      </c>
      <c r="E32" s="58">
        <f t="shared" si="3"/>
        <v>0.20600000000000002</v>
      </c>
      <c r="F32" s="58">
        <f t="shared" si="8"/>
        <v>1.4000000000000002E-2</v>
      </c>
      <c r="G32" s="58">
        <f t="shared" si="5"/>
        <v>6.8000000000000005E-2</v>
      </c>
      <c r="H32" s="58">
        <f t="shared" si="6"/>
        <v>0.13799999999999998</v>
      </c>
      <c r="I32" s="58">
        <f t="shared" si="7"/>
        <v>0.02</v>
      </c>
      <c r="J32" s="64"/>
      <c r="K32" s="56"/>
      <c r="L32" s="58">
        <f>1.81/5</f>
        <v>0.36199999999999999</v>
      </c>
      <c r="M32" s="58">
        <f>1/5</f>
        <v>0.2</v>
      </c>
    </row>
    <row r="33" spans="1:13" x14ac:dyDescent="0.25">
      <c r="A33" s="25">
        <v>1976</v>
      </c>
      <c r="B33" s="58"/>
      <c r="C33" s="58"/>
      <c r="D33" s="58"/>
      <c r="E33" s="58"/>
      <c r="F33" s="58"/>
      <c r="G33" s="58"/>
      <c r="H33" s="58"/>
      <c r="I33" s="58"/>
      <c r="J33" s="64"/>
      <c r="K33" s="56"/>
      <c r="L33" s="58"/>
      <c r="M33" s="58"/>
    </row>
    <row r="34" spans="1:13" x14ac:dyDescent="0.25">
      <c r="A34" s="25">
        <v>1977</v>
      </c>
      <c r="B34" s="58"/>
      <c r="C34" s="58"/>
      <c r="D34" s="58"/>
      <c r="E34" s="58"/>
      <c r="F34" s="58"/>
      <c r="G34" s="58"/>
      <c r="H34" s="58"/>
      <c r="I34" s="58"/>
      <c r="J34" s="64"/>
      <c r="K34" s="56"/>
      <c r="L34" s="58">
        <f>1.84/5</f>
        <v>0.36799999999999999</v>
      </c>
      <c r="M34" s="58">
        <f>1.81/5</f>
        <v>0.36199999999999999</v>
      </c>
    </row>
    <row r="35" spans="1:13" x14ac:dyDescent="0.25">
      <c r="A35" s="25">
        <v>1978</v>
      </c>
      <c r="B35" s="58"/>
      <c r="C35" s="58"/>
      <c r="D35" s="58"/>
      <c r="E35" s="58"/>
      <c r="F35" s="58"/>
      <c r="G35" s="58"/>
      <c r="H35" s="58"/>
      <c r="I35" s="58"/>
      <c r="J35" s="64"/>
      <c r="K35" s="56"/>
      <c r="L35" s="56"/>
      <c r="M35" s="56"/>
    </row>
    <row r="36" spans="1:13" x14ac:dyDescent="0.25">
      <c r="A36" s="25">
        <v>1979</v>
      </c>
      <c r="B36" s="58"/>
      <c r="C36" s="58"/>
      <c r="D36" s="58"/>
      <c r="E36" s="58"/>
      <c r="F36" s="58"/>
      <c r="G36" s="58"/>
      <c r="H36" s="58"/>
      <c r="I36" s="58"/>
      <c r="J36" s="64"/>
      <c r="K36" s="56"/>
      <c r="L36" s="56"/>
      <c r="M36" s="56"/>
    </row>
    <row r="37" spans="1:13" x14ac:dyDescent="0.25">
      <c r="A37" s="25">
        <v>1980</v>
      </c>
      <c r="B37" s="58"/>
      <c r="C37" s="58"/>
      <c r="D37" s="58"/>
      <c r="E37" s="58"/>
      <c r="F37" s="58"/>
      <c r="G37" s="58"/>
      <c r="H37" s="58"/>
      <c r="I37" s="58"/>
      <c r="J37" s="64"/>
      <c r="K37" s="56"/>
      <c r="L37" s="56"/>
      <c r="M37" s="56"/>
    </row>
    <row r="38" spans="1:13" x14ac:dyDescent="0.25">
      <c r="A38" s="25">
        <v>1981</v>
      </c>
      <c r="B38" s="58"/>
      <c r="C38" s="58"/>
      <c r="D38" s="58"/>
      <c r="E38" s="58"/>
      <c r="F38" s="58"/>
      <c r="G38" s="58"/>
      <c r="H38" s="58"/>
      <c r="I38" s="58"/>
      <c r="J38" s="64"/>
      <c r="K38" s="56"/>
      <c r="L38" s="56"/>
      <c r="M38" s="56"/>
    </row>
    <row r="39" spans="1:13" x14ac:dyDescent="0.25">
      <c r="A39" s="25">
        <v>1982</v>
      </c>
      <c r="B39" s="58"/>
      <c r="C39" s="58"/>
      <c r="D39" s="58"/>
      <c r="E39" s="58"/>
      <c r="F39" s="58"/>
      <c r="G39" s="58"/>
      <c r="H39" s="58"/>
      <c r="I39" s="58"/>
      <c r="J39" s="64"/>
      <c r="K39" s="56"/>
      <c r="L39" s="56"/>
      <c r="M39" s="56"/>
    </row>
    <row r="40" spans="1:13" x14ac:dyDescent="0.25">
      <c r="A40" s="25">
        <v>1983</v>
      </c>
      <c r="B40" s="58"/>
      <c r="C40" s="58"/>
      <c r="D40" s="58"/>
      <c r="E40" s="58"/>
      <c r="F40" s="58"/>
      <c r="G40" s="58"/>
      <c r="H40" s="58"/>
      <c r="I40" s="58"/>
      <c r="J40" s="64"/>
      <c r="K40" s="56"/>
      <c r="L40" s="56"/>
      <c r="M40" s="56"/>
    </row>
    <row r="41" spans="1:13" x14ac:dyDescent="0.25">
      <c r="A41" s="25">
        <v>1984</v>
      </c>
      <c r="B41" s="58"/>
      <c r="C41" s="58"/>
      <c r="D41" s="58"/>
      <c r="E41" s="58"/>
      <c r="F41" s="58"/>
      <c r="G41" s="58"/>
      <c r="H41" s="58"/>
      <c r="I41" s="58"/>
      <c r="J41" s="64"/>
      <c r="K41" s="56"/>
      <c r="L41" s="56"/>
      <c r="M41" s="56"/>
    </row>
    <row r="42" spans="1:13" x14ac:dyDescent="0.25">
      <c r="A42" s="25">
        <v>1985</v>
      </c>
      <c r="B42" s="58"/>
      <c r="C42" s="58"/>
      <c r="D42" s="58"/>
      <c r="E42" s="58"/>
      <c r="F42" s="58"/>
      <c r="G42" s="58"/>
      <c r="H42" s="58"/>
      <c r="I42" s="58"/>
      <c r="J42" s="64"/>
      <c r="K42" s="56"/>
      <c r="L42" s="56"/>
      <c r="M42" s="56"/>
    </row>
    <row r="43" spans="1:13" x14ac:dyDescent="0.25">
      <c r="A43" s="25">
        <v>1986</v>
      </c>
      <c r="B43" s="58"/>
      <c r="C43" s="58"/>
      <c r="D43" s="58"/>
      <c r="E43" s="58"/>
      <c r="F43" s="58"/>
      <c r="G43" s="58"/>
      <c r="H43" s="58"/>
      <c r="I43" s="58"/>
      <c r="J43" s="64"/>
      <c r="K43" s="56"/>
      <c r="L43" s="56"/>
      <c r="M43" s="56"/>
    </row>
    <row r="44" spans="1:13" x14ac:dyDescent="0.25">
      <c r="A44" s="25">
        <v>1987</v>
      </c>
      <c r="B44" s="58"/>
      <c r="C44" s="58"/>
      <c r="D44" s="58"/>
      <c r="E44" s="58"/>
      <c r="F44" s="58"/>
      <c r="G44" s="58"/>
      <c r="H44" s="58"/>
      <c r="I44" s="58"/>
      <c r="J44" s="64"/>
      <c r="K44" s="56"/>
      <c r="L44" s="56"/>
      <c r="M44" s="56"/>
    </row>
    <row r="45" spans="1:13" x14ac:dyDescent="0.25">
      <c r="A45" s="25">
        <v>1988</v>
      </c>
      <c r="B45" s="58"/>
      <c r="C45" s="58"/>
      <c r="D45" s="58"/>
      <c r="E45" s="58"/>
      <c r="F45" s="58"/>
      <c r="G45" s="58"/>
      <c r="H45" s="58"/>
      <c r="I45" s="58"/>
      <c r="J45" s="64"/>
      <c r="K45" s="56"/>
      <c r="L45" s="56"/>
      <c r="M45" s="56"/>
    </row>
    <row r="46" spans="1:13" x14ac:dyDescent="0.25">
      <c r="A46" s="25">
        <v>1989</v>
      </c>
      <c r="B46" s="58"/>
      <c r="C46" s="58"/>
      <c r="D46" s="58"/>
      <c r="E46" s="58"/>
      <c r="F46" s="58"/>
      <c r="G46" s="58"/>
      <c r="H46" s="58"/>
      <c r="I46" s="58"/>
      <c r="J46" s="64"/>
      <c r="K46" s="56"/>
      <c r="L46" s="56"/>
      <c r="M46" s="56"/>
    </row>
    <row r="47" spans="1:13" x14ac:dyDescent="0.25">
      <c r="A47" s="25">
        <v>1990</v>
      </c>
      <c r="B47" s="58">
        <f t="shared" ref="B47" si="9">1.8/5-C47</f>
        <v>5.1999999999999991E-2</v>
      </c>
      <c r="C47" s="58">
        <f t="shared" ref="C47" si="10">1.54/5</f>
        <v>0.308</v>
      </c>
      <c r="D47" s="58">
        <f t="shared" ref="D47" si="11">2.28/5</f>
        <v>0.45599999999999996</v>
      </c>
      <c r="E47" s="58">
        <f t="shared" ref="E47" si="12">0.71/5</f>
        <v>0.14199999999999999</v>
      </c>
      <c r="F47" s="58">
        <f t="shared" si="8"/>
        <v>1.4000000000000002E-2</v>
      </c>
      <c r="G47" s="58">
        <f t="shared" ref="G47" si="13">0.32/5</f>
        <v>6.4000000000000001E-2</v>
      </c>
      <c r="H47" s="58">
        <f t="shared" ref="H47" si="14">0.57/5</f>
        <v>0.11399999999999999</v>
      </c>
      <c r="I47" s="58">
        <f t="shared" ref="I47" si="15">0.27/5</f>
        <v>5.4000000000000006E-2</v>
      </c>
      <c r="J47" s="64"/>
      <c r="K47" s="56"/>
      <c r="L47" s="56"/>
      <c r="M47" s="56"/>
    </row>
    <row r="48" spans="1:13" x14ac:dyDescent="0.25">
      <c r="A48" s="25">
        <v>1991</v>
      </c>
      <c r="B48" s="58"/>
      <c r="C48" s="58"/>
      <c r="D48" s="58"/>
      <c r="E48" s="58"/>
      <c r="F48" s="58"/>
      <c r="G48" s="58"/>
      <c r="H48" s="58"/>
      <c r="I48" s="58"/>
      <c r="J48" s="65"/>
    </row>
    <row r="49" spans="1:10" x14ac:dyDescent="0.25">
      <c r="A49" s="25">
        <v>1992</v>
      </c>
      <c r="B49" s="58"/>
      <c r="C49" s="58"/>
      <c r="D49" s="58"/>
      <c r="E49" s="58"/>
      <c r="F49" s="58"/>
      <c r="G49" s="58"/>
      <c r="H49" s="58"/>
      <c r="I49" s="58"/>
      <c r="J49" s="63"/>
    </row>
    <row r="50" spans="1:10" x14ac:dyDescent="0.25">
      <c r="A50" s="25">
        <v>1993</v>
      </c>
      <c r="B50" s="58"/>
      <c r="C50" s="58"/>
      <c r="D50" s="58"/>
      <c r="E50" s="58"/>
      <c r="F50" s="58"/>
      <c r="G50" s="58"/>
      <c r="H50" s="58"/>
      <c r="I50" s="58"/>
      <c r="J50" s="63"/>
    </row>
    <row r="51" spans="1:10" x14ac:dyDescent="0.25">
      <c r="A51" s="25">
        <v>1994</v>
      </c>
      <c r="B51" s="58"/>
      <c r="C51" s="58"/>
      <c r="D51" s="58"/>
      <c r="E51" s="58"/>
      <c r="F51" s="58"/>
      <c r="G51" s="58"/>
      <c r="H51" s="58"/>
      <c r="I51" s="58"/>
      <c r="J51" s="63"/>
    </row>
    <row r="52" spans="1:10" x14ac:dyDescent="0.25">
      <c r="A52" s="25">
        <v>1995</v>
      </c>
      <c r="B52" s="58"/>
      <c r="C52" s="58"/>
      <c r="D52" s="58"/>
      <c r="E52" s="58"/>
      <c r="F52" s="58"/>
      <c r="G52" s="58"/>
      <c r="H52" s="58"/>
      <c r="I52" s="58"/>
      <c r="J52" s="63"/>
    </row>
    <row r="53" spans="1:10" x14ac:dyDescent="0.25">
      <c r="A53" s="25">
        <v>1996</v>
      </c>
      <c r="B53" s="58"/>
      <c r="C53" s="58"/>
      <c r="D53" s="58"/>
      <c r="E53" s="58"/>
      <c r="F53" s="58"/>
      <c r="G53" s="58"/>
      <c r="H53" s="58"/>
      <c r="I53" s="58"/>
      <c r="J53" s="63"/>
    </row>
    <row r="54" spans="1:10" x14ac:dyDescent="0.25">
      <c r="A54" s="25">
        <v>1997</v>
      </c>
      <c r="B54" s="58"/>
      <c r="C54" s="58"/>
      <c r="D54" s="58"/>
      <c r="E54" s="58"/>
      <c r="F54" s="58"/>
      <c r="G54" s="58"/>
      <c r="H54" s="58"/>
      <c r="I54" s="58"/>
      <c r="J54" s="66"/>
    </row>
    <row r="55" spans="1:10" x14ac:dyDescent="0.25">
      <c r="A55" s="25">
        <v>1998</v>
      </c>
      <c r="B55" s="58"/>
      <c r="C55" s="58"/>
      <c r="D55" s="58"/>
      <c r="E55" s="58"/>
      <c r="F55" s="58"/>
      <c r="G55" s="58"/>
      <c r="H55" s="58"/>
      <c r="I55" s="58"/>
      <c r="J55" s="66"/>
    </row>
    <row r="56" spans="1:10" x14ac:dyDescent="0.25">
      <c r="A56" s="25">
        <v>1999</v>
      </c>
      <c r="B56" s="58"/>
      <c r="C56" s="58"/>
      <c r="D56" s="58"/>
      <c r="E56" s="58"/>
      <c r="F56" s="58"/>
      <c r="G56" s="58"/>
      <c r="H56" s="58"/>
      <c r="I56" s="58"/>
      <c r="J56" s="66"/>
    </row>
    <row r="57" spans="1:10" x14ac:dyDescent="0.25">
      <c r="A57" s="25">
        <v>2000</v>
      </c>
      <c r="B57" s="58"/>
      <c r="C57" s="58"/>
      <c r="D57" s="58"/>
      <c r="E57" s="58"/>
      <c r="F57" s="58"/>
      <c r="G57" s="58"/>
      <c r="H57" s="58"/>
      <c r="I57" s="58"/>
      <c r="J57" s="66"/>
    </row>
    <row r="58" spans="1:10" x14ac:dyDescent="0.25">
      <c r="A58" s="25">
        <v>2001</v>
      </c>
      <c r="B58" s="58"/>
      <c r="C58" s="58"/>
      <c r="D58" s="58"/>
      <c r="E58" s="58"/>
      <c r="F58" s="58"/>
      <c r="G58" s="58"/>
      <c r="H58" s="58"/>
      <c r="I58" s="58"/>
      <c r="J58" s="66"/>
    </row>
    <row r="59" spans="1:10" x14ac:dyDescent="0.25">
      <c r="A59" s="25">
        <v>2002</v>
      </c>
      <c r="B59" s="58"/>
      <c r="C59" s="58"/>
      <c r="D59" s="58"/>
      <c r="E59" s="58"/>
      <c r="F59" s="58"/>
      <c r="G59" s="58"/>
      <c r="H59" s="58"/>
      <c r="I59" s="58"/>
      <c r="J59" s="66"/>
    </row>
    <row r="60" spans="1:10" x14ac:dyDescent="0.25">
      <c r="A60" s="25">
        <v>2003</v>
      </c>
      <c r="B60" s="58"/>
      <c r="C60" s="58"/>
      <c r="D60" s="58"/>
      <c r="E60" s="58"/>
      <c r="F60" s="58"/>
      <c r="G60" s="58"/>
      <c r="H60" s="58"/>
      <c r="I60" s="58"/>
      <c r="J60" s="66"/>
    </row>
    <row r="61" spans="1:10" x14ac:dyDescent="0.25">
      <c r="A61" s="25">
        <v>2004</v>
      </c>
      <c r="B61" s="58"/>
      <c r="C61" s="58"/>
      <c r="D61" s="58"/>
      <c r="E61" s="58"/>
      <c r="F61" s="58"/>
      <c r="G61" s="58"/>
      <c r="H61" s="58"/>
      <c r="I61" s="58"/>
      <c r="J61" s="66"/>
    </row>
    <row r="62" spans="1:10" x14ac:dyDescent="0.25">
      <c r="A62" s="25">
        <v>2005</v>
      </c>
      <c r="B62" s="58"/>
      <c r="C62" s="58"/>
      <c r="D62" s="58"/>
      <c r="E62" s="58"/>
      <c r="F62" s="58"/>
      <c r="G62" s="58"/>
      <c r="H62" s="58"/>
      <c r="I62" s="58"/>
      <c r="J62" s="66"/>
    </row>
    <row r="63" spans="1:10" x14ac:dyDescent="0.25">
      <c r="A63" s="25">
        <v>2006</v>
      </c>
      <c r="B63" s="58"/>
      <c r="C63" s="58"/>
      <c r="D63" s="58"/>
      <c r="E63" s="58"/>
      <c r="F63" s="58"/>
      <c r="G63" s="58"/>
      <c r="H63" s="58"/>
      <c r="I63" s="58"/>
      <c r="J63" s="66"/>
    </row>
    <row r="64" spans="1:10" x14ac:dyDescent="0.25">
      <c r="A64" s="25">
        <v>2007</v>
      </c>
      <c r="B64" s="58"/>
      <c r="C64" s="58"/>
      <c r="D64" s="58"/>
      <c r="E64" s="58"/>
      <c r="F64" s="58"/>
      <c r="G64" s="58"/>
      <c r="H64" s="58"/>
      <c r="I64" s="58"/>
      <c r="J64" s="66"/>
    </row>
    <row r="65" spans="1:76" x14ac:dyDescent="0.25">
      <c r="A65" s="25">
        <v>2008</v>
      </c>
      <c r="B65" s="58"/>
      <c r="C65" s="58"/>
      <c r="D65" s="58"/>
      <c r="E65" s="58"/>
      <c r="F65" s="58"/>
      <c r="G65" s="58"/>
      <c r="H65" s="58"/>
      <c r="I65" s="58"/>
    </row>
    <row r="66" spans="1:76" x14ac:dyDescent="0.25">
      <c r="A66" s="25">
        <v>2009</v>
      </c>
      <c r="B66" s="58"/>
      <c r="C66" s="58"/>
      <c r="D66" s="58"/>
      <c r="E66" s="58"/>
      <c r="F66" s="58"/>
      <c r="G66" s="58"/>
      <c r="H66" s="58"/>
      <c r="I66" s="58"/>
    </row>
    <row r="67" spans="1:76" x14ac:dyDescent="0.25">
      <c r="A67" s="25">
        <v>2010</v>
      </c>
      <c r="B67" s="58"/>
      <c r="C67" s="58"/>
      <c r="D67" s="58"/>
      <c r="E67" s="58"/>
      <c r="F67" s="58"/>
      <c r="G67" s="58"/>
      <c r="H67" s="58"/>
      <c r="I67" s="58"/>
      <c r="J67" s="63"/>
    </row>
    <row r="68" spans="1:76" x14ac:dyDescent="0.25">
      <c r="A68" s="25">
        <v>2011</v>
      </c>
      <c r="B68" s="58">
        <v>0</v>
      </c>
      <c r="C68" s="58">
        <v>0.04</v>
      </c>
      <c r="D68" s="58">
        <v>0.65</v>
      </c>
      <c r="E68" s="58">
        <v>0.2</v>
      </c>
      <c r="F68" s="58">
        <v>0.01</v>
      </c>
      <c r="G68" s="58">
        <v>0.04</v>
      </c>
      <c r="H68" s="58">
        <v>0.17</v>
      </c>
      <c r="I68" s="58">
        <v>4.3800000000000002E-3</v>
      </c>
      <c r="J68" s="66"/>
    </row>
    <row r="69" spans="1:76" x14ac:dyDescent="0.25">
      <c r="A69" s="25">
        <v>2012</v>
      </c>
      <c r="B69" s="58"/>
      <c r="C69" s="58"/>
      <c r="D69" s="58"/>
      <c r="E69" s="58"/>
      <c r="F69" s="58"/>
      <c r="G69" s="58"/>
      <c r="H69" s="58"/>
      <c r="I69" s="58"/>
      <c r="J69" s="66"/>
    </row>
    <row r="70" spans="1:76" x14ac:dyDescent="0.25">
      <c r="A70" s="25">
        <v>2013</v>
      </c>
      <c r="B70" s="58"/>
      <c r="C70" s="58"/>
      <c r="D70" s="58"/>
      <c r="E70" s="58"/>
      <c r="F70" s="58"/>
      <c r="G70" s="58"/>
      <c r="H70" s="58"/>
      <c r="I70" s="58"/>
      <c r="J70" s="66"/>
    </row>
    <row r="71" spans="1:76" x14ac:dyDescent="0.25">
      <c r="A71" s="25">
        <v>2014</v>
      </c>
      <c r="B71" s="58"/>
      <c r="C71" s="58"/>
      <c r="D71" s="58"/>
      <c r="E71" s="58"/>
      <c r="F71" s="58"/>
      <c r="G71" s="58"/>
      <c r="H71" s="58"/>
      <c r="I71" s="58"/>
      <c r="J71" s="66"/>
    </row>
    <row r="72" spans="1:76" x14ac:dyDescent="0.25">
      <c r="A72" s="25">
        <v>2015</v>
      </c>
      <c r="B72" s="58"/>
      <c r="C72" s="58"/>
      <c r="D72" s="58"/>
      <c r="E72" s="58"/>
      <c r="F72" s="58"/>
      <c r="G72" s="58"/>
      <c r="H72" s="58"/>
      <c r="I72" s="58"/>
      <c r="J72" s="66"/>
    </row>
    <row r="73" spans="1:76" x14ac:dyDescent="0.25">
      <c r="A73" s="25">
        <v>2016</v>
      </c>
      <c r="B73" s="58"/>
      <c r="C73" s="58"/>
      <c r="D73" s="58"/>
      <c r="E73" s="58"/>
      <c r="F73" s="58"/>
      <c r="G73" s="58"/>
      <c r="H73" s="58"/>
      <c r="I73" s="58"/>
      <c r="J73" s="66"/>
    </row>
    <row r="74" spans="1:76" x14ac:dyDescent="0.25">
      <c r="A74" s="25">
        <v>2017</v>
      </c>
      <c r="B74" s="58"/>
      <c r="C74" s="58"/>
      <c r="D74" s="58"/>
      <c r="E74" s="58"/>
      <c r="F74" s="58"/>
      <c r="G74" s="58"/>
      <c r="H74" s="58"/>
      <c r="I74" s="58"/>
      <c r="J74" s="66"/>
    </row>
    <row r="75" spans="1:76" x14ac:dyDescent="0.25">
      <c r="A75" s="25">
        <v>2018</v>
      </c>
      <c r="B75" s="58"/>
      <c r="C75" s="58"/>
      <c r="D75" s="58"/>
      <c r="E75" s="58"/>
      <c r="F75" s="58"/>
      <c r="G75" s="58"/>
      <c r="H75" s="58"/>
      <c r="I75" s="58"/>
      <c r="J75" s="66"/>
    </row>
    <row r="76" spans="1:76" x14ac:dyDescent="0.25">
      <c r="A76" s="25">
        <v>2019</v>
      </c>
      <c r="B76" s="58"/>
      <c r="C76" s="58"/>
      <c r="D76" s="58"/>
      <c r="E76" s="58"/>
      <c r="F76" s="58"/>
      <c r="G76" s="58"/>
      <c r="H76" s="58"/>
      <c r="I76" s="58"/>
      <c r="J76" s="66"/>
    </row>
    <row r="77" spans="1:76" x14ac:dyDescent="0.25">
      <c r="A77" s="25">
        <v>2020</v>
      </c>
      <c r="B77" s="59"/>
      <c r="C77" s="59"/>
      <c r="D77" s="59"/>
      <c r="E77" s="59"/>
      <c r="F77" s="59"/>
      <c r="G77" s="59"/>
      <c r="H77" s="59"/>
      <c r="I77" s="59"/>
      <c r="J77" s="66"/>
    </row>
    <row r="78" spans="1:76" s="61" customFormat="1" x14ac:dyDescent="0.25">
      <c r="A78" s="60"/>
      <c r="B78" s="59"/>
      <c r="C78" s="59"/>
      <c r="D78" s="59"/>
      <c r="E78" s="59"/>
      <c r="F78" s="59"/>
      <c r="G78" s="59"/>
      <c r="H78" s="59"/>
      <c r="I78" s="59"/>
      <c r="J78" s="66"/>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row>
    <row r="79" spans="1:76" s="61" customFormat="1" x14ac:dyDescent="0.25">
      <c r="A79" s="60"/>
      <c r="B79" s="57"/>
      <c r="C79" s="57"/>
      <c r="D79" s="57"/>
      <c r="E79" s="57"/>
      <c r="F79" s="57"/>
      <c r="G79" s="57"/>
      <c r="H79" s="57"/>
      <c r="I79" s="57"/>
      <c r="J79" s="6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row>
    <row r="80" spans="1:76" s="61" customFormat="1" x14ac:dyDescent="0.25">
      <c r="A80" s="60"/>
      <c r="B80" s="57"/>
      <c r="C80" s="57"/>
      <c r="D80" s="57"/>
      <c r="E80" s="57"/>
      <c r="F80" s="57"/>
      <c r="G80" s="57"/>
      <c r="H80" s="57"/>
      <c r="I80" s="57"/>
      <c r="J80" s="6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row>
    <row r="87" spans="1:76" s="61" customFormat="1" x14ac:dyDescent="0.25">
      <c r="A87" s="60"/>
      <c r="B87" s="57"/>
      <c r="C87" s="57"/>
      <c r="D87" s="57"/>
      <c r="E87" s="57"/>
      <c r="F87" s="57"/>
      <c r="G87" s="57"/>
      <c r="H87" s="57"/>
      <c r="I87" s="57"/>
      <c r="J87" s="6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row>
    <row r="88" spans="1:76" s="61" customFormat="1" x14ac:dyDescent="0.25">
      <c r="A88" s="60"/>
      <c r="B88" s="57"/>
      <c r="C88" s="57"/>
      <c r="D88" s="57"/>
      <c r="E88" s="57"/>
      <c r="F88" s="57"/>
      <c r="G88" s="57"/>
      <c r="H88" s="57"/>
      <c r="I88" s="57"/>
      <c r="J88" s="6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X88"/>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10.7109375" defaultRowHeight="15" x14ac:dyDescent="0.25"/>
  <cols>
    <col min="1" max="1" width="8" style="60" bestFit="1" customWidth="1"/>
    <col min="2" max="9" width="15.140625" style="57" customWidth="1"/>
    <col min="10" max="10" width="2.140625" style="67" customWidth="1"/>
    <col min="11" max="14" width="15.140625" style="57" customWidth="1"/>
    <col min="15" max="16384" width="10.7109375" style="57"/>
  </cols>
  <sheetData>
    <row r="1" spans="1:14" s="70" customFormat="1" ht="30" x14ac:dyDescent="0.25">
      <c r="A1" s="69" t="s">
        <v>0</v>
      </c>
      <c r="B1" s="55" t="s">
        <v>24</v>
      </c>
      <c r="C1" s="55" t="s">
        <v>25</v>
      </c>
      <c r="D1" s="55" t="s">
        <v>26</v>
      </c>
      <c r="E1" s="55" t="s">
        <v>18</v>
      </c>
      <c r="F1" s="55" t="s">
        <v>62</v>
      </c>
      <c r="G1" s="55" t="s">
        <v>19</v>
      </c>
      <c r="H1" s="55" t="s">
        <v>20</v>
      </c>
      <c r="I1" s="55" t="s">
        <v>27</v>
      </c>
      <c r="J1" s="62"/>
      <c r="K1" s="55" t="s">
        <v>48</v>
      </c>
      <c r="L1" s="55" t="s">
        <v>21</v>
      </c>
      <c r="M1" s="55" t="s">
        <v>22</v>
      </c>
      <c r="N1" s="55" t="s">
        <v>23</v>
      </c>
    </row>
    <row r="2" spans="1:14" x14ac:dyDescent="0.25">
      <c r="A2" s="25">
        <v>1945</v>
      </c>
      <c r="B2" s="58"/>
      <c r="C2" s="58"/>
      <c r="D2" s="58"/>
      <c r="E2" s="58"/>
      <c r="F2" s="58"/>
      <c r="G2" s="58"/>
      <c r="H2" s="58"/>
      <c r="I2" s="58"/>
      <c r="J2" s="63"/>
      <c r="K2" s="58"/>
      <c r="L2" s="58"/>
      <c r="M2" s="58"/>
    </row>
    <row r="3" spans="1:14" x14ac:dyDescent="0.25">
      <c r="A3" s="25">
        <v>1946</v>
      </c>
      <c r="B3" s="58"/>
      <c r="C3" s="58"/>
      <c r="D3" s="58"/>
      <c r="E3" s="58"/>
      <c r="F3" s="58"/>
      <c r="G3" s="58"/>
      <c r="H3" s="58"/>
      <c r="I3" s="58"/>
      <c r="J3" s="63"/>
      <c r="K3" s="58"/>
      <c r="L3" s="58"/>
      <c r="M3" s="58"/>
    </row>
    <row r="4" spans="1:14" x14ac:dyDescent="0.25">
      <c r="A4" s="25">
        <v>1947</v>
      </c>
      <c r="B4" s="58"/>
      <c r="C4" s="58"/>
      <c r="D4" s="58"/>
      <c r="E4" s="58"/>
      <c r="F4" s="58"/>
      <c r="G4" s="58"/>
      <c r="H4" s="58"/>
      <c r="I4" s="58"/>
      <c r="J4" s="63"/>
      <c r="K4" s="58"/>
      <c r="L4" s="58"/>
      <c r="M4" s="58"/>
    </row>
    <row r="5" spans="1:14" x14ac:dyDescent="0.25">
      <c r="A5" s="25">
        <v>1948</v>
      </c>
      <c r="B5" s="58"/>
      <c r="C5" s="58"/>
      <c r="D5" s="58"/>
      <c r="E5" s="58"/>
      <c r="F5" s="58"/>
      <c r="G5" s="58"/>
      <c r="H5" s="58"/>
      <c r="I5" s="58"/>
      <c r="J5" s="64"/>
      <c r="K5" s="56"/>
      <c r="L5" s="56"/>
      <c r="M5" s="56"/>
    </row>
    <row r="6" spans="1:14" x14ac:dyDescent="0.25">
      <c r="A6" s="25">
        <v>1949</v>
      </c>
      <c r="B6" s="58"/>
      <c r="C6" s="58"/>
      <c r="D6" s="58"/>
      <c r="E6" s="58"/>
      <c r="F6" s="58"/>
      <c r="G6" s="58"/>
      <c r="H6" s="58"/>
      <c r="I6" s="58"/>
      <c r="J6" s="64"/>
      <c r="K6" s="56"/>
      <c r="L6" s="56"/>
      <c r="M6" s="56"/>
    </row>
    <row r="7" spans="1:14" x14ac:dyDescent="0.25">
      <c r="A7" s="25">
        <v>1950</v>
      </c>
      <c r="B7" s="58"/>
      <c r="C7" s="58"/>
      <c r="D7" s="58"/>
      <c r="E7" s="58"/>
      <c r="F7" s="58"/>
      <c r="G7" s="58"/>
      <c r="H7" s="58"/>
      <c r="I7" s="58"/>
      <c r="J7" s="64"/>
      <c r="K7" s="56"/>
      <c r="L7" s="56"/>
      <c r="M7" s="56"/>
    </row>
    <row r="8" spans="1:14" x14ac:dyDescent="0.25">
      <c r="A8" s="25">
        <v>1951</v>
      </c>
      <c r="B8" s="58"/>
      <c r="C8" s="58"/>
      <c r="D8" s="58"/>
      <c r="E8" s="58"/>
      <c r="F8" s="58"/>
      <c r="G8" s="58"/>
      <c r="H8" s="58"/>
      <c r="I8" s="58"/>
      <c r="J8" s="64"/>
      <c r="K8" s="56"/>
      <c r="L8" s="56"/>
      <c r="M8" s="56"/>
    </row>
    <row r="9" spans="1:14" x14ac:dyDescent="0.25">
      <c r="A9" s="25">
        <v>1952</v>
      </c>
      <c r="B9" s="58"/>
      <c r="C9" s="58"/>
      <c r="D9" s="58"/>
      <c r="E9" s="58"/>
      <c r="F9" s="58"/>
      <c r="G9" s="58"/>
      <c r="H9" s="58"/>
      <c r="I9" s="58"/>
      <c r="J9" s="64"/>
      <c r="K9" s="56"/>
      <c r="L9" s="56"/>
      <c r="M9" s="56"/>
    </row>
    <row r="10" spans="1:14" x14ac:dyDescent="0.25">
      <c r="A10" s="25">
        <v>1953</v>
      </c>
      <c r="B10" s="58"/>
      <c r="C10" s="58"/>
      <c r="D10" s="58"/>
      <c r="E10" s="58"/>
      <c r="F10" s="58"/>
      <c r="G10" s="58"/>
      <c r="H10" s="58"/>
      <c r="I10" s="58"/>
      <c r="J10" s="64"/>
      <c r="K10" s="56"/>
      <c r="L10" s="56"/>
      <c r="M10" s="56"/>
    </row>
    <row r="11" spans="1:14" x14ac:dyDescent="0.25">
      <c r="A11" s="25">
        <v>1954</v>
      </c>
      <c r="B11" s="58"/>
      <c r="C11" s="58"/>
      <c r="D11" s="58"/>
      <c r="E11" s="58"/>
      <c r="F11" s="58"/>
      <c r="G11" s="58"/>
      <c r="H11" s="58"/>
      <c r="I11" s="58"/>
      <c r="J11" s="64"/>
      <c r="K11" s="56"/>
      <c r="L11" s="56"/>
      <c r="M11" s="56"/>
    </row>
    <row r="12" spans="1:14" x14ac:dyDescent="0.25">
      <c r="A12" s="25">
        <v>1955</v>
      </c>
      <c r="B12" s="58"/>
      <c r="C12" s="58"/>
      <c r="D12" s="58"/>
      <c r="E12" s="58"/>
      <c r="F12" s="58"/>
      <c r="G12" s="58"/>
      <c r="H12" s="58"/>
      <c r="I12" s="58"/>
      <c r="J12" s="64"/>
      <c r="K12" s="56"/>
      <c r="L12" s="56"/>
      <c r="M12" s="56"/>
    </row>
    <row r="13" spans="1:14" x14ac:dyDescent="0.25">
      <c r="A13" s="25">
        <v>1956</v>
      </c>
      <c r="B13" s="58"/>
      <c r="C13" s="58"/>
      <c r="D13" s="58"/>
      <c r="E13" s="58"/>
      <c r="F13" s="58"/>
      <c r="G13" s="58"/>
      <c r="H13" s="58"/>
      <c r="I13" s="58"/>
      <c r="J13" s="64"/>
      <c r="K13" s="56"/>
      <c r="L13" s="56"/>
      <c r="M13" s="56"/>
    </row>
    <row r="14" spans="1:14" x14ac:dyDescent="0.25">
      <c r="A14" s="25">
        <v>1957</v>
      </c>
      <c r="B14" s="58"/>
      <c r="C14" s="58"/>
      <c r="D14" s="58"/>
      <c r="E14" s="58"/>
      <c r="F14" s="58"/>
      <c r="G14" s="58"/>
      <c r="H14" s="58"/>
      <c r="I14" s="58"/>
      <c r="J14" s="64"/>
      <c r="K14" s="56"/>
      <c r="L14" s="56"/>
      <c r="M14" s="56"/>
    </row>
    <row r="15" spans="1:14" x14ac:dyDescent="0.25">
      <c r="A15" s="25">
        <v>1958</v>
      </c>
      <c r="B15" s="58"/>
      <c r="C15" s="58"/>
      <c r="D15" s="58"/>
      <c r="E15" s="58"/>
      <c r="F15" s="58"/>
      <c r="G15" s="58"/>
      <c r="H15" s="58"/>
      <c r="I15" s="58"/>
      <c r="J15" s="64"/>
      <c r="K15" s="56"/>
      <c r="L15" s="56"/>
      <c r="M15" s="56"/>
    </row>
    <row r="16" spans="1:14" x14ac:dyDescent="0.25">
      <c r="A16" s="25">
        <v>1959</v>
      </c>
      <c r="B16" s="58"/>
      <c r="C16" s="58"/>
      <c r="D16" s="58"/>
      <c r="E16" s="58"/>
      <c r="F16" s="58"/>
      <c r="G16" s="58"/>
      <c r="H16" s="58"/>
      <c r="I16" s="58"/>
      <c r="J16" s="64"/>
      <c r="K16" s="56"/>
      <c r="L16" s="56"/>
      <c r="M16" s="56"/>
    </row>
    <row r="17" spans="1:13" x14ac:dyDescent="0.25">
      <c r="A17" s="25">
        <v>1960</v>
      </c>
      <c r="B17" s="58"/>
      <c r="C17" s="58"/>
      <c r="D17" s="58"/>
      <c r="E17" s="58"/>
      <c r="F17" s="58"/>
      <c r="G17" s="58"/>
      <c r="H17" s="58"/>
      <c r="I17" s="58"/>
      <c r="J17" s="64"/>
      <c r="K17" s="56"/>
      <c r="L17" s="56"/>
      <c r="M17" s="56"/>
    </row>
    <row r="18" spans="1:13" x14ac:dyDescent="0.25">
      <c r="A18" s="25">
        <v>1961</v>
      </c>
      <c r="B18" s="58"/>
      <c r="C18" s="58"/>
      <c r="D18" s="58"/>
      <c r="E18" s="58"/>
      <c r="F18" s="58"/>
      <c r="G18" s="58"/>
      <c r="H18" s="58"/>
      <c r="I18" s="58"/>
      <c r="J18" s="64"/>
      <c r="K18" s="56"/>
      <c r="L18" s="56"/>
      <c r="M18" s="56"/>
    </row>
    <row r="19" spans="1:13" x14ac:dyDescent="0.25">
      <c r="A19" s="25">
        <v>1962</v>
      </c>
      <c r="B19" s="58"/>
      <c r="C19" s="58"/>
      <c r="D19" s="58"/>
      <c r="E19" s="58"/>
      <c r="F19" s="58"/>
      <c r="G19" s="58"/>
      <c r="H19" s="58"/>
      <c r="I19" s="58"/>
      <c r="J19" s="64"/>
      <c r="K19" s="56"/>
      <c r="L19" s="56"/>
      <c r="M19" s="56"/>
    </row>
    <row r="20" spans="1:13" x14ac:dyDescent="0.25">
      <c r="A20" s="25">
        <v>1963</v>
      </c>
      <c r="B20" s="58"/>
      <c r="C20" s="58"/>
      <c r="D20" s="58"/>
      <c r="E20" s="58"/>
      <c r="F20" s="58"/>
      <c r="G20" s="58"/>
      <c r="H20" s="58"/>
      <c r="I20" s="58"/>
      <c r="J20" s="64"/>
      <c r="K20" s="56"/>
      <c r="L20" s="56"/>
      <c r="M20" s="56"/>
    </row>
    <row r="21" spans="1:13" x14ac:dyDescent="0.25">
      <c r="A21" s="25">
        <v>1964</v>
      </c>
      <c r="B21" s="58"/>
      <c r="C21" s="58"/>
      <c r="D21" s="58"/>
      <c r="E21" s="58"/>
      <c r="F21" s="58"/>
      <c r="G21" s="58"/>
      <c r="H21" s="58"/>
      <c r="I21" s="58"/>
      <c r="J21" s="64"/>
      <c r="K21" s="56"/>
      <c r="L21" s="56"/>
      <c r="M21" s="56"/>
    </row>
    <row r="22" spans="1:13" x14ac:dyDescent="0.25">
      <c r="A22" s="25">
        <v>1965</v>
      </c>
      <c r="B22" s="58"/>
      <c r="C22" s="58"/>
      <c r="D22" s="58"/>
      <c r="E22" s="58"/>
      <c r="F22" s="58"/>
      <c r="G22" s="58"/>
      <c r="H22" s="58"/>
      <c r="I22" s="58"/>
      <c r="J22" s="64"/>
      <c r="K22" s="56"/>
      <c r="L22" s="56"/>
      <c r="M22" s="56"/>
    </row>
    <row r="23" spans="1:13" x14ac:dyDescent="0.25">
      <c r="A23" s="25">
        <v>1966</v>
      </c>
      <c r="B23" s="58">
        <f t="shared" ref="B23" si="0">1.8/5-C23</f>
        <v>5.1999999999999991E-2</v>
      </c>
      <c r="C23" s="58">
        <f t="shared" ref="C23" si="1">1.54/5</f>
        <v>0.308</v>
      </c>
      <c r="D23" s="58">
        <f t="shared" ref="D23" si="2">2.28/5</f>
        <v>0.45599999999999996</v>
      </c>
      <c r="E23" s="58">
        <f t="shared" ref="E23" si="3">0.71/5</f>
        <v>0.14199999999999999</v>
      </c>
      <c r="F23" s="58">
        <f t="shared" ref="F23:F47" si="4">0.07/5</f>
        <v>1.4000000000000002E-2</v>
      </c>
      <c r="G23" s="58">
        <f t="shared" ref="G23" si="5">0.32/5</f>
        <v>6.4000000000000001E-2</v>
      </c>
      <c r="H23" s="58">
        <f t="shared" ref="H23" si="6">0.57/5</f>
        <v>0.11399999999999999</v>
      </c>
      <c r="I23" s="58">
        <f t="shared" ref="I23" si="7">0.27/5</f>
        <v>5.4000000000000006E-2</v>
      </c>
      <c r="J23" s="64"/>
      <c r="K23" s="56"/>
      <c r="L23" s="56"/>
      <c r="M23" s="56"/>
    </row>
    <row r="24" spans="1:13" x14ac:dyDescent="0.25">
      <c r="A24" s="25">
        <v>1967</v>
      </c>
      <c r="B24" s="58"/>
      <c r="C24" s="58"/>
      <c r="D24" s="58"/>
      <c r="E24" s="58"/>
      <c r="F24" s="58"/>
      <c r="G24" s="58"/>
      <c r="H24" s="58"/>
      <c r="I24" s="58"/>
      <c r="J24" s="64"/>
      <c r="K24" s="56"/>
      <c r="L24" s="56"/>
      <c r="M24" s="56"/>
    </row>
    <row r="25" spans="1:13" x14ac:dyDescent="0.25">
      <c r="A25" s="25">
        <v>1968</v>
      </c>
      <c r="B25" s="58"/>
      <c r="C25" s="58"/>
      <c r="D25" s="58"/>
      <c r="E25" s="58"/>
      <c r="F25" s="58"/>
      <c r="G25" s="58"/>
      <c r="H25" s="58"/>
      <c r="I25" s="58"/>
      <c r="J25" s="64"/>
      <c r="K25" s="56"/>
      <c r="L25" s="56"/>
      <c r="M25" s="56"/>
    </row>
    <row r="26" spans="1:13" x14ac:dyDescent="0.25">
      <c r="A26" s="25">
        <v>1969</v>
      </c>
      <c r="B26" s="58"/>
      <c r="C26" s="58"/>
      <c r="D26" s="58"/>
      <c r="E26" s="58"/>
      <c r="F26" s="58"/>
      <c r="G26" s="58"/>
      <c r="H26" s="58"/>
      <c r="I26" s="58"/>
      <c r="J26" s="64"/>
      <c r="K26" s="56"/>
      <c r="L26" s="56"/>
      <c r="M26" s="56"/>
    </row>
    <row r="27" spans="1:13" x14ac:dyDescent="0.25">
      <c r="A27" s="25">
        <v>1970</v>
      </c>
      <c r="B27" s="58"/>
      <c r="C27" s="58"/>
      <c r="D27" s="58"/>
      <c r="E27" s="58"/>
      <c r="F27" s="58"/>
      <c r="G27" s="58"/>
      <c r="H27" s="58"/>
      <c r="I27" s="58"/>
      <c r="J27" s="64"/>
      <c r="K27" s="56"/>
      <c r="L27" s="58">
        <v>0.44933333333333336</v>
      </c>
      <c r="M27" s="58">
        <v>0.36000000000000004</v>
      </c>
    </row>
    <row r="28" spans="1:13" x14ac:dyDescent="0.25">
      <c r="A28" s="25">
        <v>1971</v>
      </c>
      <c r="B28" s="58"/>
      <c r="C28" s="58"/>
      <c r="D28" s="58"/>
      <c r="E28" s="58"/>
      <c r="F28" s="58"/>
      <c r="G28" s="58"/>
      <c r="H28" s="58"/>
      <c r="I28" s="58"/>
      <c r="J28" s="64"/>
      <c r="K28" s="56"/>
      <c r="L28" s="19"/>
      <c r="M28" s="19"/>
    </row>
    <row r="29" spans="1:13" x14ac:dyDescent="0.25">
      <c r="A29" s="25">
        <v>1972</v>
      </c>
      <c r="B29" s="58"/>
      <c r="C29" s="58"/>
      <c r="D29" s="58"/>
      <c r="E29" s="58"/>
      <c r="F29" s="58"/>
      <c r="G29" s="58"/>
      <c r="H29" s="58"/>
      <c r="I29" s="58"/>
      <c r="J29" s="64"/>
      <c r="K29" s="56"/>
      <c r="L29" s="56"/>
      <c r="M29" s="56"/>
    </row>
    <row r="30" spans="1:13" x14ac:dyDescent="0.25">
      <c r="A30" s="25">
        <v>1973</v>
      </c>
      <c r="B30" s="58"/>
      <c r="C30" s="58"/>
      <c r="D30" s="58"/>
      <c r="E30" s="58"/>
      <c r="F30" s="58"/>
      <c r="G30" s="58"/>
      <c r="H30" s="58"/>
      <c r="I30" s="58"/>
      <c r="J30" s="64"/>
      <c r="K30" s="56"/>
      <c r="L30" s="56"/>
      <c r="M30" s="56"/>
    </row>
    <row r="31" spans="1:13" x14ac:dyDescent="0.25">
      <c r="A31" s="25">
        <v>1974</v>
      </c>
      <c r="B31" s="58"/>
      <c r="C31" s="58"/>
      <c r="D31" s="58"/>
      <c r="E31" s="58"/>
      <c r="F31" s="58"/>
      <c r="G31" s="58"/>
      <c r="H31" s="58"/>
      <c r="I31" s="58"/>
      <c r="J31" s="64"/>
      <c r="K31" s="56"/>
      <c r="L31" s="56"/>
      <c r="M31" s="56"/>
    </row>
    <row r="32" spans="1:13" x14ac:dyDescent="0.25">
      <c r="A32" s="25">
        <v>1975</v>
      </c>
      <c r="B32" s="58"/>
      <c r="C32" s="58"/>
      <c r="D32" s="58"/>
      <c r="E32" s="58"/>
      <c r="F32" s="58"/>
      <c r="G32" s="58"/>
      <c r="H32" s="58"/>
      <c r="I32" s="58"/>
      <c r="J32" s="64"/>
      <c r="K32" s="56"/>
      <c r="L32" s="56"/>
      <c r="M32" s="56"/>
    </row>
    <row r="33" spans="1:13" x14ac:dyDescent="0.25">
      <c r="A33" s="25">
        <v>1976</v>
      </c>
      <c r="B33" s="58"/>
      <c r="C33" s="58"/>
      <c r="D33" s="58"/>
      <c r="E33" s="58"/>
      <c r="F33" s="58"/>
      <c r="G33" s="58"/>
      <c r="H33" s="58"/>
      <c r="I33" s="58"/>
      <c r="J33" s="64"/>
      <c r="K33" s="56"/>
      <c r="L33" s="56"/>
      <c r="M33" s="56"/>
    </row>
    <row r="34" spans="1:13" x14ac:dyDescent="0.25">
      <c r="A34" s="25">
        <v>1977</v>
      </c>
      <c r="B34" s="58"/>
      <c r="C34" s="58"/>
      <c r="D34" s="58"/>
      <c r="E34" s="58"/>
      <c r="F34" s="58"/>
      <c r="G34" s="58"/>
      <c r="H34" s="58"/>
      <c r="I34" s="58"/>
      <c r="J34" s="64"/>
      <c r="K34" s="56"/>
      <c r="L34" s="58">
        <f>1.84/5</f>
        <v>0.36799999999999999</v>
      </c>
      <c r="M34" s="58">
        <f>1.81/5</f>
        <v>0.36199999999999999</v>
      </c>
    </row>
    <row r="35" spans="1:13" x14ac:dyDescent="0.25">
      <c r="A35" s="25">
        <v>1978</v>
      </c>
      <c r="B35" s="58"/>
      <c r="C35" s="58"/>
      <c r="D35" s="58"/>
      <c r="E35" s="58"/>
      <c r="F35" s="58"/>
      <c r="G35" s="58"/>
      <c r="H35" s="58"/>
      <c r="I35" s="58"/>
      <c r="J35" s="64"/>
      <c r="K35" s="56"/>
      <c r="L35" s="56"/>
      <c r="M35" s="56"/>
    </row>
    <row r="36" spans="1:13" x14ac:dyDescent="0.25">
      <c r="A36" s="25">
        <v>1979</v>
      </c>
      <c r="B36" s="58"/>
      <c r="C36" s="58"/>
      <c r="D36" s="58"/>
      <c r="E36" s="58"/>
      <c r="F36" s="58"/>
      <c r="G36" s="58"/>
      <c r="H36" s="58"/>
      <c r="I36" s="58"/>
      <c r="J36" s="64"/>
      <c r="K36" s="56"/>
      <c r="L36" s="56"/>
      <c r="M36" s="56"/>
    </row>
    <row r="37" spans="1:13" x14ac:dyDescent="0.25">
      <c r="A37" s="25">
        <v>1980</v>
      </c>
      <c r="B37" s="58"/>
      <c r="C37" s="58"/>
      <c r="D37" s="58"/>
      <c r="E37" s="58"/>
      <c r="F37" s="58"/>
      <c r="G37" s="58"/>
      <c r="H37" s="58"/>
      <c r="I37" s="58"/>
      <c r="J37" s="64"/>
      <c r="K37" s="56"/>
      <c r="L37" s="56"/>
      <c r="M37" s="56"/>
    </row>
    <row r="38" spans="1:13" x14ac:dyDescent="0.25">
      <c r="A38" s="25">
        <v>1981</v>
      </c>
      <c r="B38" s="58"/>
      <c r="C38" s="58"/>
      <c r="D38" s="58"/>
      <c r="E38" s="58"/>
      <c r="F38" s="58"/>
      <c r="G38" s="58"/>
      <c r="H38" s="58"/>
      <c r="I38" s="58"/>
      <c r="J38" s="64"/>
      <c r="K38" s="56"/>
      <c r="L38" s="56"/>
      <c r="M38" s="56"/>
    </row>
    <row r="39" spans="1:13" x14ac:dyDescent="0.25">
      <c r="A39" s="25">
        <v>1982</v>
      </c>
      <c r="B39" s="58"/>
      <c r="C39" s="58"/>
      <c r="D39" s="58"/>
      <c r="E39" s="58"/>
      <c r="F39" s="58"/>
      <c r="G39" s="58"/>
      <c r="H39" s="58"/>
      <c r="I39" s="58"/>
      <c r="J39" s="64"/>
      <c r="K39" s="56"/>
      <c r="L39" s="56"/>
      <c r="M39" s="56"/>
    </row>
    <row r="40" spans="1:13" x14ac:dyDescent="0.25">
      <c r="A40" s="25">
        <v>1983</v>
      </c>
      <c r="B40" s="58"/>
      <c r="C40" s="58"/>
      <c r="D40" s="58"/>
      <c r="E40" s="58"/>
      <c r="F40" s="58"/>
      <c r="G40" s="58"/>
      <c r="H40" s="58"/>
      <c r="I40" s="58"/>
      <c r="J40" s="64"/>
      <c r="K40" s="56"/>
      <c r="L40" s="56"/>
      <c r="M40" s="56"/>
    </row>
    <row r="41" spans="1:13" x14ac:dyDescent="0.25">
      <c r="A41" s="25">
        <v>1984</v>
      </c>
      <c r="B41" s="58"/>
      <c r="C41" s="58"/>
      <c r="D41" s="58"/>
      <c r="E41" s="58"/>
      <c r="F41" s="58"/>
      <c r="G41" s="58"/>
      <c r="H41" s="58"/>
      <c r="I41" s="58"/>
      <c r="J41" s="64"/>
      <c r="K41" s="56"/>
      <c r="L41" s="56"/>
      <c r="M41" s="56"/>
    </row>
    <row r="42" spans="1:13" x14ac:dyDescent="0.25">
      <c r="A42" s="25">
        <v>1985</v>
      </c>
      <c r="B42" s="58"/>
      <c r="C42" s="58"/>
      <c r="D42" s="58"/>
      <c r="E42" s="58"/>
      <c r="F42" s="58"/>
      <c r="G42" s="58"/>
      <c r="H42" s="58"/>
      <c r="I42" s="58"/>
      <c r="J42" s="64"/>
      <c r="K42" s="56"/>
      <c r="L42" s="56"/>
      <c r="M42" s="56"/>
    </row>
    <row r="43" spans="1:13" x14ac:dyDescent="0.25">
      <c r="A43" s="25">
        <v>1986</v>
      </c>
      <c r="B43" s="58"/>
      <c r="C43" s="58"/>
      <c r="D43" s="58"/>
      <c r="E43" s="58"/>
      <c r="F43" s="58"/>
      <c r="G43" s="58"/>
      <c r="H43" s="58"/>
      <c r="I43" s="58"/>
      <c r="J43" s="64"/>
      <c r="K43" s="56"/>
      <c r="L43" s="56"/>
      <c r="M43" s="56"/>
    </row>
    <row r="44" spans="1:13" x14ac:dyDescent="0.25">
      <c r="A44" s="25">
        <v>1987</v>
      </c>
      <c r="B44" s="58"/>
      <c r="C44" s="58"/>
      <c r="D44" s="58"/>
      <c r="E44" s="58"/>
      <c r="F44" s="58"/>
      <c r="G44" s="58"/>
      <c r="H44" s="58"/>
      <c r="I44" s="58"/>
      <c r="J44" s="64"/>
      <c r="K44" s="56"/>
      <c r="L44" s="56"/>
      <c r="M44" s="56"/>
    </row>
    <row r="45" spans="1:13" x14ac:dyDescent="0.25">
      <c r="A45" s="25">
        <v>1988</v>
      </c>
      <c r="B45" s="58"/>
      <c r="C45" s="58"/>
      <c r="D45" s="58"/>
      <c r="E45" s="58"/>
      <c r="F45" s="58"/>
      <c r="G45" s="58"/>
      <c r="H45" s="58"/>
      <c r="I45" s="58"/>
      <c r="J45" s="64"/>
      <c r="K45" s="56"/>
      <c r="L45" s="56"/>
      <c r="M45" s="56"/>
    </row>
    <row r="46" spans="1:13" x14ac:dyDescent="0.25">
      <c r="A46" s="25">
        <v>1989</v>
      </c>
      <c r="B46" s="58"/>
      <c r="C46" s="58"/>
      <c r="D46" s="58"/>
      <c r="E46" s="58"/>
      <c r="F46" s="58"/>
      <c r="G46" s="58"/>
      <c r="H46" s="58"/>
      <c r="I46" s="58"/>
      <c r="J46" s="64"/>
      <c r="K46" s="56"/>
      <c r="L46" s="56"/>
      <c r="M46" s="56"/>
    </row>
    <row r="47" spans="1:13" x14ac:dyDescent="0.25">
      <c r="A47" s="25">
        <v>1990</v>
      </c>
      <c r="B47" s="58">
        <f t="shared" ref="B47" si="8">1.8/5-C47</f>
        <v>5.1999999999999991E-2</v>
      </c>
      <c r="C47" s="58">
        <f t="shared" ref="C47" si="9">1.54/5</f>
        <v>0.308</v>
      </c>
      <c r="D47" s="58">
        <f t="shared" ref="D47" si="10">2.28/5</f>
        <v>0.45599999999999996</v>
      </c>
      <c r="E47" s="58">
        <f t="shared" ref="E47" si="11">0.71/5</f>
        <v>0.14199999999999999</v>
      </c>
      <c r="F47" s="58">
        <f t="shared" si="4"/>
        <v>1.4000000000000002E-2</v>
      </c>
      <c r="G47" s="58">
        <f t="shared" ref="G47" si="12">0.32/5</f>
        <v>6.4000000000000001E-2</v>
      </c>
      <c r="H47" s="58">
        <f t="shared" ref="H47" si="13">0.57/5</f>
        <v>0.11399999999999999</v>
      </c>
      <c r="I47" s="58">
        <f t="shared" ref="I47" si="14">0.27/5</f>
        <v>5.4000000000000006E-2</v>
      </c>
      <c r="J47" s="64"/>
      <c r="K47" s="56"/>
      <c r="L47" s="56"/>
      <c r="M47" s="56"/>
    </row>
    <row r="48" spans="1:13" x14ac:dyDescent="0.25">
      <c r="A48" s="25">
        <v>1991</v>
      </c>
      <c r="B48" s="58"/>
      <c r="C48" s="58"/>
      <c r="D48" s="58"/>
      <c r="E48" s="58"/>
      <c r="F48" s="58"/>
      <c r="G48" s="58"/>
      <c r="H48" s="58"/>
      <c r="I48" s="58"/>
      <c r="J48" s="65"/>
    </row>
    <row r="49" spans="1:10" x14ac:dyDescent="0.25">
      <c r="A49" s="25">
        <v>1992</v>
      </c>
      <c r="B49" s="58"/>
      <c r="C49" s="58"/>
      <c r="D49" s="58"/>
      <c r="E49" s="58"/>
      <c r="F49" s="58"/>
      <c r="G49" s="58"/>
      <c r="H49" s="58"/>
      <c r="I49" s="58"/>
      <c r="J49" s="63"/>
    </row>
    <row r="50" spans="1:10" x14ac:dyDescent="0.25">
      <c r="A50" s="25">
        <v>1993</v>
      </c>
      <c r="B50" s="58"/>
      <c r="C50" s="58"/>
      <c r="D50" s="58"/>
      <c r="E50" s="58"/>
      <c r="F50" s="58"/>
      <c r="G50" s="58"/>
      <c r="H50" s="58"/>
      <c r="I50" s="58"/>
      <c r="J50" s="63"/>
    </row>
    <row r="51" spans="1:10" x14ac:dyDescent="0.25">
      <c r="A51" s="25">
        <v>1994</v>
      </c>
      <c r="B51" s="58"/>
      <c r="C51" s="58"/>
      <c r="D51" s="58"/>
      <c r="E51" s="58"/>
      <c r="F51" s="58"/>
      <c r="G51" s="58"/>
      <c r="H51" s="58"/>
      <c r="I51" s="58"/>
      <c r="J51" s="63"/>
    </row>
    <row r="52" spans="1:10" x14ac:dyDescent="0.25">
      <c r="A52" s="25">
        <v>1995</v>
      </c>
      <c r="B52" s="58"/>
      <c r="C52" s="58"/>
      <c r="D52" s="58"/>
      <c r="E52" s="58"/>
      <c r="F52" s="58"/>
      <c r="G52" s="58"/>
      <c r="H52" s="58"/>
      <c r="I52" s="58"/>
      <c r="J52" s="63"/>
    </row>
    <row r="53" spans="1:10" x14ac:dyDescent="0.25">
      <c r="A53" s="25">
        <v>1996</v>
      </c>
      <c r="B53" s="58"/>
      <c r="C53" s="58"/>
      <c r="D53" s="58"/>
      <c r="E53" s="58"/>
      <c r="F53" s="58"/>
      <c r="G53" s="58"/>
      <c r="H53" s="58"/>
      <c r="I53" s="58"/>
      <c r="J53" s="63"/>
    </row>
    <row r="54" spans="1:10" x14ac:dyDescent="0.25">
      <c r="A54" s="25">
        <v>1997</v>
      </c>
      <c r="B54" s="58"/>
      <c r="C54" s="58"/>
      <c r="D54" s="58"/>
      <c r="E54" s="58"/>
      <c r="F54" s="58"/>
      <c r="G54" s="58"/>
      <c r="H54" s="58"/>
      <c r="I54" s="58"/>
      <c r="J54" s="66"/>
    </row>
    <row r="55" spans="1:10" x14ac:dyDescent="0.25">
      <c r="A55" s="25">
        <v>1998</v>
      </c>
      <c r="B55" s="58"/>
      <c r="C55" s="58"/>
      <c r="D55" s="58"/>
      <c r="E55" s="58"/>
      <c r="F55" s="58"/>
      <c r="G55" s="58"/>
      <c r="H55" s="58"/>
      <c r="I55" s="58"/>
      <c r="J55" s="66"/>
    </row>
    <row r="56" spans="1:10" x14ac:dyDescent="0.25">
      <c r="A56" s="25">
        <v>1999</v>
      </c>
      <c r="B56" s="58"/>
      <c r="C56" s="58"/>
      <c r="D56" s="58"/>
      <c r="E56" s="58"/>
      <c r="F56" s="58"/>
      <c r="G56" s="58"/>
      <c r="H56" s="58"/>
      <c r="I56" s="58"/>
      <c r="J56" s="66"/>
    </row>
    <row r="57" spans="1:10" x14ac:dyDescent="0.25">
      <c r="A57" s="25">
        <v>2000</v>
      </c>
      <c r="B57" s="58"/>
      <c r="C57" s="58"/>
      <c r="D57" s="58"/>
      <c r="E57" s="58"/>
      <c r="F57" s="58"/>
      <c r="G57" s="58"/>
      <c r="H57" s="58"/>
      <c r="I57" s="58"/>
      <c r="J57" s="66"/>
    </row>
    <row r="58" spans="1:10" x14ac:dyDescent="0.25">
      <c r="A58" s="25">
        <v>2001</v>
      </c>
      <c r="B58" s="58"/>
      <c r="C58" s="58"/>
      <c r="D58" s="58"/>
      <c r="E58" s="58"/>
      <c r="F58" s="58"/>
      <c r="G58" s="58"/>
      <c r="H58" s="58"/>
      <c r="I58" s="58"/>
      <c r="J58" s="66"/>
    </row>
    <row r="59" spans="1:10" x14ac:dyDescent="0.25">
      <c r="A59" s="25">
        <v>2002</v>
      </c>
      <c r="B59" s="58"/>
      <c r="C59" s="58"/>
      <c r="D59" s="58"/>
      <c r="E59" s="58"/>
      <c r="F59" s="58"/>
      <c r="G59" s="58"/>
      <c r="H59" s="58"/>
      <c r="I59" s="58"/>
      <c r="J59" s="66"/>
    </row>
    <row r="60" spans="1:10" x14ac:dyDescent="0.25">
      <c r="A60" s="25">
        <v>2003</v>
      </c>
      <c r="B60" s="58"/>
      <c r="C60" s="58"/>
      <c r="D60" s="58"/>
      <c r="E60" s="58"/>
      <c r="F60" s="58"/>
      <c r="G60" s="58"/>
      <c r="H60" s="58"/>
      <c r="I60" s="58"/>
      <c r="J60" s="66"/>
    </row>
    <row r="61" spans="1:10" x14ac:dyDescent="0.25">
      <c r="A61" s="25">
        <v>2004</v>
      </c>
      <c r="B61" s="58"/>
      <c r="C61" s="58"/>
      <c r="D61" s="58"/>
      <c r="E61" s="58"/>
      <c r="F61" s="58"/>
      <c r="G61" s="58"/>
      <c r="H61" s="58"/>
      <c r="I61" s="58"/>
      <c r="J61" s="66"/>
    </row>
    <row r="62" spans="1:10" x14ac:dyDescent="0.25">
      <c r="A62" s="25">
        <v>2005</v>
      </c>
      <c r="B62" s="58"/>
      <c r="C62" s="58"/>
      <c r="D62" s="58"/>
      <c r="E62" s="58"/>
      <c r="F62" s="58"/>
      <c r="G62" s="58"/>
      <c r="H62" s="58"/>
      <c r="I62" s="58"/>
      <c r="J62" s="66"/>
    </row>
    <row r="63" spans="1:10" x14ac:dyDescent="0.25">
      <c r="A63" s="25">
        <v>2006</v>
      </c>
      <c r="B63" s="58"/>
      <c r="C63" s="58"/>
      <c r="D63" s="58"/>
      <c r="E63" s="58"/>
      <c r="F63" s="58"/>
      <c r="G63" s="58"/>
      <c r="H63" s="58"/>
      <c r="I63" s="58"/>
      <c r="J63" s="66"/>
    </row>
    <row r="64" spans="1:10" x14ac:dyDescent="0.25">
      <c r="A64" s="25">
        <v>2007</v>
      </c>
      <c r="B64" s="58"/>
      <c r="C64" s="58"/>
      <c r="D64" s="58"/>
      <c r="E64" s="58"/>
      <c r="F64" s="58"/>
      <c r="G64" s="58"/>
      <c r="H64" s="58"/>
      <c r="I64" s="58"/>
      <c r="J64" s="66"/>
    </row>
    <row r="65" spans="1:76" x14ac:dyDescent="0.25">
      <c r="A65" s="25">
        <v>2008</v>
      </c>
      <c r="B65" s="58"/>
      <c r="C65" s="58"/>
      <c r="D65" s="58"/>
      <c r="E65" s="58"/>
      <c r="F65" s="58"/>
      <c r="G65" s="58"/>
      <c r="H65" s="58"/>
      <c r="I65" s="58"/>
    </row>
    <row r="66" spans="1:76" x14ac:dyDescent="0.25">
      <c r="A66" s="25">
        <v>2009</v>
      </c>
      <c r="B66" s="58"/>
      <c r="C66" s="58"/>
      <c r="D66" s="58"/>
      <c r="E66" s="58"/>
      <c r="F66" s="58"/>
      <c r="G66" s="58"/>
      <c r="H66" s="58"/>
      <c r="I66" s="58"/>
    </row>
    <row r="67" spans="1:76" x14ac:dyDescent="0.25">
      <c r="A67" s="25">
        <v>2010</v>
      </c>
      <c r="B67" s="58"/>
      <c r="C67" s="58"/>
      <c r="D67" s="58"/>
      <c r="E67" s="58"/>
      <c r="F67" s="58"/>
      <c r="G67" s="58"/>
      <c r="H67" s="58"/>
      <c r="I67" s="58"/>
      <c r="J67" s="63"/>
    </row>
    <row r="68" spans="1:76" x14ac:dyDescent="0.25">
      <c r="A68" s="25">
        <v>2011</v>
      </c>
      <c r="B68" s="58">
        <v>0</v>
      </c>
      <c r="C68" s="58">
        <v>0.04</v>
      </c>
      <c r="D68" s="58">
        <v>0.65</v>
      </c>
      <c r="E68" s="58">
        <v>0.2</v>
      </c>
      <c r="F68" s="58">
        <v>0.01</v>
      </c>
      <c r="G68" s="58">
        <v>0.04</v>
      </c>
      <c r="H68" s="58">
        <v>0.17</v>
      </c>
      <c r="I68" s="58">
        <v>4.3800000000000002E-3</v>
      </c>
      <c r="J68" s="66"/>
      <c r="L68" s="57">
        <f>2.1/42</f>
        <v>0.05</v>
      </c>
      <c r="M68" s="58">
        <v>0.22</v>
      </c>
      <c r="N68" s="58">
        <v>1.7</v>
      </c>
    </row>
    <row r="69" spans="1:76" x14ac:dyDescent="0.25">
      <c r="A69" s="25">
        <v>2012</v>
      </c>
      <c r="B69" s="58"/>
      <c r="C69" s="58"/>
      <c r="D69" s="58"/>
      <c r="E69" s="58"/>
      <c r="F69" s="58"/>
      <c r="G69" s="58"/>
      <c r="H69" s="58"/>
      <c r="I69" s="58"/>
      <c r="J69" s="66"/>
    </row>
    <row r="70" spans="1:76" x14ac:dyDescent="0.25">
      <c r="A70" s="25">
        <v>2013</v>
      </c>
      <c r="B70" s="58"/>
      <c r="C70" s="58"/>
      <c r="D70" s="58"/>
      <c r="E70" s="58"/>
      <c r="F70" s="58"/>
      <c r="G70" s="58"/>
      <c r="H70" s="58"/>
      <c r="I70" s="58"/>
      <c r="J70" s="66"/>
    </row>
    <row r="71" spans="1:76" x14ac:dyDescent="0.25">
      <c r="A71" s="25">
        <v>2014</v>
      </c>
      <c r="B71" s="58"/>
      <c r="C71" s="58"/>
      <c r="D71" s="58"/>
      <c r="E71" s="58"/>
      <c r="F71" s="58"/>
      <c r="G71" s="58"/>
      <c r="H71" s="58"/>
      <c r="I71" s="58"/>
      <c r="J71" s="66"/>
    </row>
    <row r="72" spans="1:76" x14ac:dyDescent="0.25">
      <c r="A72" s="25">
        <v>2015</v>
      </c>
      <c r="B72" s="58"/>
      <c r="C72" s="58"/>
      <c r="D72" s="58"/>
      <c r="E72" s="58"/>
      <c r="F72" s="58"/>
      <c r="G72" s="58"/>
      <c r="H72" s="58"/>
      <c r="I72" s="58"/>
      <c r="J72" s="66"/>
    </row>
    <row r="73" spans="1:76" x14ac:dyDescent="0.25">
      <c r="A73" s="25">
        <v>2016</v>
      </c>
      <c r="B73" s="58"/>
      <c r="C73" s="58"/>
      <c r="D73" s="58"/>
      <c r="E73" s="58"/>
      <c r="F73" s="58"/>
      <c r="G73" s="58"/>
      <c r="H73" s="58"/>
      <c r="I73" s="58"/>
      <c r="J73" s="66"/>
    </row>
    <row r="74" spans="1:76" x14ac:dyDescent="0.25">
      <c r="A74" s="25">
        <v>2017</v>
      </c>
      <c r="B74" s="58"/>
      <c r="C74" s="58"/>
      <c r="D74" s="58"/>
      <c r="E74" s="58"/>
      <c r="F74" s="58"/>
      <c r="G74" s="58"/>
      <c r="H74" s="58"/>
      <c r="I74" s="58"/>
      <c r="J74" s="66"/>
    </row>
    <row r="75" spans="1:76" x14ac:dyDescent="0.25">
      <c r="A75" s="25">
        <v>2018</v>
      </c>
      <c r="B75" s="58"/>
      <c r="C75" s="58"/>
      <c r="D75" s="58"/>
      <c r="E75" s="58"/>
      <c r="F75" s="58"/>
      <c r="G75" s="58"/>
      <c r="H75" s="58"/>
      <c r="I75" s="58"/>
      <c r="J75" s="66"/>
    </row>
    <row r="76" spans="1:76" x14ac:dyDescent="0.25">
      <c r="A76" s="25">
        <v>2019</v>
      </c>
      <c r="B76" s="58"/>
      <c r="C76" s="58"/>
      <c r="D76" s="58"/>
      <c r="E76" s="58"/>
      <c r="F76" s="58"/>
      <c r="G76" s="58"/>
      <c r="H76" s="58"/>
      <c r="I76" s="58"/>
      <c r="J76" s="66"/>
    </row>
    <row r="77" spans="1:76" x14ac:dyDescent="0.25">
      <c r="A77" s="25">
        <v>2020</v>
      </c>
      <c r="B77" s="58"/>
      <c r="C77" s="58"/>
      <c r="D77" s="58"/>
      <c r="E77" s="58"/>
      <c r="F77" s="58"/>
      <c r="G77" s="58"/>
      <c r="H77" s="58"/>
      <c r="I77" s="58"/>
      <c r="J77" s="66"/>
    </row>
    <row r="78" spans="1:76" s="61" customFormat="1" x14ac:dyDescent="0.25">
      <c r="A78" s="60"/>
      <c r="B78" s="59"/>
      <c r="C78" s="59"/>
      <c r="D78" s="59"/>
      <c r="E78" s="59"/>
      <c r="F78" s="59"/>
      <c r="G78" s="59"/>
      <c r="H78" s="59"/>
      <c r="I78" s="59"/>
      <c r="J78" s="66"/>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row>
    <row r="79" spans="1:76" s="61" customFormat="1" x14ac:dyDescent="0.25">
      <c r="A79" s="60"/>
      <c r="B79" s="57"/>
      <c r="C79" s="57"/>
      <c r="D79" s="57"/>
      <c r="E79" s="57"/>
      <c r="F79" s="57"/>
      <c r="G79" s="57"/>
      <c r="H79" s="57"/>
      <c r="I79" s="57"/>
      <c r="J79" s="6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row>
    <row r="80" spans="1:76" s="61" customFormat="1" x14ac:dyDescent="0.25">
      <c r="A80" s="60"/>
      <c r="B80" s="57"/>
      <c r="C80" s="57"/>
      <c r="D80" s="57"/>
      <c r="E80" s="57"/>
      <c r="F80" s="57"/>
      <c r="G80" s="57"/>
      <c r="H80" s="57"/>
      <c r="I80" s="57"/>
      <c r="J80" s="6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row>
    <row r="87" spans="1:76" s="61" customFormat="1" x14ac:dyDescent="0.25">
      <c r="A87" s="60"/>
      <c r="B87" s="57"/>
      <c r="C87" s="57"/>
      <c r="D87" s="57"/>
      <c r="E87" s="57"/>
      <c r="F87" s="57"/>
      <c r="G87" s="57"/>
      <c r="H87" s="57"/>
      <c r="I87" s="57"/>
      <c r="J87" s="6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row>
    <row r="88" spans="1:76" s="61" customFormat="1" x14ac:dyDescent="0.25">
      <c r="A88" s="60"/>
      <c r="B88" s="57"/>
      <c r="C88" s="57"/>
      <c r="D88" s="57"/>
      <c r="E88" s="57"/>
      <c r="F88" s="57"/>
      <c r="G88" s="57"/>
      <c r="H88" s="57"/>
      <c r="I88" s="57"/>
      <c r="J88" s="6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stock</vt:lpstr>
      <vt:lpstr>consumption</vt:lpstr>
      <vt:lpstr>prod</vt:lpstr>
      <vt:lpstr>import</vt:lpstr>
      <vt:lpstr>export</vt:lpstr>
      <vt:lpstr>workforce</vt:lpstr>
      <vt:lpstr>RawMat_PlateGlass</vt:lpstr>
      <vt:lpstr>RawMat_WindowGlass</vt:lpstr>
      <vt:lpstr>RawMat_FloatGlass</vt:lpstr>
      <vt:lpstr>RawMat_FlatGlass_ABS</vt:lpstr>
      <vt:lpstr>pollution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2020-10-08T12:57:25Z</dcterms:modified>
</cp:coreProperties>
</file>