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2AECF3DD-D7AB-48BD-AA32-3020059A93DB}" xr6:coauthVersionLast="45" xr6:coauthVersionMax="45" xr10:uidLastSave="{00000000-0000-0000-0000-000000000000}"/>
  <bookViews>
    <workbookView xWindow="1560" yWindow="600" windowWidth="13125" windowHeight="15600" tabRatio="681" firstSheet="3" activeTab="7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RawMat_Intensity" sheetId="21" r:id="rId7"/>
    <sheet name="Energy_Intensity" sheetId="22" r:id="rId8"/>
    <sheet name="RawMat_FlatGlass_ABS" sheetId="20" r:id="rId9"/>
    <sheet name="emission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22" l="1"/>
  <c r="G38" i="22"/>
  <c r="G27" i="22"/>
  <c r="G12" i="22"/>
  <c r="E68" i="22"/>
  <c r="E38" i="22"/>
  <c r="E27" i="22"/>
  <c r="E12" i="22"/>
  <c r="F68" i="22"/>
  <c r="D68" i="22"/>
  <c r="B68" i="22"/>
  <c r="C68" i="22"/>
  <c r="C38" i="22"/>
  <c r="C27" i="22"/>
  <c r="C12" i="22"/>
  <c r="G4" i="22"/>
  <c r="E4" i="22"/>
  <c r="C4" i="22"/>
  <c r="H68" i="22" l="1"/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E50" i="12" l="1"/>
  <c r="E49" i="12"/>
  <c r="E48" i="12"/>
  <c r="E47" i="12"/>
  <c r="E46" i="12"/>
  <c r="B65" i="12" l="1"/>
  <c r="B47" i="12" l="1"/>
  <c r="B48" i="12"/>
  <c r="B49" i="12"/>
  <c r="B50" i="12"/>
  <c r="B46" i="12"/>
  <c r="N57" i="15" l="1"/>
  <c r="N59" i="15"/>
  <c r="N60" i="15"/>
  <c r="B7" i="12" l="1"/>
  <c r="C23" i="20" l="1"/>
  <c r="C22" i="20"/>
  <c r="F23" i="15"/>
  <c r="F22" i="15"/>
  <c r="C21" i="20"/>
  <c r="F21" i="15"/>
  <c r="F19" i="15"/>
  <c r="F17" i="15"/>
  <c r="F18" i="15"/>
  <c r="F20" i="15"/>
  <c r="C20" i="20"/>
  <c r="C19" i="20"/>
  <c r="C18" i="20"/>
  <c r="F16" i="15"/>
  <c r="F15" i="15"/>
  <c r="F13" i="15"/>
  <c r="F11" i="15"/>
  <c r="F10" i="15"/>
  <c r="F9" i="15"/>
  <c r="F14" i="15"/>
  <c r="I11" i="15"/>
  <c r="I10" i="15"/>
  <c r="I12" i="15"/>
  <c r="B11" i="12"/>
  <c r="B10" i="12"/>
  <c r="B9" i="12" l="1"/>
  <c r="C61" i="15" l="1"/>
  <c r="B69" i="16"/>
  <c r="B68" i="16"/>
  <c r="B67" i="16"/>
  <c r="B66" i="16"/>
  <c r="B65" i="16"/>
  <c r="B64" i="16"/>
  <c r="B60" i="12" l="1"/>
  <c r="B63" i="12"/>
  <c r="B64" i="12"/>
  <c r="B14" i="12"/>
  <c r="B67" i="17" l="1"/>
  <c r="B66" i="17" s="1"/>
  <c r="B65" i="17" s="1"/>
  <c r="B64" i="17" s="1"/>
  <c r="B63" i="17" s="1"/>
  <c r="B69" i="17"/>
  <c r="D53" i="17"/>
  <c r="M50" i="15"/>
  <c r="N50" i="15"/>
  <c r="M49" i="15"/>
  <c r="N49" i="15"/>
  <c r="M48" i="15"/>
  <c r="N48" i="15"/>
  <c r="N47" i="15"/>
  <c r="I62" i="13"/>
  <c r="I61" i="13"/>
  <c r="I57" i="13"/>
  <c r="I54" i="13"/>
  <c r="I50" i="13"/>
  <c r="I47" i="13"/>
  <c r="B51" i="12"/>
  <c r="C50" i="12"/>
  <c r="C49" i="12"/>
  <c r="C4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C1" authorId="0" shapeId="0" xr:uid="{F2351082-31E9-4E30-917F-50CA786E7807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F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H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I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J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K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L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M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N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O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4" authorId="0" shapeId="0" xr:uid="{B319E186-9275-461A-81DE-C5E2D710136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D4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E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H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H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F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H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I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K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L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H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K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L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H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I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K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L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H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I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K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L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H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I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K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L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H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K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L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E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I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K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L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K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L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H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K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L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H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5" authorId="0" shapeId="0" xr:uid="{904A0A8E-6743-4BB3-A97A-870D44A630FE}">
      <text>
        <r>
          <rPr>
            <sz val="9"/>
            <color indexed="81"/>
            <rFont val="Tahoma"/>
            <family val="2"/>
          </rPr>
          <t xml:space="preserve">The glass industry in the European Economic Community, Commission of the European Communities, 1984, (p. 122) </t>
        </r>
      </text>
    </comment>
    <comment ref="H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L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H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L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L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G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F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F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C4" authorId="0" shapeId="0" xr:uid="{3C693CB5-C9EB-40D5-99B2-0668E248FC82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463F2206-09BA-4340-ADAE-30EC436D823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26217AEE-1990-4E06-A6C9-4C562BA3D3A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7B09F40E-6E63-4A55-8719-D5E26CE30F2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A5FF646E-0162-4DFE-8613-78D9ABBC24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E227A5ED-ABB0-4325-9B7E-ED85608BC78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96DB4C83-BE0A-4F4A-BB9B-83F43A16AF9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5974FCAF-5AFC-4DBA-B50F-8A9DB18AFA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4740DC44-0339-4F89-905B-BF636540375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74745E2A-5399-4A26-92DC-BBDB7B6ADAE7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4351ADCE-9FD8-45C9-8561-F934ADC0B6ED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3B5C9ADD-AB23-472D-8E4C-1B4261424A48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D16B0EC9-483B-4BB2-91D0-9ADFDBC782A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E0F553F5-039D-4937-B612-8B3FF93A236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5BC3F267-3426-4222-B963-C2C74957DF1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BAE1710F-7B32-45B2-BAFD-7CED807674B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431ED04B-9FF7-47DB-9182-81594F79EAE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790238AE-ADF6-47ED-B2DD-81A5B7A424C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8262D1EF-BF89-48A3-B4FC-5E78E353AA9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53" authorId="0" shapeId="0" xr:uid="{E99905C9-60F4-497A-945D-DD1CDE369D8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88059B8D-D182-4613-B5AD-C1CABAA8770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97CFC6AD-A551-4074-8B1B-8CB9CA16740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98BB1E62-ED7E-4567-A93D-3983B64D96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68AFE4B-A2E8-4CD7-92AE-AC6A11CC30B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D9BC17E7-2AC9-4A05-9F01-10205FB34F2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3DF13541-3235-41E7-9DA4-37080AA854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FA0E494-F493-408C-B6C1-A49C584B27E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008CEE82-A97D-49D0-8346-BDFEDF276A0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2" authorId="0" shapeId="0" xr:uid="{C857BA9B-3C15-4B57-BF03-18C14641CF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8CE3331E-C196-4FF0-9EC2-73C10C78F94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73C12B66-911C-4DC3-9CDC-8A7AF2B6199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1BC5724C-D790-42F9-86CD-6AFAB1AA3B7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731E164E-7635-472F-9819-83992381DEA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4BFDABF-8EED-4BCC-918A-E2B8BC63F1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6481B426-CDB4-4A03-BFE5-EB050F63A3D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2D490D-3535-47D9-88F8-4AE26253DF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1349B0A6-F655-4144-9FAA-9AD31D9D51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DAE9935D-BB20-41D8-A5D5-B3F3FA309C9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7" authorId="0" shapeId="0" xr:uid="{EE8DE986-431F-42DD-9B75-575A42F7F10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H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E4" authorId="0" shapeId="0" xr:uid="{2C0F0FC7-5636-4A84-BF97-CF1C6153121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2ED5D1D3-75C4-4870-B432-BE46D610995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022312E6-8B95-4328-8918-8EC1A2555C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87FDDD88-3BD6-4371-994B-87017CC9825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6414609C-7959-4CEF-994C-3B5DBC26A9D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0F721BC6-C268-4BC2-9FE4-6FDF2596F3C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B59D8BD3-7643-4C6F-8343-955200D45D66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9D1501F8-CE86-4E0D-9805-658D5C2E2C0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1D85C2D6-ADA0-4774-8996-01B8D9F5B96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57F71DAD-0963-4168-8BAB-565A1CF8868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9A7725CB-F062-4257-B08D-3EB89AB3497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4A6FD9D5-1AAE-4DC0-BAD0-E480019C6E99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6350D03C-E68F-4303-8C27-DDA4E0A47C6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6948964C-5F1D-4573-8219-9DA5A8BEEB2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3AB5E39B-1526-4756-8E84-F887AE9B549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E35DA413-1FB9-45B3-B2D4-F48C8F64967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FB1A0F7C-9A23-416A-8C25-B7C005488A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6A0A928C-5205-473F-9A7D-9A8F60F1533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F9193610-B54F-4F5C-928E-017225B0136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52" authorId="0" shapeId="0" xr:uid="{FD805E87-F3D0-493E-B0D3-F358758143B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3" authorId="0" shapeId="0" xr:uid="{BFF85948-E92F-41E9-9DBB-9354B7BA8EC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558E1A4E-FE67-4B20-B27E-BD39A160A03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4FCE0368-9DA1-4DE0-A2EB-9C909784F31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45574A3A-F235-4BBC-A332-2617570386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092588A9-2AFC-4753-BBAB-2D1E3721A9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8D4CCCFA-3E30-482F-8328-776E6D907B0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E74DF53E-B4BF-47A4-94A2-9BC074DE418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2" authorId="0" shapeId="0" xr:uid="{0508A8BB-EA3F-4E77-B8DB-EFCA53FFB28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276A9F28-DDD8-4196-BE72-47CAAE98E09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FBB9C447-850B-404A-A715-3938A9BF7B5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97A66D78-955F-4A67-8DA8-41AA1660964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BA93EF-2B79-4AAD-9A6F-CD04B690A6A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3D724D06-80E1-4EFB-AA88-3AC0B29F978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01C2421-FB30-4700-95F6-7E11E57F1FF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2" authorId="0" shapeId="0" xr:uid="{FE136DC0-E5B1-4ED7-A77C-02DACE8BD33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" authorId="0" shapeId="0" xr:uid="{D015B68C-19E9-4F42-87B0-205E3F37425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" authorId="0" shapeId="0" xr:uid="{0522CA23-702C-410D-AE94-3FE9ED6D0D4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" authorId="0" shapeId="0" xr:uid="{F790C9A7-31FD-4859-9278-9B31F46241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" authorId="0" shapeId="0" xr:uid="{1A069CCE-193A-405A-A688-749C87FE7284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" authorId="0" shapeId="0" xr:uid="{0AC169DB-4293-4886-A098-3CB28B3D3E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" authorId="0" shapeId="0" xr:uid="{C5DEB7E5-C31A-45E6-9286-669EF277911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" authorId="0" shapeId="0" xr:uid="{C064E57C-3C75-4333-AF8D-2373E68A91A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22" authorId="0" shapeId="0" xr:uid="{810C5DFE-6421-47E4-9D38-B62901131E1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2" authorId="0" shapeId="0" xr:uid="{D5874958-8C27-48AE-8A06-6CB7EF29EFA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2" authorId="0" shapeId="0" xr:uid="{12D0A3C7-2937-416A-A4AB-7FD13429CA2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2" authorId="0" shapeId="0" xr:uid="{126E86F8-9959-4F9F-96C8-5274FD8EE32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2" authorId="0" shapeId="0" xr:uid="{D7702753-3E1D-4478-BCF1-EAB05137F36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2" authorId="0" shapeId="0" xr:uid="{0395CECB-01B3-4B67-A277-56AA96304D0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2" authorId="0" shapeId="0" xr:uid="{8B567569-4D5C-4625-9E84-D40D0DE4341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2" authorId="0" shapeId="0" xr:uid="{1F72F99B-5BCF-4F0E-BAFF-47CD21F6B35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32" authorId="0" shapeId="0" xr:uid="{0A8CB90E-EB46-4C65-9F4F-5FD86BD5027D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C32" authorId="0" shapeId="0" xr:uid="{F56563C0-DBFB-4054-AB31-67B93289A08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D32" authorId="0" shapeId="0" xr:uid="{85811C80-7D33-45DD-9AD4-F3C77FA6773F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E32" authorId="0" shapeId="0" xr:uid="{ED372F47-BC18-4EEF-9ABF-D54432ADD77C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F32" authorId="0" shapeId="0" xr:uid="{9B98B5D8-AAE3-43B9-AA86-4EEFAD0437C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G32" authorId="0" shapeId="0" xr:uid="{956EB8E7-05EB-4958-A257-D72540C16A1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H32" authorId="0" shapeId="0" xr:uid="{8D2ED7A2-3307-4D1F-A8C3-C47201FA3269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I32" authorId="0" shapeId="0" xr:uid="{E8F7BE86-C9CE-486B-A09A-F5DB77D2E66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B42" authorId="0" shapeId="0" xr:uid="{5E7F3A64-87E0-4EB7-8B20-BD3E1C9AA40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C42" authorId="0" shapeId="0" xr:uid="{A2E459A1-C0B6-4DE5-8786-3085A927949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D42" authorId="0" shapeId="0" xr:uid="{DF25C197-98D5-4E10-BFC7-57B59301178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E42" authorId="0" shapeId="0" xr:uid="{50828566-558C-4AFB-9A5D-EFF397BE2E2E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F42" authorId="0" shapeId="0" xr:uid="{E37A6DD5-112E-4087-8BA0-EAFA709A5C0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G42" authorId="0" shapeId="0" xr:uid="{E658967F-F0CD-4202-BB25-FD1B72424BD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H42" authorId="0" shapeId="0" xr:uid="{10E7AA95-D82E-41A6-9B6D-78944325423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I42" authorId="0" shapeId="0" xr:uid="{C68E1EB6-A31B-4E79-9CC8-A50DE969CDB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B67" authorId="0" shapeId="0" xr:uid="{10A86F0A-D5F3-4EA6-B90F-05DF04F6081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67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7" authorId="0" shapeId="0" xr:uid="{DAAC465F-673E-4717-BD8C-314D2DA0900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7" authorId="0" shapeId="0" xr:uid="{D41D25B7-AD85-4267-9439-3F6FD1BDDDF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7" authorId="0" shapeId="0" xr:uid="{A4A559F4-544D-4D86-B336-A2B8C94BA4E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7" authorId="0" shapeId="0" xr:uid="{00321031-5F71-412E-B3B9-31615C45DAC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7" authorId="0" shapeId="0" xr:uid="{FC4F3FDF-C343-4D3D-B0DE-E8E5DFB3A122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7" authorId="0" shapeId="0" xr:uid="{93BD405E-E12A-465E-BD65-E1CBD61EFAA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B76" authorId="0" shapeId="0" xr:uid="{CCFDA0D2-8D63-4603-9BFD-1C162387D4C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76" authorId="0" shapeId="0" xr:uid="{D2A38416-6549-4995-8382-49FCC02A29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76" authorId="0" shapeId="0" xr:uid="{75A5700E-79EF-4EFB-BD62-690A5E248A4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76" authorId="0" shapeId="0" xr:uid="{C75A2FFF-6215-4265-9ADF-11F8B2A21BB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76" authorId="0" shapeId="0" xr:uid="{65851AF5-B776-4460-9911-4D8B3B924765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76" authorId="0" shapeId="0" xr:uid="{CAC0DB2D-6B59-457C-B696-31E0166E515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76" authorId="0" shapeId="0" xr:uid="{E151C742-D833-4851-84C7-A74ECA2B78F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76" authorId="0" shapeId="0" xr:uid="{5D6235C6-2775-41FE-B536-3AEED065896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4" authorId="0" shapeId="0" xr:uid="{953F78BA-F341-4832-94F5-0E8AB97CDFCD}">
      <text>
        <r>
          <rPr>
            <sz val="9"/>
            <color indexed="81"/>
            <rFont val="Tahoma"/>
            <family val="2"/>
          </rPr>
          <t>Boaglio</t>
        </r>
      </text>
    </comment>
    <comment ref="C4" authorId="0" shapeId="0" xr:uid="{349C09CE-6F07-4F1D-990A-1D67AE734761}">
      <text>
        <r>
          <rPr>
            <sz val="9"/>
            <color indexed="81"/>
            <rFont val="Tahoma"/>
            <family val="2"/>
          </rPr>
          <t>Boaglio</t>
        </r>
      </text>
    </comment>
    <comment ref="D4" authorId="0" shapeId="0" xr:uid="{C6879DAB-F10F-4236-BE7D-ACCBE981B2CD}">
      <text>
        <r>
          <rPr>
            <sz val="9"/>
            <color indexed="81"/>
            <rFont val="Tahoma"/>
            <family val="2"/>
          </rPr>
          <t>Boaglio</t>
        </r>
      </text>
    </comment>
    <comment ref="E4" authorId="0" shapeId="0" xr:uid="{E7AB02F5-63A6-46A3-93FD-E5F166E34824}">
      <text>
        <r>
          <rPr>
            <sz val="9"/>
            <color indexed="81"/>
            <rFont val="Tahoma"/>
            <family val="2"/>
          </rPr>
          <t>Boaglio</t>
        </r>
      </text>
    </comment>
    <comment ref="F4" authorId="0" shapeId="0" xr:uid="{3F2519A9-21F8-46CE-AD03-93288D4A64DC}">
      <text>
        <r>
          <rPr>
            <sz val="9"/>
            <color indexed="81"/>
            <rFont val="Tahoma"/>
            <family val="2"/>
          </rPr>
          <t>Boaglio</t>
        </r>
      </text>
    </comment>
    <comment ref="G4" authorId="0" shapeId="0" xr:uid="{4377EF66-24F1-4754-9779-74E6D7794636}">
      <text>
        <r>
          <rPr>
            <sz val="9"/>
            <color indexed="81"/>
            <rFont val="Tahoma"/>
            <family val="2"/>
          </rPr>
          <t>Boaglio</t>
        </r>
      </text>
    </comment>
    <comment ref="H4" authorId="0" shapeId="0" xr:uid="{F33EE040-296A-4D27-ADC0-02E3A37FF24C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8499CD9A-525D-4461-BC5F-CA1B39A494EC}">
      <text>
        <r>
          <rPr>
            <sz val="9"/>
            <color indexed="81"/>
            <rFont val="Tahoma"/>
            <family val="2"/>
          </rPr>
          <t>Boaglio</t>
        </r>
      </text>
    </comment>
    <comment ref="C12" authorId="0" shapeId="0" xr:uid="{097E0E5E-D955-4F52-A027-B2B84A892EEE}">
      <text>
        <r>
          <rPr>
            <sz val="9"/>
            <color indexed="81"/>
            <rFont val="Tahoma"/>
            <family val="2"/>
          </rPr>
          <t>Boaglio</t>
        </r>
      </text>
    </comment>
    <comment ref="D12" authorId="0" shapeId="0" xr:uid="{3A12FAE9-70F2-4475-9C23-403717C22F8C}">
      <text>
        <r>
          <rPr>
            <sz val="9"/>
            <color indexed="81"/>
            <rFont val="Tahoma"/>
            <family val="2"/>
          </rPr>
          <t>Boaglio</t>
        </r>
      </text>
    </comment>
    <comment ref="E12" authorId="0" shapeId="0" xr:uid="{5B6A394D-5FB9-4E0D-B07D-B62EEBB3B935}">
      <text>
        <r>
          <rPr>
            <sz val="9"/>
            <color indexed="81"/>
            <rFont val="Tahoma"/>
            <family val="2"/>
          </rPr>
          <t>Boaglio</t>
        </r>
      </text>
    </comment>
    <comment ref="F12" authorId="0" shapeId="0" xr:uid="{88FC9E26-4C96-4775-B6E7-EB0CFAE09565}">
      <text>
        <r>
          <rPr>
            <sz val="9"/>
            <color indexed="81"/>
            <rFont val="Tahoma"/>
            <family val="2"/>
          </rPr>
          <t>Boaglio</t>
        </r>
      </text>
    </comment>
    <comment ref="G12" authorId="0" shapeId="0" xr:uid="{D5972AF6-5AC9-45CF-9235-0367813F9128}">
      <text>
        <r>
          <rPr>
            <sz val="9"/>
            <color indexed="81"/>
            <rFont val="Tahoma"/>
            <family val="2"/>
          </rPr>
          <t>Boaglio</t>
        </r>
      </text>
    </comment>
    <comment ref="H12" authorId="0" shapeId="0" xr:uid="{4A399E55-7F33-44CC-9968-7B79181FF682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27" authorId="0" shapeId="0" xr:uid="{0E5346FD-616D-4621-ADC6-C3EAEA20456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C27" authorId="0" shapeId="0" xr:uid="{2179BC09-F19E-445C-B21F-056B87666F00}">
      <text>
        <r>
          <rPr>
            <sz val="9"/>
            <color indexed="81"/>
            <rFont val="Tahoma"/>
            <family val="2"/>
          </rPr>
          <t>Boaglio</t>
        </r>
      </text>
    </comment>
    <comment ref="D27" authorId="0" shapeId="0" xr:uid="{F901E4EB-9885-4310-8853-100BB3462B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E27" authorId="0" shapeId="0" xr:uid="{AA09A075-6BFB-4480-87C3-B8D2BCE48BCC}">
      <text>
        <r>
          <rPr>
            <sz val="9"/>
            <color indexed="81"/>
            <rFont val="Tahoma"/>
            <family val="2"/>
          </rPr>
          <t>Boaglio</t>
        </r>
      </text>
    </comment>
    <comment ref="G27" authorId="0" shapeId="0" xr:uid="{739FA7DA-3347-4E64-B025-DD8947D5C347}">
      <text>
        <r>
          <rPr>
            <sz val="9"/>
            <color indexed="81"/>
            <rFont val="Tahoma"/>
            <family val="2"/>
          </rPr>
          <t>Boaglio</t>
        </r>
      </text>
    </comment>
    <comment ref="H27" authorId="0" shapeId="0" xr:uid="{C80DCD7F-67EB-4A82-AA2B-FE35F587938F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B38" authorId="0" shapeId="0" xr:uid="{D9E9BFD2-A4E5-4D11-9F59-3C9E98B4D23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38" authorId="0" shapeId="0" xr:uid="{14A78641-91F9-4AA4-8FB8-D1CB1A5DA62F}">
      <text>
        <r>
          <rPr>
            <sz val="9"/>
            <color indexed="81"/>
            <rFont val="Tahoma"/>
            <family val="2"/>
          </rPr>
          <t>Boaglio</t>
        </r>
      </text>
    </comment>
    <comment ref="D38" authorId="0" shapeId="0" xr:uid="{82B01960-C6AA-4F2E-9E72-2EFD301BEE59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E38" authorId="0" shapeId="0" xr:uid="{B1F0C689-F15C-4891-BAF2-2E2D9793D081}">
      <text>
        <r>
          <rPr>
            <sz val="9"/>
            <color indexed="81"/>
            <rFont val="Tahoma"/>
            <family val="2"/>
          </rPr>
          <t>Boaglio</t>
        </r>
      </text>
    </comment>
    <comment ref="F38" authorId="0" shapeId="0" xr:uid="{2F0E13DA-B846-4A50-98BD-527F7EF5BBB6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G38" authorId="0" shapeId="0" xr:uid="{EC04E3D2-E9F1-42D3-8F78-FD1BED185F91}">
      <text>
        <r>
          <rPr>
            <sz val="9"/>
            <color indexed="81"/>
            <rFont val="Tahoma"/>
            <family val="2"/>
          </rPr>
          <t>Boaglio</t>
        </r>
      </text>
    </comment>
    <comment ref="H38" authorId="0" shapeId="0" xr:uid="{3BB0A51D-2147-409F-80D8-8D946348637D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68" authorId="0" shapeId="0" xr:uid="{EDE4FA9F-C5F7-4F34-8E99-63D8CD4ADF70}">
      <text>
        <r>
          <rPr>
            <sz val="9"/>
            <color indexed="81"/>
            <rFont val="Tahoma"/>
            <family val="2"/>
          </rPr>
          <t>Boaglio</t>
        </r>
      </text>
    </comment>
    <comment ref="D68" authorId="0" shapeId="0" xr:uid="{91CDC583-8C5B-4EF1-A999-1856EFBDF5A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8" authorId="0" shapeId="0" xr:uid="{7FC8F729-8248-41BD-A769-8AEC382B1C8C}">
      <text>
        <r>
          <rPr>
            <sz val="9"/>
            <color indexed="81"/>
            <rFont val="Tahoma"/>
            <family val="2"/>
          </rPr>
          <t>Boaglio</t>
        </r>
      </text>
    </comment>
    <comment ref="F68" authorId="0" shapeId="0" xr:uid="{970A84B3-5623-4D35-A6DD-FF2C37FEC98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8" authorId="0" shapeId="0" xr:uid="{BA0F74F4-2A03-47D8-B6F3-019C64131233}">
      <text>
        <r>
          <rPr>
            <sz val="9"/>
            <color indexed="81"/>
            <rFont val="Tahoma"/>
            <family val="2"/>
          </rPr>
          <t>Boaglio</t>
        </r>
      </text>
    </comment>
    <comment ref="H68" authorId="0" shapeId="0" xr:uid="{D89BE55F-C4FF-4172-A505-7794CEB91C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sharedStrings.xml><?xml version="1.0" encoding="utf-8"?>
<sst xmlns="http://schemas.openxmlformats.org/spreadsheetml/2006/main" count="85" uniqueCount="65">
  <si>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</si>
  <si>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</si>
  <si>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</si>
  <si>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</si>
  <si>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</si>
  <si>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</si>
  <si>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</si>
  <si>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</si>
  <si>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</si>
  <si>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</si>
  <si>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</si>
  <si>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</si>
  <si>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</si>
  <si>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limestone, kg/kg</t>
  </si>
  <si>
    <t>dolomite, kg/kg</t>
  </si>
  <si>
    <t>sand, kg/kg</t>
  </si>
  <si>
    <t>feldspar,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</si>
  <si>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</si>
  <si>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</si>
  <si>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</si>
  <si>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</si>
  <si>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</si>
  <si>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</si>
  <si>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</si>
  <si>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</si>
  <si>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</si>
  <si>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</si>
  <si>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</si>
  <si>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</si>
  <si>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</si>
  <si>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</si>
  <si>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</si>
  <si>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</si>
  <si>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</si>
  <si>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</si>
  <si>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</si>
  <si>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</si>
  <si>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</si>
  <si>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</si>
  <si>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</si>
  <si>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</si>
  <si>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</si>
  <si>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</si>
  <si>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</si>
  <si>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</si>
  <si>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</si>
  <si>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</si>
  <si>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</si>
  <si>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</si>
  <si>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</si>
  <si>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</si>
  <si>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</si>
  <si>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</si>
  <si>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</si>
  <si>
    <t>Total energy, GJ/t</t>
  </si>
  <si>
    <t>fuel, %</t>
  </si>
  <si>
    <t>electricity, %</t>
  </si>
  <si>
    <t>natural gas, %</t>
  </si>
  <si>
    <t>FR, 
"000 persons</t>
  </si>
  <si>
    <t>internal cullet, kg/kg</t>
  </si>
  <si>
    <t>external cullet, kg/kg</t>
  </si>
  <si>
    <t>sodium carbonate, kg/kg</t>
  </si>
  <si>
    <t>fuel, GJ/t</t>
  </si>
  <si>
    <t>electricity, GJ/t</t>
  </si>
  <si>
    <t>natural gas,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</si>
</sst>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43" fontId="8" fillId="0" borderId="0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167" fontId="8" fillId="0" borderId="0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8" fontId="8" fillId="0" borderId="0" xfId="0" applyNumberFormat="1" applyFont="1" applyFill="1" applyBorder="1" applyAlignment="1">
      <alignment horizontal="right"/>
    </xf>
    <xf numFmtId="43" fontId="8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59" customFormat="1" x14ac:dyDescent="0.25">
      <c r="A1" s="58" t="s">
        <v>0</v>
      </c>
      <c r="B1" s="57" t="s">
        <v>1</v>
      </c>
      <c r="C1" s="57" t="s">
        <v>2</v>
      </c>
      <c r="D1" s="57" t="s">
        <v>3</v>
      </c>
      <c r="E1" s="57" t="s">
        <v>4</v>
      </c>
    </row>
    <row r="2" spans="1:5" s="1" customFormat="1" x14ac:dyDescent="0.25">
      <c r="A2" s="21">
        <v>1945</v>
      </c>
      <c r="B2" s="22"/>
      <c r="C2" s="23"/>
      <c r="D2" s="23"/>
      <c r="E2" s="23"/>
    </row>
    <row r="3" spans="1:5" s="1" customFormat="1" x14ac:dyDescent="0.25">
      <c r="A3" s="21">
        <v>1946</v>
      </c>
      <c r="B3" s="22"/>
      <c r="C3" s="23"/>
      <c r="D3" s="23"/>
      <c r="E3" s="23"/>
    </row>
    <row r="4" spans="1:5" s="1" customFormat="1" x14ac:dyDescent="0.25">
      <c r="A4" s="21">
        <v>1947</v>
      </c>
      <c r="B4" s="22"/>
      <c r="C4" s="23"/>
      <c r="D4" s="23"/>
      <c r="E4" s="23"/>
    </row>
    <row r="5" spans="1:5" s="1" customFormat="1" x14ac:dyDescent="0.25">
      <c r="A5" s="21">
        <v>1948</v>
      </c>
      <c r="B5" s="22"/>
      <c r="C5" s="23"/>
      <c r="D5" s="23"/>
      <c r="E5" s="23"/>
    </row>
    <row r="6" spans="1:5" s="1" customFormat="1" x14ac:dyDescent="0.25">
      <c r="A6" s="21">
        <v>1949</v>
      </c>
      <c r="B6" s="22"/>
      <c r="C6" s="23"/>
      <c r="D6" s="23"/>
      <c r="E6" s="23"/>
    </row>
    <row r="7" spans="1:5" s="1" customFormat="1" x14ac:dyDescent="0.25">
      <c r="A7" s="21">
        <v>1950</v>
      </c>
      <c r="B7" s="22"/>
      <c r="C7" s="23"/>
      <c r="D7" s="23"/>
      <c r="E7" s="23"/>
    </row>
    <row r="8" spans="1:5" s="1" customFormat="1" x14ac:dyDescent="0.25">
      <c r="A8" s="21">
        <v>1951</v>
      </c>
      <c r="B8" s="22"/>
      <c r="C8" s="23"/>
      <c r="D8" s="23"/>
      <c r="E8" s="23"/>
    </row>
    <row r="9" spans="1:5" s="1" customFormat="1" x14ac:dyDescent="0.25">
      <c r="A9" s="21">
        <v>1952</v>
      </c>
      <c r="B9" s="22"/>
      <c r="C9" s="23"/>
      <c r="D9" s="23"/>
      <c r="E9" s="23"/>
    </row>
    <row r="10" spans="1:5" s="1" customFormat="1" x14ac:dyDescent="0.25">
      <c r="A10" s="21">
        <v>1953</v>
      </c>
      <c r="B10" s="22"/>
      <c r="C10" s="23"/>
      <c r="D10" s="23"/>
      <c r="E10" s="23"/>
    </row>
    <row r="11" spans="1:5" s="1" customFormat="1" x14ac:dyDescent="0.25">
      <c r="A11" s="21">
        <v>1954</v>
      </c>
      <c r="B11" s="22"/>
      <c r="C11" s="23"/>
      <c r="D11" s="23"/>
      <c r="E11" s="23"/>
    </row>
    <row r="12" spans="1:5" s="1" customFormat="1" x14ac:dyDescent="0.25">
      <c r="A12" s="21">
        <v>1955</v>
      </c>
      <c r="B12" s="22"/>
      <c r="C12" s="23"/>
      <c r="D12" s="23"/>
      <c r="E12" s="23"/>
    </row>
    <row r="13" spans="1:5" s="1" customFormat="1" x14ac:dyDescent="0.25">
      <c r="A13" s="21">
        <v>1956</v>
      </c>
      <c r="B13" s="22"/>
      <c r="C13" s="23"/>
      <c r="D13" s="23"/>
      <c r="E13" s="23"/>
    </row>
    <row r="14" spans="1:5" s="1" customFormat="1" x14ac:dyDescent="0.25">
      <c r="A14" s="21">
        <v>1957</v>
      </c>
      <c r="B14" s="22"/>
      <c r="C14" s="23"/>
      <c r="D14" s="23"/>
      <c r="E14" s="23"/>
    </row>
    <row r="15" spans="1:5" s="1" customFormat="1" x14ac:dyDescent="0.25">
      <c r="A15" s="21">
        <v>1958</v>
      </c>
      <c r="B15" s="22"/>
      <c r="C15" s="23"/>
      <c r="D15" s="23"/>
      <c r="E15" s="23"/>
    </row>
    <row r="16" spans="1:5" s="1" customFormat="1" x14ac:dyDescent="0.25">
      <c r="A16" s="21">
        <v>1959</v>
      </c>
      <c r="B16" s="22"/>
      <c r="C16" s="23"/>
      <c r="D16" s="23"/>
      <c r="E16" s="23"/>
    </row>
    <row r="17" spans="1:5" s="1" customFormat="1" x14ac:dyDescent="0.25">
      <c r="A17" s="21">
        <v>1960</v>
      </c>
      <c r="B17" s="22"/>
      <c r="C17" s="23"/>
      <c r="D17" s="23"/>
      <c r="E17" s="23"/>
    </row>
    <row r="18" spans="1:5" s="1" customFormat="1" x14ac:dyDescent="0.25">
      <c r="A18" s="21">
        <v>1961</v>
      </c>
      <c r="B18" s="22"/>
      <c r="C18" s="23"/>
      <c r="D18" s="23"/>
      <c r="E18" s="23"/>
    </row>
    <row r="19" spans="1:5" s="1" customFormat="1" x14ac:dyDescent="0.25">
      <c r="A19" s="21">
        <v>1962</v>
      </c>
      <c r="B19" s="22"/>
      <c r="C19" s="23"/>
      <c r="D19" s="23"/>
      <c r="E19" s="23"/>
    </row>
    <row r="20" spans="1:5" s="1" customFormat="1" x14ac:dyDescent="0.25">
      <c r="A20" s="21">
        <v>1963</v>
      </c>
      <c r="B20" s="22"/>
      <c r="C20" s="23"/>
      <c r="D20" s="23"/>
      <c r="E20" s="23"/>
    </row>
    <row r="21" spans="1:5" s="1" customFormat="1" x14ac:dyDescent="0.25">
      <c r="A21" s="21">
        <v>1964</v>
      </c>
      <c r="B21" s="22"/>
      <c r="C21" s="23"/>
      <c r="D21" s="23"/>
      <c r="E21" s="23"/>
    </row>
    <row r="22" spans="1:5" s="1" customFormat="1" x14ac:dyDescent="0.25">
      <c r="A22" s="21">
        <v>1965</v>
      </c>
      <c r="B22" s="22"/>
      <c r="C22" s="23"/>
      <c r="D22" s="23"/>
      <c r="E22" s="23"/>
    </row>
    <row r="23" spans="1:5" s="1" customFormat="1" x14ac:dyDescent="0.25">
      <c r="A23" s="21">
        <v>1966</v>
      </c>
      <c r="B23" s="22"/>
    </row>
    <row r="24" spans="1:5" s="1" customFormat="1" x14ac:dyDescent="0.25">
      <c r="A24" s="21">
        <v>1967</v>
      </c>
      <c r="B24" s="22"/>
      <c r="C24" s="23"/>
      <c r="D24" s="23"/>
      <c r="E24" s="23"/>
    </row>
    <row r="25" spans="1:5" s="1" customFormat="1" x14ac:dyDescent="0.25">
      <c r="A25" s="21">
        <v>1968</v>
      </c>
      <c r="B25" s="22"/>
      <c r="C25" s="23"/>
      <c r="D25" s="23"/>
      <c r="E25" s="23"/>
    </row>
    <row r="26" spans="1:5" s="1" customFormat="1" x14ac:dyDescent="0.25">
      <c r="A26" s="21">
        <v>1969</v>
      </c>
      <c r="B26" s="22"/>
      <c r="C26" s="23"/>
      <c r="D26" s="23"/>
      <c r="E26" s="63"/>
    </row>
    <row r="27" spans="1:5" s="1" customFormat="1" x14ac:dyDescent="0.25">
      <c r="A27" s="21">
        <v>1970</v>
      </c>
      <c r="B27" s="22"/>
      <c r="C27" s="23"/>
      <c r="D27" s="23"/>
      <c r="E27" s="23"/>
    </row>
    <row r="28" spans="1:5" s="1" customFormat="1" x14ac:dyDescent="0.25">
      <c r="A28" s="21">
        <v>1971</v>
      </c>
      <c r="B28" s="22"/>
      <c r="C28" s="23"/>
      <c r="D28" s="23"/>
      <c r="E28" s="23"/>
    </row>
    <row r="29" spans="1:5" s="1" customFormat="1" x14ac:dyDescent="0.25">
      <c r="A29" s="21">
        <v>1972</v>
      </c>
      <c r="B29" s="22"/>
      <c r="C29" s="23"/>
      <c r="D29" s="23"/>
      <c r="E29" s="23"/>
    </row>
    <row r="30" spans="1:5" s="1" customFormat="1" x14ac:dyDescent="0.25">
      <c r="A30" s="21">
        <v>1973</v>
      </c>
      <c r="B30" s="22"/>
      <c r="C30" s="23"/>
      <c r="D30" s="23"/>
      <c r="E30" s="23"/>
    </row>
    <row r="31" spans="1:5" s="1" customFormat="1" x14ac:dyDescent="0.25">
      <c r="A31" s="21">
        <v>1974</v>
      </c>
      <c r="B31" s="22"/>
      <c r="C31" s="23"/>
      <c r="D31" s="23"/>
      <c r="E31" s="23"/>
    </row>
    <row r="32" spans="1:5" s="1" customFormat="1" x14ac:dyDescent="0.25">
      <c r="A32" s="21">
        <v>1975</v>
      </c>
      <c r="B32" s="22"/>
      <c r="C32" s="23"/>
      <c r="D32" s="23"/>
      <c r="E32" s="23"/>
    </row>
    <row r="33" spans="1:5" s="1" customFormat="1" x14ac:dyDescent="0.25">
      <c r="A33" s="21">
        <v>1976</v>
      </c>
      <c r="B33" s="22"/>
      <c r="C33" s="23"/>
      <c r="D33" s="23"/>
      <c r="E33" s="23"/>
    </row>
    <row r="34" spans="1:5" s="1" customFormat="1" x14ac:dyDescent="0.25">
      <c r="A34" s="21">
        <v>1977</v>
      </c>
      <c r="B34" s="22"/>
      <c r="C34" s="23"/>
      <c r="D34" s="23"/>
      <c r="E34" s="23"/>
    </row>
    <row r="35" spans="1:5" s="1" customFormat="1" x14ac:dyDescent="0.25">
      <c r="A35" s="21">
        <v>1978</v>
      </c>
      <c r="B35" s="22"/>
      <c r="C35" s="23"/>
      <c r="D35" s="23"/>
      <c r="E35" s="23"/>
    </row>
    <row r="36" spans="1:5" s="1" customFormat="1" x14ac:dyDescent="0.25">
      <c r="A36" s="21">
        <v>1979</v>
      </c>
      <c r="B36" s="22"/>
      <c r="C36" s="23"/>
      <c r="D36" s="23"/>
      <c r="E36" s="23"/>
    </row>
    <row r="37" spans="1:5" s="1" customFormat="1" x14ac:dyDescent="0.25">
      <c r="A37" s="21">
        <v>1980</v>
      </c>
      <c r="B37" s="22"/>
      <c r="C37" s="23"/>
      <c r="D37" s="23"/>
      <c r="E37" s="23"/>
    </row>
    <row r="38" spans="1:5" s="1" customFormat="1" x14ac:dyDescent="0.25">
      <c r="A38" s="21">
        <v>1981</v>
      </c>
      <c r="B38" s="22"/>
      <c r="C38" s="23"/>
      <c r="D38" s="23"/>
      <c r="E38" s="23"/>
    </row>
    <row r="39" spans="1:5" s="1" customFormat="1" x14ac:dyDescent="0.25">
      <c r="A39" s="21">
        <v>1982</v>
      </c>
      <c r="B39" s="22"/>
      <c r="C39" s="23"/>
      <c r="D39" s="23"/>
      <c r="E39" s="23"/>
    </row>
    <row r="40" spans="1:5" s="1" customFormat="1" x14ac:dyDescent="0.25">
      <c r="A40" s="21">
        <v>1983</v>
      </c>
      <c r="B40" s="22"/>
      <c r="C40" s="23"/>
      <c r="D40" s="23"/>
      <c r="E40" s="23"/>
    </row>
    <row r="41" spans="1:5" s="1" customFormat="1" x14ac:dyDescent="0.25">
      <c r="A41" s="21">
        <v>1984</v>
      </c>
      <c r="B41" s="22"/>
      <c r="C41" s="23"/>
      <c r="D41" s="23"/>
      <c r="E41" s="23"/>
    </row>
    <row r="42" spans="1:5" s="1" customFormat="1" x14ac:dyDescent="0.25">
      <c r="A42" s="21">
        <v>1985</v>
      </c>
      <c r="B42" s="22"/>
      <c r="C42" s="23"/>
      <c r="D42" s="23"/>
      <c r="E42" s="23"/>
    </row>
    <row r="43" spans="1:5" s="1" customFormat="1" x14ac:dyDescent="0.25">
      <c r="A43" s="21">
        <v>1986</v>
      </c>
      <c r="B43" s="22"/>
      <c r="C43" s="23"/>
      <c r="D43" s="23"/>
      <c r="E43" s="23"/>
    </row>
    <row r="44" spans="1:5" s="1" customFormat="1" x14ac:dyDescent="0.25">
      <c r="A44" s="21">
        <v>1987</v>
      </c>
      <c r="B44" s="22"/>
      <c r="C44" s="23"/>
      <c r="D44" s="23"/>
      <c r="E44" s="23"/>
    </row>
    <row r="45" spans="1:5" s="1" customFormat="1" x14ac:dyDescent="0.25">
      <c r="A45" s="21">
        <v>1988</v>
      </c>
      <c r="B45" s="22"/>
      <c r="C45" s="23"/>
      <c r="D45" s="23"/>
      <c r="E45" s="23"/>
    </row>
    <row r="46" spans="1:5" s="1" customFormat="1" x14ac:dyDescent="0.25">
      <c r="A46" s="21">
        <v>1989</v>
      </c>
      <c r="B46" s="22"/>
      <c r="C46" s="23"/>
      <c r="D46" s="23"/>
      <c r="E46" s="23"/>
    </row>
    <row r="47" spans="1:5" s="1" customFormat="1" x14ac:dyDescent="0.25">
      <c r="A47" s="21">
        <v>1990</v>
      </c>
      <c r="B47" s="22"/>
      <c r="C47" s="23"/>
      <c r="D47" s="23"/>
      <c r="E47" s="23"/>
    </row>
    <row r="48" spans="1:5" s="1" customFormat="1" x14ac:dyDescent="0.25">
      <c r="A48" s="21">
        <v>1991</v>
      </c>
      <c r="B48" s="22"/>
      <c r="C48" s="23"/>
      <c r="D48" s="23"/>
      <c r="E48" s="23"/>
    </row>
    <row r="49" spans="1:6" s="1" customFormat="1" x14ac:dyDescent="0.25">
      <c r="A49" s="21">
        <v>1992</v>
      </c>
      <c r="B49" s="22"/>
      <c r="C49" s="23"/>
      <c r="D49" s="23"/>
      <c r="E49" s="23"/>
    </row>
    <row r="50" spans="1:6" s="1" customFormat="1" x14ac:dyDescent="0.25">
      <c r="A50" s="21">
        <v>1993</v>
      </c>
      <c r="B50" s="22"/>
      <c r="C50" s="23"/>
      <c r="D50" s="23"/>
      <c r="E50" s="23"/>
    </row>
    <row r="51" spans="1:6" s="1" customFormat="1" x14ac:dyDescent="0.25">
      <c r="A51" s="21">
        <v>1994</v>
      </c>
      <c r="B51" s="22"/>
      <c r="C51" s="23"/>
      <c r="D51" s="23"/>
      <c r="E51" s="23"/>
    </row>
    <row r="52" spans="1:6" s="1" customFormat="1" x14ac:dyDescent="0.25">
      <c r="A52" s="21">
        <v>1995</v>
      </c>
      <c r="B52" s="24"/>
      <c r="C52" s="23"/>
      <c r="D52" s="23"/>
      <c r="E52" s="23"/>
    </row>
    <row r="53" spans="1:6" s="1" customFormat="1" x14ac:dyDescent="0.25">
      <c r="A53" s="21">
        <v>1996</v>
      </c>
      <c r="B53" s="22"/>
      <c r="C53" s="23">
        <v>322000</v>
      </c>
      <c r="D53" s="23">
        <f>171000</f>
        <v>171000</v>
      </c>
      <c r="E53" s="23">
        <v>151000</v>
      </c>
      <c r="F53" s="64"/>
    </row>
    <row r="54" spans="1:6" s="1" customFormat="1" x14ac:dyDescent="0.25">
      <c r="A54" s="21">
        <v>1997</v>
      </c>
      <c r="B54" s="22"/>
      <c r="C54" s="23"/>
      <c r="D54" s="23"/>
      <c r="E54" s="23"/>
    </row>
    <row r="55" spans="1:6" s="1" customFormat="1" x14ac:dyDescent="0.25">
      <c r="A55" s="21">
        <v>1998</v>
      </c>
      <c r="B55" s="22"/>
      <c r="C55" s="63"/>
      <c r="D55" s="23"/>
      <c r="E55" s="23"/>
    </row>
    <row r="56" spans="1:6" s="1" customFormat="1" x14ac:dyDescent="0.25">
      <c r="A56" s="21">
        <v>1999</v>
      </c>
      <c r="B56" s="22"/>
      <c r="D56" s="23"/>
      <c r="E56" s="23"/>
    </row>
    <row r="57" spans="1:6" s="1" customFormat="1" x14ac:dyDescent="0.25">
      <c r="A57" s="21">
        <v>2000</v>
      </c>
      <c r="B57" s="22"/>
      <c r="C57" s="23"/>
      <c r="D57" s="23"/>
      <c r="E57" s="23"/>
    </row>
    <row r="58" spans="1:6" s="1" customFormat="1" x14ac:dyDescent="0.25">
      <c r="A58" s="21">
        <v>2001</v>
      </c>
      <c r="B58" s="22"/>
      <c r="C58" s="23"/>
      <c r="D58" s="23"/>
      <c r="E58" s="63"/>
    </row>
    <row r="59" spans="1:6" s="1" customFormat="1" x14ac:dyDescent="0.25">
      <c r="A59" s="21">
        <v>2002</v>
      </c>
      <c r="B59" s="22"/>
      <c r="C59" s="23"/>
      <c r="D59" s="23"/>
      <c r="E59" s="23"/>
    </row>
    <row r="60" spans="1:6" s="1" customFormat="1" x14ac:dyDescent="0.25">
      <c r="A60" s="21">
        <v>2003</v>
      </c>
      <c r="B60" s="22"/>
      <c r="C60" s="23"/>
      <c r="D60" s="23"/>
      <c r="E60" s="23"/>
    </row>
    <row r="61" spans="1:6" s="1" customFormat="1" x14ac:dyDescent="0.25">
      <c r="A61" s="21">
        <v>2004</v>
      </c>
      <c r="B61" s="24"/>
      <c r="C61" s="23"/>
      <c r="D61" s="23"/>
      <c r="E61" s="23"/>
    </row>
    <row r="62" spans="1:6" s="1" customFormat="1" x14ac:dyDescent="0.25">
      <c r="A62" s="21">
        <v>2005</v>
      </c>
      <c r="B62" s="24"/>
      <c r="C62" s="23"/>
      <c r="D62" s="23"/>
      <c r="E62" s="23"/>
    </row>
    <row r="63" spans="1:6" s="1" customFormat="1" x14ac:dyDescent="0.25">
      <c r="A63" s="21">
        <v>2006</v>
      </c>
      <c r="B63" s="24">
        <f>B64-12000*(1.2*1.2)</f>
        <v>540616</v>
      </c>
      <c r="C63" s="23"/>
      <c r="D63" s="23"/>
      <c r="E63" s="23"/>
    </row>
    <row r="64" spans="1:6" s="1" customFormat="1" x14ac:dyDescent="0.25">
      <c r="A64" s="21">
        <v>2007</v>
      </c>
      <c r="B64" s="24">
        <f>B65-12200*(1.2*1.2)</f>
        <v>557896</v>
      </c>
      <c r="C64" s="23"/>
      <c r="D64" s="23"/>
      <c r="E64" s="23"/>
    </row>
    <row r="65" spans="1:72" s="1" customFormat="1" x14ac:dyDescent="0.25">
      <c r="A65" s="21">
        <v>2008</v>
      </c>
      <c r="B65" s="24">
        <f>B66-11600*(1.2*1.2)</f>
        <v>575464</v>
      </c>
      <c r="C65" s="23"/>
      <c r="D65" s="23"/>
      <c r="E65" s="23"/>
    </row>
    <row r="66" spans="1:72" s="1" customFormat="1" x14ac:dyDescent="0.25">
      <c r="A66" s="21">
        <v>2009</v>
      </c>
      <c r="B66" s="24">
        <f>B67-11400*(1.2*1.2)</f>
        <v>592168</v>
      </c>
      <c r="C66" s="23"/>
      <c r="D66" s="23"/>
      <c r="E66" s="23"/>
    </row>
    <row r="67" spans="1:72" s="1" customFormat="1" x14ac:dyDescent="0.25">
      <c r="A67" s="21">
        <v>2010</v>
      </c>
      <c r="B67" s="24">
        <f>B68-11400*(1.2*1.2)</f>
        <v>608584</v>
      </c>
      <c r="C67" s="23"/>
      <c r="D67" s="23"/>
      <c r="E67" s="23"/>
    </row>
    <row r="68" spans="1:72" s="1" customFormat="1" x14ac:dyDescent="0.25">
      <c r="A68" s="21">
        <v>2011</v>
      </c>
      <c r="B68" s="23">
        <v>625000</v>
      </c>
      <c r="C68" s="23"/>
      <c r="D68" s="23"/>
      <c r="E68" s="23"/>
    </row>
    <row r="69" spans="1:72" s="1" customFormat="1" x14ac:dyDescent="0.25">
      <c r="A69" s="21">
        <v>2012</v>
      </c>
      <c r="B69" s="24">
        <f>B68+11200*(1.2*1.2)</f>
        <v>641128</v>
      </c>
      <c r="C69" s="23"/>
      <c r="D69" s="23"/>
      <c r="E69" s="23"/>
    </row>
    <row r="70" spans="1:72" s="1" customFormat="1" x14ac:dyDescent="0.25">
      <c r="A70" s="21">
        <v>2013</v>
      </c>
      <c r="B70" s="24"/>
      <c r="C70" s="23"/>
      <c r="D70" s="23"/>
      <c r="E70" s="23"/>
    </row>
    <row r="71" spans="1:72" s="1" customFormat="1" x14ac:dyDescent="0.25">
      <c r="A71" s="21">
        <v>2014</v>
      </c>
      <c r="B71" s="22"/>
      <c r="C71" s="23"/>
      <c r="D71" s="23"/>
      <c r="E71" s="23"/>
    </row>
    <row r="72" spans="1:72" s="1" customFormat="1" x14ac:dyDescent="0.25">
      <c r="A72" s="21">
        <v>2015</v>
      </c>
      <c r="B72" s="22"/>
      <c r="C72" s="23"/>
      <c r="D72" s="23"/>
      <c r="E72" s="23"/>
    </row>
    <row r="73" spans="1:72" s="1" customFormat="1" x14ac:dyDescent="0.25">
      <c r="A73" s="21">
        <v>2016</v>
      </c>
      <c r="B73" s="22"/>
      <c r="C73" s="23"/>
      <c r="D73" s="23"/>
      <c r="E73" s="23"/>
    </row>
    <row r="74" spans="1:72" s="1" customFormat="1" x14ac:dyDescent="0.25">
      <c r="A74" s="21">
        <v>2017</v>
      </c>
      <c r="B74" s="22"/>
      <c r="C74" s="23"/>
      <c r="D74" s="23"/>
      <c r="E74" s="23"/>
    </row>
    <row r="75" spans="1:72" s="1" customFormat="1" x14ac:dyDescent="0.25">
      <c r="A75" s="21">
        <v>2018</v>
      </c>
      <c r="B75" s="22"/>
      <c r="C75" s="23"/>
      <c r="D75" s="23"/>
      <c r="E75" s="23"/>
    </row>
    <row r="76" spans="1:72" s="1" customFormat="1" x14ac:dyDescent="0.25">
      <c r="A76" s="21">
        <v>2019</v>
      </c>
      <c r="B76" s="22"/>
      <c r="C76" s="23"/>
      <c r="D76" s="23"/>
      <c r="E76" s="23"/>
    </row>
    <row r="77" spans="1:72" s="1" customFormat="1" x14ac:dyDescent="0.25">
      <c r="A77" s="21">
        <v>2020</v>
      </c>
      <c r="B77" s="22"/>
      <c r="C77" s="23"/>
      <c r="D77" s="23"/>
      <c r="E77" s="23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32</v>
      </c>
      <c r="C1" s="5" t="s">
        <v>50</v>
      </c>
      <c r="D1" s="5" t="s">
        <v>53</v>
      </c>
      <c r="E1" s="5" t="s">
        <v>51</v>
      </c>
      <c r="F1" s="5" t="s">
        <v>48</v>
      </c>
      <c r="G1" s="5" t="s">
        <v>52</v>
      </c>
      <c r="H1" s="5" t="s">
        <v>49</v>
      </c>
      <c r="I1" s="5" t="s">
        <v>33</v>
      </c>
      <c r="J1" s="51" t="s">
        <v>34</v>
      </c>
      <c r="K1" s="51" t="s">
        <v>35</v>
      </c>
      <c r="L1" s="51" t="s">
        <v>36</v>
      </c>
      <c r="M1" s="51" t="s">
        <v>37</v>
      </c>
      <c r="N1" s="51" t="s">
        <v>38</v>
      </c>
      <c r="O1" s="51" t="s">
        <v>39</v>
      </c>
      <c r="P1" s="51" t="s">
        <v>40</v>
      </c>
      <c r="Q1" s="51" t="s">
        <v>41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N88"/>
  <sheetViews>
    <sheetView zoomScale="85" zoomScaleNormal="85" workbookViewId="0">
      <selection activeCell="Y23" sqref="Y23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3" width="17" customWidth="1"/>
    <col min="4" max="16384" width="10.7109375" style="6"/>
  </cols>
  <sheetData>
    <row r="1" spans="1:3" s="17" customFormat="1" ht="30" x14ac:dyDescent="0.25">
      <c r="A1" s="20" t="s">
        <v>0</v>
      </c>
      <c r="B1" s="54" t="s">
        <v>1</v>
      </c>
      <c r="C1" s="5" t="s">
        <v>58</v>
      </c>
    </row>
    <row r="2" spans="1:3" s="1" customFormat="1" x14ac:dyDescent="0.25">
      <c r="A2" s="14">
        <v>1945</v>
      </c>
      <c r="B2" s="8"/>
      <c r="C2"/>
    </row>
    <row r="3" spans="1:3" s="1" customFormat="1" x14ac:dyDescent="0.25">
      <c r="A3" s="14">
        <v>1946</v>
      </c>
      <c r="B3" s="8"/>
      <c r="C3"/>
    </row>
    <row r="4" spans="1:3" s="1" customFormat="1" x14ac:dyDescent="0.25">
      <c r="A4" s="14">
        <v>1947</v>
      </c>
      <c r="B4" s="8"/>
      <c r="C4"/>
    </row>
    <row r="5" spans="1:3" s="1" customFormat="1" x14ac:dyDescent="0.25">
      <c r="A5" s="14">
        <v>1948</v>
      </c>
      <c r="B5" s="8"/>
      <c r="C5"/>
    </row>
    <row r="6" spans="1:3" s="1" customFormat="1" x14ac:dyDescent="0.25">
      <c r="A6" s="14">
        <v>1949</v>
      </c>
      <c r="B6" s="8"/>
      <c r="C6"/>
    </row>
    <row r="7" spans="1:3" s="1" customFormat="1" x14ac:dyDescent="0.25">
      <c r="A7" s="14">
        <v>1950</v>
      </c>
      <c r="B7" s="8"/>
      <c r="C7"/>
    </row>
    <row r="8" spans="1:3" s="1" customFormat="1" x14ac:dyDescent="0.25">
      <c r="A8" s="14">
        <v>1951</v>
      </c>
      <c r="B8" s="8"/>
      <c r="C8"/>
    </row>
    <row r="9" spans="1:3" s="1" customFormat="1" x14ac:dyDescent="0.25">
      <c r="A9" s="14">
        <v>1952</v>
      </c>
      <c r="B9" s="8"/>
      <c r="C9"/>
    </row>
    <row r="10" spans="1:3" s="1" customFormat="1" x14ac:dyDescent="0.25">
      <c r="A10" s="14">
        <v>1953</v>
      </c>
      <c r="B10" s="8"/>
      <c r="C10"/>
    </row>
    <row r="11" spans="1:3" s="1" customFormat="1" x14ac:dyDescent="0.25">
      <c r="A11" s="14">
        <v>1954</v>
      </c>
      <c r="B11" s="8"/>
      <c r="C11"/>
    </row>
    <row r="12" spans="1:3" s="1" customFormat="1" x14ac:dyDescent="0.25">
      <c r="A12" s="14">
        <v>1955</v>
      </c>
      <c r="B12" s="8"/>
      <c r="C12"/>
    </row>
    <row r="13" spans="1:3" s="1" customFormat="1" x14ac:dyDescent="0.25">
      <c r="A13" s="14">
        <v>1956</v>
      </c>
      <c r="B13" s="8"/>
      <c r="C13"/>
    </row>
    <row r="14" spans="1:3" s="1" customFormat="1" x14ac:dyDescent="0.25">
      <c r="A14" s="14">
        <v>1957</v>
      </c>
      <c r="B14" s="8"/>
      <c r="C14"/>
    </row>
    <row r="15" spans="1:3" s="1" customFormat="1" x14ac:dyDescent="0.25">
      <c r="A15" s="14">
        <v>1958</v>
      </c>
      <c r="B15" s="8"/>
      <c r="C15" s="69"/>
    </row>
    <row r="16" spans="1:3" s="1" customFormat="1" x14ac:dyDescent="0.25">
      <c r="A16" s="14">
        <v>1959</v>
      </c>
      <c r="B16" s="8"/>
      <c r="C16"/>
    </row>
    <row r="17" spans="1:4" s="1" customFormat="1" x14ac:dyDescent="0.25">
      <c r="A17" s="14">
        <v>1960</v>
      </c>
      <c r="B17" s="8"/>
      <c r="C17" s="70">
        <v>45684</v>
      </c>
      <c r="D17" s="60"/>
    </row>
    <row r="18" spans="1:4" s="1" customFormat="1" x14ac:dyDescent="0.25">
      <c r="A18" s="14">
        <v>1961</v>
      </c>
      <c r="B18" s="8"/>
      <c r="C18" s="70">
        <v>46163</v>
      </c>
      <c r="D18" s="60"/>
    </row>
    <row r="19" spans="1:4" s="1" customFormat="1" x14ac:dyDescent="0.25">
      <c r="A19" s="14">
        <v>1962</v>
      </c>
      <c r="B19" s="8"/>
      <c r="C19" s="70">
        <v>46998</v>
      </c>
      <c r="D19" s="60"/>
    </row>
    <row r="20" spans="1:4" s="1" customFormat="1" x14ac:dyDescent="0.25">
      <c r="A20" s="14">
        <v>1963</v>
      </c>
      <c r="B20" s="8"/>
      <c r="C20" s="70">
        <v>47816</v>
      </c>
      <c r="D20" s="60"/>
    </row>
    <row r="21" spans="1:4" s="1" customFormat="1" x14ac:dyDescent="0.25">
      <c r="A21" s="14">
        <v>1964</v>
      </c>
      <c r="B21" s="8"/>
      <c r="C21" s="70">
        <v>48310</v>
      </c>
      <c r="D21" s="60"/>
    </row>
    <row r="22" spans="1:4" s="1" customFormat="1" x14ac:dyDescent="0.25">
      <c r="A22" s="14">
        <v>1965</v>
      </c>
      <c r="B22" s="8"/>
      <c r="C22" s="70">
        <v>48758</v>
      </c>
      <c r="D22" s="60"/>
    </row>
    <row r="23" spans="1:4" s="1" customFormat="1" x14ac:dyDescent="0.25">
      <c r="A23" s="14">
        <v>1966</v>
      </c>
      <c r="B23" s="8"/>
      <c r="C23" s="70">
        <v>49164</v>
      </c>
      <c r="D23" s="60"/>
    </row>
    <row r="24" spans="1:4" s="1" customFormat="1" x14ac:dyDescent="0.25">
      <c r="A24" s="14">
        <v>1967</v>
      </c>
      <c r="B24" s="8"/>
      <c r="C24" s="70">
        <v>49548</v>
      </c>
      <c r="D24" s="60"/>
    </row>
    <row r="25" spans="1:4" s="1" customFormat="1" x14ac:dyDescent="0.25">
      <c r="A25" s="14">
        <v>1968</v>
      </c>
      <c r="B25" s="8"/>
      <c r="C25" s="70">
        <v>49915</v>
      </c>
      <c r="D25" s="60"/>
    </row>
    <row r="26" spans="1:4" s="1" customFormat="1" x14ac:dyDescent="0.25">
      <c r="A26" s="14">
        <v>1969</v>
      </c>
      <c r="B26" s="8"/>
      <c r="C26" s="70">
        <v>50318</v>
      </c>
      <c r="D26" s="60"/>
    </row>
    <row r="27" spans="1:4" s="1" customFormat="1" x14ac:dyDescent="0.25">
      <c r="A27" s="14">
        <v>1970</v>
      </c>
      <c r="B27" s="8"/>
      <c r="C27" s="70">
        <v>50772</v>
      </c>
      <c r="D27" s="60"/>
    </row>
    <row r="28" spans="1:4" s="1" customFormat="1" x14ac:dyDescent="0.25">
      <c r="A28" s="14">
        <v>1971</v>
      </c>
      <c r="B28" s="8"/>
      <c r="C28" s="70">
        <v>51251</v>
      </c>
      <c r="D28" s="60"/>
    </row>
    <row r="29" spans="1:4" s="1" customFormat="1" x14ac:dyDescent="0.25">
      <c r="A29" s="14">
        <v>1972</v>
      </c>
      <c r="B29" s="8"/>
      <c r="C29" s="70">
        <v>51701</v>
      </c>
      <c r="D29" s="60"/>
    </row>
    <row r="30" spans="1:4" s="1" customFormat="1" x14ac:dyDescent="0.25">
      <c r="A30" s="14">
        <v>1973</v>
      </c>
      <c r="B30" s="8"/>
      <c r="C30" s="70">
        <v>52118</v>
      </c>
      <c r="D30" s="60"/>
    </row>
    <row r="31" spans="1:4" s="1" customFormat="1" x14ac:dyDescent="0.25">
      <c r="A31" s="14">
        <v>1974</v>
      </c>
      <c r="B31" s="8"/>
      <c r="C31" s="70">
        <v>52460</v>
      </c>
      <c r="D31" s="60"/>
    </row>
    <row r="32" spans="1:4" s="1" customFormat="1" x14ac:dyDescent="0.25">
      <c r="A32" s="14">
        <v>1975</v>
      </c>
      <c r="C32" s="70">
        <v>52699</v>
      </c>
      <c r="D32" s="60"/>
    </row>
    <row r="33" spans="1:4" s="1" customFormat="1" x14ac:dyDescent="0.25">
      <c r="A33" s="14">
        <v>1976</v>
      </c>
      <c r="C33" s="70">
        <v>52909</v>
      </c>
      <c r="D33" s="60"/>
    </row>
    <row r="34" spans="1:4" s="1" customFormat="1" x14ac:dyDescent="0.25">
      <c r="A34" s="14">
        <v>1977</v>
      </c>
      <c r="C34" s="70">
        <v>53145</v>
      </c>
      <c r="D34" s="60"/>
    </row>
    <row r="35" spans="1:4" s="1" customFormat="1" x14ac:dyDescent="0.25">
      <c r="A35" s="14">
        <v>1978</v>
      </c>
      <c r="C35" s="70">
        <v>53376</v>
      </c>
      <c r="D35" s="60"/>
    </row>
    <row r="36" spans="1:4" s="1" customFormat="1" x14ac:dyDescent="0.25">
      <c r="A36" s="14">
        <v>1979</v>
      </c>
      <c r="B36" s="8"/>
      <c r="C36" s="70">
        <v>53606</v>
      </c>
      <c r="D36" s="60"/>
    </row>
    <row r="37" spans="1:4" s="1" customFormat="1" x14ac:dyDescent="0.25">
      <c r="A37" s="14">
        <v>1980</v>
      </c>
      <c r="B37" s="8"/>
      <c r="C37" s="70">
        <v>53880</v>
      </c>
      <c r="D37" s="60"/>
    </row>
    <row r="38" spans="1:4" s="1" customFormat="1" x14ac:dyDescent="0.25">
      <c r="A38" s="14">
        <v>1981</v>
      </c>
      <c r="B38" s="8"/>
      <c r="C38" s="70">
        <v>54182</v>
      </c>
      <c r="D38" s="60"/>
    </row>
    <row r="39" spans="1:4" s="1" customFormat="1" x14ac:dyDescent="0.25">
      <c r="A39" s="14">
        <v>1982</v>
      </c>
      <c r="B39" s="8"/>
      <c r="C39" s="70">
        <v>54492</v>
      </c>
      <c r="D39" s="60"/>
    </row>
    <row r="40" spans="1:4" s="1" customFormat="1" x14ac:dyDescent="0.25">
      <c r="A40" s="14">
        <v>1983</v>
      </c>
      <c r="B40" s="8"/>
      <c r="C40" s="70">
        <v>54772</v>
      </c>
      <c r="D40" s="60"/>
    </row>
    <row r="41" spans="1:4" s="1" customFormat="1" x14ac:dyDescent="0.25">
      <c r="A41" s="14">
        <v>1984</v>
      </c>
      <c r="B41" s="8"/>
      <c r="C41" s="70">
        <v>55026</v>
      </c>
      <c r="D41" s="60"/>
    </row>
    <row r="42" spans="1:4" s="1" customFormat="1" x14ac:dyDescent="0.25">
      <c r="A42" s="14">
        <v>1985</v>
      </c>
      <c r="B42" s="8"/>
      <c r="C42" s="70">
        <v>55284</v>
      </c>
      <c r="D42" s="60"/>
    </row>
    <row r="43" spans="1:4" s="1" customFormat="1" x14ac:dyDescent="0.25">
      <c r="A43" s="14">
        <v>1986</v>
      </c>
      <c r="B43" s="8"/>
      <c r="C43" s="70">
        <v>55547</v>
      </c>
      <c r="D43" s="60"/>
    </row>
    <row r="44" spans="1:4" s="1" customFormat="1" x14ac:dyDescent="0.25">
      <c r="A44" s="14">
        <v>1987</v>
      </c>
      <c r="B44" s="8"/>
      <c r="C44" s="70">
        <v>55824</v>
      </c>
      <c r="D44" s="60"/>
    </row>
    <row r="45" spans="1:4" s="1" customFormat="1" x14ac:dyDescent="0.25">
      <c r="A45" s="14">
        <v>1988</v>
      </c>
      <c r="B45" s="8"/>
      <c r="C45" s="70">
        <v>56118</v>
      </c>
      <c r="D45" s="60"/>
    </row>
    <row r="46" spans="1:4" s="1" customFormat="1" x14ac:dyDescent="0.25">
      <c r="A46" s="14">
        <v>1989</v>
      </c>
      <c r="B46" s="8"/>
      <c r="C46" s="70">
        <v>56423</v>
      </c>
      <c r="D46" s="60"/>
    </row>
    <row r="47" spans="1:4" s="1" customFormat="1" x14ac:dyDescent="0.25">
      <c r="A47" s="14">
        <v>1990</v>
      </c>
      <c r="B47" s="8"/>
      <c r="C47" s="70">
        <v>56709</v>
      </c>
      <c r="D47" s="60"/>
    </row>
    <row r="48" spans="1:4" s="1" customFormat="1" x14ac:dyDescent="0.25">
      <c r="A48" s="14">
        <v>1991</v>
      </c>
      <c r="B48" s="8"/>
      <c r="C48" s="70">
        <v>58426</v>
      </c>
      <c r="D48" s="60"/>
    </row>
    <row r="49" spans="1:4" s="1" customFormat="1" x14ac:dyDescent="0.25">
      <c r="A49" s="14">
        <v>1992</v>
      </c>
      <c r="B49" s="8"/>
      <c r="C49" s="70">
        <v>58712</v>
      </c>
      <c r="D49" s="60"/>
    </row>
    <row r="50" spans="1:4" s="1" customFormat="1" x14ac:dyDescent="0.25">
      <c r="A50" s="14">
        <v>1993</v>
      </c>
      <c r="B50" s="8"/>
      <c r="C50" s="70">
        <v>58961</v>
      </c>
      <c r="D50" s="60"/>
    </row>
    <row r="51" spans="1:4" s="1" customFormat="1" x14ac:dyDescent="0.25">
      <c r="A51" s="14">
        <v>1994</v>
      </c>
      <c r="B51" s="8"/>
      <c r="C51" s="70">
        <v>59175</v>
      </c>
      <c r="D51" s="60"/>
    </row>
    <row r="52" spans="1:4" s="1" customFormat="1" x14ac:dyDescent="0.25">
      <c r="A52" s="14">
        <v>1995</v>
      </c>
      <c r="B52" s="8"/>
      <c r="C52" s="70">
        <v>59384</v>
      </c>
      <c r="D52" s="60"/>
    </row>
    <row r="53" spans="1:4" s="1" customFormat="1" x14ac:dyDescent="0.25">
      <c r="A53" s="14">
        <v>1996</v>
      </c>
      <c r="B53" s="8"/>
      <c r="C53" s="70">
        <v>59589</v>
      </c>
      <c r="D53" s="60"/>
    </row>
    <row r="54" spans="1:4" s="1" customFormat="1" x14ac:dyDescent="0.25">
      <c r="A54" s="14">
        <v>1997</v>
      </c>
      <c r="B54" s="8"/>
      <c r="C54" s="70">
        <v>59795</v>
      </c>
      <c r="D54" s="60"/>
    </row>
    <row r="55" spans="1:4" s="1" customFormat="1" x14ac:dyDescent="0.25">
      <c r="A55" s="14">
        <v>1998</v>
      </c>
      <c r="B55" s="7">
        <v>19400</v>
      </c>
      <c r="C55" s="70">
        <v>60011</v>
      </c>
      <c r="D55" s="60"/>
    </row>
    <row r="56" spans="1:4" s="1" customFormat="1" x14ac:dyDescent="0.25">
      <c r="A56" s="14">
        <v>1999</v>
      </c>
      <c r="B56" s="8"/>
      <c r="C56" s="70">
        <v>60315</v>
      </c>
      <c r="D56" s="60"/>
    </row>
    <row r="57" spans="1:4" s="1" customFormat="1" x14ac:dyDescent="0.25">
      <c r="A57" s="14">
        <v>2000</v>
      </c>
      <c r="B57" s="7">
        <v>22000</v>
      </c>
      <c r="C57" s="70">
        <v>60725</v>
      </c>
      <c r="D57" s="60"/>
    </row>
    <row r="58" spans="1:4" s="1" customFormat="1" x14ac:dyDescent="0.25">
      <c r="A58" s="14">
        <v>2001</v>
      </c>
      <c r="B58" s="8"/>
      <c r="C58" s="70">
        <v>61163</v>
      </c>
      <c r="D58" s="60"/>
    </row>
    <row r="59" spans="1:4" s="1" customFormat="1" x14ac:dyDescent="0.25">
      <c r="A59" s="14">
        <v>2002</v>
      </c>
      <c r="B59" s="8"/>
      <c r="C59" s="70">
        <v>61605</v>
      </c>
      <c r="D59" s="60"/>
    </row>
    <row r="60" spans="1:4" s="1" customFormat="1" x14ac:dyDescent="0.25">
      <c r="A60" s="14">
        <v>2003</v>
      </c>
      <c r="B60" s="8"/>
      <c r="C60" s="70">
        <v>62038</v>
      </c>
      <c r="D60" s="60"/>
    </row>
    <row r="61" spans="1:4" s="1" customFormat="1" x14ac:dyDescent="0.25">
      <c r="A61" s="14">
        <v>2004</v>
      </c>
      <c r="B61" s="8"/>
      <c r="C61" s="70">
        <v>62491</v>
      </c>
      <c r="D61" s="60"/>
    </row>
    <row r="62" spans="1:4" s="1" customFormat="1" x14ac:dyDescent="0.25">
      <c r="A62" s="14">
        <v>2005</v>
      </c>
      <c r="B62" s="8"/>
      <c r="C62" s="70">
        <v>62958</v>
      </c>
      <c r="D62" s="60"/>
    </row>
    <row r="63" spans="1:4" s="1" customFormat="1" x14ac:dyDescent="0.25">
      <c r="A63" s="14">
        <v>2006</v>
      </c>
      <c r="B63" s="8"/>
      <c r="C63" s="70">
        <v>63393</v>
      </c>
      <c r="D63" s="60"/>
    </row>
    <row r="64" spans="1:4" s="1" customFormat="1" x14ac:dyDescent="0.25">
      <c r="A64" s="14">
        <v>2007</v>
      </c>
      <c r="B64" s="8">
        <f>12000*(1.2*1.2)</f>
        <v>17280</v>
      </c>
      <c r="C64" s="70">
        <v>63781</v>
      </c>
      <c r="D64" s="60"/>
    </row>
    <row r="65" spans="1:66" s="1" customFormat="1" x14ac:dyDescent="0.25">
      <c r="A65" s="14">
        <v>2008</v>
      </c>
      <c r="B65" s="8">
        <f>12200*(1.2*1.2)</f>
        <v>17568</v>
      </c>
      <c r="C65" s="70">
        <v>64133</v>
      </c>
      <c r="D65" s="60"/>
    </row>
    <row r="66" spans="1:66" s="1" customFormat="1" x14ac:dyDescent="0.25">
      <c r="A66" s="14">
        <v>2009</v>
      </c>
      <c r="B66" s="8">
        <f>11600*(1.2*1.2)</f>
        <v>16704</v>
      </c>
      <c r="C66" s="70">
        <v>64459</v>
      </c>
      <c r="D66" s="60"/>
    </row>
    <row r="67" spans="1:66" s="1" customFormat="1" x14ac:dyDescent="0.25">
      <c r="A67" s="14">
        <v>2010</v>
      </c>
      <c r="B67" s="8">
        <f>11400*(1.2*1.2)</f>
        <v>16416</v>
      </c>
      <c r="C67" s="70">
        <v>64773</v>
      </c>
      <c r="D67" s="60"/>
    </row>
    <row r="68" spans="1:66" s="1" customFormat="1" x14ac:dyDescent="0.25">
      <c r="A68" s="14">
        <v>2011</v>
      </c>
      <c r="B68" s="8">
        <f>11400*(1.2*1.2)</f>
        <v>16416</v>
      </c>
      <c r="C68" s="70">
        <v>65087</v>
      </c>
      <c r="D68" s="60"/>
    </row>
    <row r="69" spans="1:66" s="1" customFormat="1" x14ac:dyDescent="0.25">
      <c r="A69" s="14">
        <v>2012</v>
      </c>
      <c r="B69" s="8">
        <f>11200*(1.2*1.2)</f>
        <v>16128</v>
      </c>
      <c r="C69" s="70">
        <v>65403</v>
      </c>
      <c r="D69" s="60"/>
    </row>
    <row r="70" spans="1:66" s="1" customFormat="1" x14ac:dyDescent="0.25">
      <c r="A70" s="14">
        <v>2013</v>
      </c>
      <c r="B70" s="8"/>
      <c r="C70" s="70">
        <v>65736</v>
      </c>
      <c r="D70" s="60"/>
    </row>
    <row r="71" spans="1:66" s="1" customFormat="1" x14ac:dyDescent="0.25">
      <c r="A71" s="14">
        <v>2014</v>
      </c>
      <c r="B71" s="8"/>
      <c r="C71" s="70">
        <v>66277</v>
      </c>
    </row>
    <row r="72" spans="1:66" s="1" customFormat="1" x14ac:dyDescent="0.25">
      <c r="A72" s="14">
        <v>2015</v>
      </c>
      <c r="B72" s="8"/>
      <c r="C72" s="70">
        <v>66513</v>
      </c>
    </row>
    <row r="73" spans="1:66" s="1" customFormat="1" x14ac:dyDescent="0.25">
      <c r="A73" s="14">
        <v>2016</v>
      </c>
      <c r="B73" s="8"/>
      <c r="C73" s="70">
        <v>66686</v>
      </c>
    </row>
    <row r="74" spans="1:66" s="1" customFormat="1" x14ac:dyDescent="0.25">
      <c r="A74" s="14">
        <v>2017</v>
      </c>
      <c r="B74" s="8"/>
      <c r="C74" s="70">
        <v>66830</v>
      </c>
    </row>
    <row r="75" spans="1:66" s="1" customFormat="1" x14ac:dyDescent="0.25">
      <c r="A75" s="14">
        <v>2018</v>
      </c>
      <c r="B75" s="8"/>
      <c r="C75" s="70">
        <v>66942</v>
      </c>
    </row>
    <row r="76" spans="1:66" s="1" customFormat="1" x14ac:dyDescent="0.25">
      <c r="A76" s="14">
        <v>2019</v>
      </c>
      <c r="B76" s="8"/>
      <c r="C76"/>
    </row>
    <row r="77" spans="1:66" s="1" customFormat="1" x14ac:dyDescent="0.25">
      <c r="A77" s="14">
        <v>2020</v>
      </c>
      <c r="B77" s="8"/>
      <c r="C77"/>
    </row>
    <row r="78" spans="1:66" s="4" customFormat="1" x14ac:dyDescent="0.25">
      <c r="A78" s="2"/>
      <c r="B78" s="6"/>
      <c r="C78"/>
      <c r="D78" s="6"/>
      <c r="E78" s="6"/>
      <c r="F78" s="1"/>
      <c r="G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</row>
    <row r="79" spans="1:66" s="4" customFormat="1" x14ac:dyDescent="0.25">
      <c r="A79" s="2"/>
      <c r="B79" s="6"/>
      <c r="C7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</row>
    <row r="80" spans="1:66" s="4" customFormat="1" x14ac:dyDescent="0.25">
      <c r="A80" s="2"/>
      <c r="B80" s="6"/>
      <c r="C8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</row>
    <row r="87" spans="1:66" s="4" customFormat="1" x14ac:dyDescent="0.25">
      <c r="A87" s="2"/>
      <c r="B87" s="6"/>
      <c r="C8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1:66" s="4" customFormat="1" x14ac:dyDescent="0.25">
      <c r="A88" s="2"/>
      <c r="B88" s="6"/>
      <c r="C8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S106"/>
  <sheetViews>
    <sheetView zoomScale="60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5" width="26.42578125" style="4" customWidth="1"/>
    <col min="16" max="16384" width="10.7109375" style="6"/>
  </cols>
  <sheetData>
    <row r="1" spans="1:15" s="18" customFormat="1" ht="30" x14ac:dyDescent="0.25">
      <c r="A1" s="20" t="s">
        <v>0</v>
      </c>
      <c r="B1" s="56" t="s">
        <v>5</v>
      </c>
      <c r="C1" s="56" t="s">
        <v>43</v>
      </c>
      <c r="D1" s="5" t="s">
        <v>6</v>
      </c>
      <c r="E1" s="5" t="s">
        <v>46</v>
      </c>
      <c r="F1" s="5" t="s">
        <v>45</v>
      </c>
      <c r="G1" s="5" t="s">
        <v>11</v>
      </c>
      <c r="H1" s="5" t="s">
        <v>47</v>
      </c>
      <c r="I1" s="5" t="s">
        <v>7</v>
      </c>
      <c r="J1" s="5" t="s">
        <v>8</v>
      </c>
      <c r="K1" s="5" t="s">
        <v>19</v>
      </c>
      <c r="L1" s="5" t="s">
        <v>18</v>
      </c>
      <c r="M1" s="5" t="s">
        <v>1</v>
      </c>
      <c r="N1" s="5" t="s">
        <v>17</v>
      </c>
      <c r="O1" s="5" t="s">
        <v>31</v>
      </c>
    </row>
    <row r="2" spans="1:15" x14ac:dyDescent="0.25">
      <c r="A2" s="14">
        <v>1945</v>
      </c>
      <c r="B2" s="8">
        <v>108.3</v>
      </c>
      <c r="C2" s="8"/>
      <c r="D2" s="9"/>
      <c r="E2" s="9"/>
      <c r="F2" s="9"/>
      <c r="G2" s="9"/>
      <c r="H2" s="9"/>
      <c r="I2" s="9"/>
      <c r="J2" s="9">
        <v>13600</v>
      </c>
      <c r="K2" s="9"/>
      <c r="L2" s="9"/>
      <c r="M2" s="9"/>
      <c r="N2" s="9"/>
      <c r="O2" s="9"/>
    </row>
    <row r="3" spans="1:15" x14ac:dyDescent="0.25">
      <c r="A3" s="14">
        <v>1946</v>
      </c>
      <c r="B3" s="8">
        <v>173.8</v>
      </c>
      <c r="C3" s="8"/>
      <c r="D3" s="9"/>
      <c r="E3" s="9"/>
      <c r="F3" s="9"/>
      <c r="G3" s="9"/>
      <c r="H3" s="9"/>
      <c r="I3" s="9">
        <v>1154</v>
      </c>
      <c r="J3" s="9">
        <v>13600</v>
      </c>
      <c r="K3" s="9"/>
      <c r="L3" s="9"/>
      <c r="M3" s="9"/>
      <c r="N3" s="9"/>
      <c r="O3" s="9"/>
    </row>
    <row r="4" spans="1:15" x14ac:dyDescent="0.25">
      <c r="A4" s="14">
        <v>1947</v>
      </c>
      <c r="B4" s="8">
        <v>198.3</v>
      </c>
      <c r="C4" s="10">
        <v>0.9</v>
      </c>
      <c r="D4" s="1">
        <v>0</v>
      </c>
      <c r="E4" s="6"/>
      <c r="F4" s="6"/>
      <c r="G4" s="9"/>
      <c r="H4" s="6"/>
      <c r="I4" s="6"/>
      <c r="J4" s="9"/>
      <c r="K4" s="9"/>
      <c r="L4" s="9"/>
      <c r="M4" s="9"/>
      <c r="N4" s="9"/>
      <c r="O4" s="9"/>
    </row>
    <row r="5" spans="1:15" x14ac:dyDescent="0.25">
      <c r="A5" s="14">
        <v>1948</v>
      </c>
      <c r="B5" s="8">
        <v>220.2</v>
      </c>
      <c r="C5" s="8"/>
      <c r="D5" s="9"/>
      <c r="E5" s="6"/>
      <c r="F5" s="6"/>
      <c r="G5" s="9"/>
      <c r="H5" s="6"/>
      <c r="I5" s="6"/>
      <c r="J5" s="9"/>
      <c r="K5" s="9"/>
      <c r="L5" s="9"/>
      <c r="M5" s="9"/>
      <c r="N5" s="9"/>
      <c r="O5" s="9"/>
    </row>
    <row r="6" spans="1:15" x14ac:dyDescent="0.25">
      <c r="A6" s="14">
        <v>1949</v>
      </c>
      <c r="B6" s="8">
        <v>191.3</v>
      </c>
      <c r="C6" s="8"/>
      <c r="D6" s="9"/>
      <c r="E6" s="6"/>
      <c r="F6" s="6"/>
      <c r="G6" s="9"/>
      <c r="H6" s="6"/>
      <c r="I6" s="6"/>
      <c r="J6" s="9"/>
      <c r="K6" s="9"/>
      <c r="L6" s="9"/>
      <c r="M6" s="9"/>
      <c r="N6" s="9"/>
      <c r="O6" s="9"/>
    </row>
    <row r="7" spans="1:15" x14ac:dyDescent="0.25">
      <c r="A7" s="14">
        <v>1950</v>
      </c>
      <c r="B7" s="8">
        <v>190.4</v>
      </c>
      <c r="C7" s="8"/>
      <c r="E7" s="9"/>
      <c r="F7" s="9"/>
      <c r="G7" s="9"/>
      <c r="H7" s="9">
        <v>48.8</v>
      </c>
      <c r="I7" s="9">
        <v>2117</v>
      </c>
      <c r="J7" s="9">
        <v>13800</v>
      </c>
      <c r="K7" s="9">
        <v>77.099999999999994</v>
      </c>
      <c r="L7" s="9">
        <v>64.5</v>
      </c>
      <c r="M7" s="9"/>
      <c r="N7" s="9"/>
      <c r="O7" s="9"/>
    </row>
    <row r="8" spans="1:15" x14ac:dyDescent="0.25">
      <c r="A8" s="14">
        <v>1951</v>
      </c>
      <c r="B8" s="8">
        <v>222.7</v>
      </c>
      <c r="C8" s="8"/>
      <c r="D8" s="9"/>
      <c r="E8" s="8"/>
      <c r="F8" s="8"/>
      <c r="G8" s="9"/>
      <c r="H8" s="9">
        <v>53.1</v>
      </c>
      <c r="I8" s="8"/>
      <c r="J8" s="9"/>
      <c r="K8" s="9">
        <v>91.5</v>
      </c>
      <c r="L8" s="9">
        <v>78.099999999999994</v>
      </c>
      <c r="M8" s="9"/>
      <c r="N8" s="9"/>
      <c r="O8" s="9"/>
    </row>
    <row r="9" spans="1:15" x14ac:dyDescent="0.25">
      <c r="A9" s="14">
        <v>1952</v>
      </c>
      <c r="B9" s="8">
        <v>191.6</v>
      </c>
      <c r="C9" s="25">
        <v>0.8</v>
      </c>
      <c r="D9" s="9"/>
      <c r="E9" s="8">
        <v>852</v>
      </c>
      <c r="F9" s="8">
        <f>E9-800</f>
        <v>52</v>
      </c>
      <c r="G9" s="9"/>
      <c r="H9" s="27">
        <v>58.6</v>
      </c>
      <c r="I9" s="8">
        <v>3408</v>
      </c>
      <c r="J9" s="26"/>
      <c r="K9" s="27">
        <v>65.2</v>
      </c>
      <c r="L9" s="27">
        <v>67.8</v>
      </c>
      <c r="M9" s="9"/>
      <c r="N9" s="9"/>
      <c r="O9" s="9"/>
    </row>
    <row r="10" spans="1:15" x14ac:dyDescent="0.25">
      <c r="A10" s="14">
        <v>1953</v>
      </c>
      <c r="B10" s="8">
        <v>212.6</v>
      </c>
      <c r="C10" s="8"/>
      <c r="D10" s="9"/>
      <c r="E10" s="26">
        <v>873</v>
      </c>
      <c r="F10" s="8">
        <f>E10-820</f>
        <v>53</v>
      </c>
      <c r="G10" s="9"/>
      <c r="H10" s="27">
        <v>62.1</v>
      </c>
      <c r="I10" s="8">
        <f>2800</f>
        <v>2800</v>
      </c>
      <c r="J10" s="26"/>
      <c r="K10" s="27">
        <v>79.2</v>
      </c>
      <c r="L10" s="27">
        <v>71.3</v>
      </c>
      <c r="M10" s="9"/>
      <c r="N10" s="9"/>
      <c r="O10" s="9"/>
    </row>
    <row r="11" spans="1:15" x14ac:dyDescent="0.25">
      <c r="A11" s="14">
        <v>1954</v>
      </c>
      <c r="B11" s="8">
        <v>214.6</v>
      </c>
      <c r="C11" s="8"/>
      <c r="D11" s="9"/>
      <c r="E11" s="9">
        <v>1121.566</v>
      </c>
      <c r="F11" s="8">
        <f>E11-1000</f>
        <v>121.56600000000003</v>
      </c>
      <c r="G11" s="9"/>
      <c r="H11" s="9">
        <v>62.7</v>
      </c>
      <c r="I11" s="9">
        <f>3212.347</f>
        <v>3212.3470000000002</v>
      </c>
      <c r="J11" s="9"/>
      <c r="K11" s="9">
        <v>80.3</v>
      </c>
      <c r="L11" s="9">
        <v>71.599999999999994</v>
      </c>
      <c r="M11" s="9"/>
      <c r="N11" s="9"/>
      <c r="O11" s="9"/>
    </row>
    <row r="12" spans="1:15" x14ac:dyDescent="0.25">
      <c r="A12" s="14">
        <v>1955</v>
      </c>
      <c r="B12" s="8">
        <v>260.60000000000002</v>
      </c>
      <c r="C12" s="8"/>
      <c r="D12" s="6"/>
      <c r="E12" s="8">
        <v>1373.3109999999999</v>
      </c>
      <c r="F12" s="8"/>
      <c r="G12" s="10"/>
      <c r="H12" s="8">
        <v>61.3</v>
      </c>
      <c r="I12" s="8">
        <f>3653.924</f>
        <v>3653.924</v>
      </c>
      <c r="J12" s="9">
        <v>21500</v>
      </c>
      <c r="K12" s="8">
        <v>111.3</v>
      </c>
      <c r="L12" s="8">
        <v>88</v>
      </c>
      <c r="M12" s="9"/>
      <c r="N12" s="9"/>
      <c r="O12" s="10"/>
    </row>
    <row r="13" spans="1:15" x14ac:dyDescent="0.25">
      <c r="A13" s="14">
        <v>1956</v>
      </c>
      <c r="B13" s="8">
        <v>292.89999999999998</v>
      </c>
      <c r="C13" s="8"/>
      <c r="D13" s="6"/>
      <c r="E13" s="8">
        <v>1599.3009999999999</v>
      </c>
      <c r="F13" s="8">
        <f>E13-1500</f>
        <v>99.300999999999931</v>
      </c>
      <c r="G13" s="9"/>
      <c r="H13" s="8">
        <v>90.6</v>
      </c>
      <c r="I13" s="8">
        <v>4324.8860000000004</v>
      </c>
      <c r="J13" s="9"/>
      <c r="K13" s="8">
        <v>116.4</v>
      </c>
      <c r="L13" s="8">
        <v>85.9</v>
      </c>
      <c r="M13" s="9"/>
      <c r="N13" s="9"/>
      <c r="O13" s="9"/>
    </row>
    <row r="14" spans="1:15" x14ac:dyDescent="0.25">
      <c r="A14" s="14">
        <v>1957</v>
      </c>
      <c r="B14" s="8">
        <v>329.6</v>
      </c>
      <c r="C14" s="8"/>
      <c r="D14" s="6"/>
      <c r="E14" s="8">
        <v>1853</v>
      </c>
      <c r="F14" s="8">
        <f t="shared" ref="F14:F15" si="0">E14-1700</f>
        <v>153</v>
      </c>
      <c r="G14" s="9"/>
      <c r="H14" s="8">
        <v>116.6</v>
      </c>
      <c r="I14" s="8">
        <v>5107</v>
      </c>
      <c r="J14" s="9"/>
      <c r="K14" s="8">
        <v>116.4</v>
      </c>
      <c r="L14" s="8">
        <v>96.6</v>
      </c>
      <c r="M14" s="9"/>
      <c r="N14" s="9"/>
      <c r="O14" s="9"/>
    </row>
    <row r="15" spans="1:15" x14ac:dyDescent="0.25">
      <c r="A15" s="14">
        <v>1958</v>
      </c>
      <c r="B15" s="8">
        <v>361.2</v>
      </c>
      <c r="C15" s="8"/>
      <c r="D15" s="9"/>
      <c r="E15" s="8">
        <v>2207</v>
      </c>
      <c r="F15" s="8">
        <f t="shared" si="0"/>
        <v>507</v>
      </c>
      <c r="G15" s="9"/>
      <c r="H15" s="8">
        <v>129.19999999999999</v>
      </c>
      <c r="I15" s="8">
        <v>5816</v>
      </c>
      <c r="J15" s="9"/>
      <c r="K15" s="8">
        <v>135</v>
      </c>
      <c r="L15" s="8">
        <v>97</v>
      </c>
      <c r="M15" s="9"/>
      <c r="N15" s="9"/>
      <c r="O15" s="9"/>
    </row>
    <row r="16" spans="1:15" x14ac:dyDescent="0.25">
      <c r="A16" s="14">
        <v>1959</v>
      </c>
      <c r="B16" s="8">
        <v>415.5</v>
      </c>
      <c r="C16" s="8"/>
      <c r="D16" s="9"/>
      <c r="E16" s="8">
        <v>2500</v>
      </c>
      <c r="F16" s="8">
        <f>E16-2200</f>
        <v>300</v>
      </c>
      <c r="G16" s="9"/>
      <c r="H16" s="8">
        <v>182.6</v>
      </c>
      <c r="I16" s="8">
        <v>6700</v>
      </c>
      <c r="J16" s="9"/>
      <c r="K16" s="8">
        <v>135.19999999999999</v>
      </c>
      <c r="L16" s="8">
        <v>97.7</v>
      </c>
      <c r="M16" s="9"/>
      <c r="N16" s="9"/>
      <c r="O16" s="9"/>
    </row>
    <row r="17" spans="1:15" x14ac:dyDescent="0.25">
      <c r="A17" s="14">
        <v>1960</v>
      </c>
      <c r="B17" s="8">
        <f>416.6</f>
        <v>416.6</v>
      </c>
      <c r="C17" s="8"/>
      <c r="D17" s="9"/>
      <c r="E17" s="8">
        <v>2600</v>
      </c>
      <c r="F17" s="8">
        <f>E17-2300</f>
        <v>300</v>
      </c>
      <c r="G17" s="9"/>
      <c r="H17" s="8">
        <v>175.8</v>
      </c>
      <c r="I17" s="9">
        <v>7034</v>
      </c>
      <c r="J17" s="9">
        <v>27800</v>
      </c>
      <c r="K17" s="8">
        <v>150.80000000000001</v>
      </c>
      <c r="L17" s="8">
        <v>90</v>
      </c>
      <c r="M17" s="9"/>
      <c r="N17" s="9"/>
      <c r="O17" s="9"/>
    </row>
    <row r="18" spans="1:15" x14ac:dyDescent="0.25">
      <c r="A18" s="14">
        <v>1961</v>
      </c>
      <c r="B18" s="8">
        <f>166.2+133.9+102.7</f>
        <v>402.8</v>
      </c>
      <c r="C18" s="8"/>
      <c r="D18" s="9"/>
      <c r="E18" s="8">
        <v>2600</v>
      </c>
      <c r="F18" s="8">
        <f>E18-2400</f>
        <v>200</v>
      </c>
      <c r="G18" s="9"/>
      <c r="H18" s="8">
        <v>166.2</v>
      </c>
      <c r="I18" s="8">
        <v>7034</v>
      </c>
      <c r="J18" s="9"/>
      <c r="K18" s="8">
        <v>133.9</v>
      </c>
      <c r="L18" s="8">
        <v>102.7</v>
      </c>
      <c r="M18" s="9"/>
      <c r="N18" s="9"/>
      <c r="O18" s="9"/>
    </row>
    <row r="19" spans="1:15" x14ac:dyDescent="0.25">
      <c r="A19" s="14">
        <v>1962</v>
      </c>
      <c r="B19" s="8">
        <f>212.2+153.7+108.4</f>
        <v>474.29999999999995</v>
      </c>
      <c r="C19" s="25">
        <v>0.68</v>
      </c>
      <c r="D19" s="9"/>
      <c r="E19" s="8">
        <v>3300</v>
      </c>
      <c r="F19" s="8">
        <f>E19-2900</f>
        <v>400</v>
      </c>
      <c r="G19" s="9"/>
      <c r="H19" s="8">
        <v>212.2</v>
      </c>
      <c r="I19" s="8">
        <v>8500</v>
      </c>
      <c r="J19" s="9"/>
      <c r="K19" s="8">
        <v>153.69999999999999</v>
      </c>
      <c r="L19" s="8">
        <v>108.4</v>
      </c>
      <c r="M19" s="9"/>
      <c r="N19" s="9"/>
      <c r="O19" s="9"/>
    </row>
    <row r="20" spans="1:15" x14ac:dyDescent="0.25">
      <c r="A20" s="14">
        <v>1963</v>
      </c>
      <c r="B20" s="8">
        <f>229.2+162.2+99.8</f>
        <v>491.2</v>
      </c>
      <c r="C20" s="8"/>
      <c r="D20" s="9"/>
      <c r="E20" s="8">
        <v>3700</v>
      </c>
      <c r="F20" s="8">
        <f>E20-3100</f>
        <v>600</v>
      </c>
      <c r="G20" s="9"/>
      <c r="H20" s="8">
        <v>229.2</v>
      </c>
      <c r="I20" s="8">
        <v>9400</v>
      </c>
      <c r="J20" s="9"/>
      <c r="K20" s="8">
        <v>162.19999999999999</v>
      </c>
      <c r="L20" s="8">
        <v>99.8</v>
      </c>
      <c r="M20" s="9"/>
      <c r="N20" s="9"/>
      <c r="O20" s="9"/>
    </row>
    <row r="21" spans="1:15" x14ac:dyDescent="0.25">
      <c r="A21" s="14">
        <v>1964</v>
      </c>
      <c r="B21" s="8">
        <f>227.7+189.8+125.6</f>
        <v>543.1</v>
      </c>
      <c r="C21" s="8"/>
      <c r="D21" s="9"/>
      <c r="E21" s="8">
        <v>3500</v>
      </c>
      <c r="F21" s="8">
        <f>E21-2700</f>
        <v>800</v>
      </c>
      <c r="G21" s="9"/>
      <c r="H21" s="8">
        <v>227.7</v>
      </c>
      <c r="I21" s="8">
        <v>8900</v>
      </c>
      <c r="J21" s="9"/>
      <c r="K21" s="8">
        <v>189.8</v>
      </c>
      <c r="L21" s="8">
        <v>125.6</v>
      </c>
      <c r="M21" s="9"/>
      <c r="N21" s="9"/>
      <c r="O21" s="9"/>
    </row>
    <row r="22" spans="1:15" x14ac:dyDescent="0.25">
      <c r="A22" s="14">
        <v>1965</v>
      </c>
      <c r="B22" s="8">
        <f>241.5+204+118.3</f>
        <v>563.79999999999995</v>
      </c>
      <c r="C22" s="8"/>
      <c r="D22" s="9"/>
      <c r="E22" s="8">
        <v>3600</v>
      </c>
      <c r="F22" s="8">
        <f>E22-2800</f>
        <v>800</v>
      </c>
      <c r="G22" s="9"/>
      <c r="H22" s="8">
        <v>241.5</v>
      </c>
      <c r="I22" s="9">
        <v>9350</v>
      </c>
      <c r="J22" s="9">
        <v>34800</v>
      </c>
      <c r="K22" s="8">
        <v>204</v>
      </c>
      <c r="L22" s="8">
        <v>118.3</v>
      </c>
      <c r="M22" s="9"/>
      <c r="N22" s="9"/>
      <c r="O22" s="9"/>
    </row>
    <row r="23" spans="1:15" x14ac:dyDescent="0.25">
      <c r="A23" s="14">
        <v>1966</v>
      </c>
      <c r="B23" s="8">
        <f>253.7+195.4+126.1</f>
        <v>575.20000000000005</v>
      </c>
      <c r="C23" s="8"/>
      <c r="D23" s="9"/>
      <c r="E23" s="8">
        <v>4600</v>
      </c>
      <c r="F23" s="8">
        <f>E23-3600</f>
        <v>1000</v>
      </c>
      <c r="G23" s="9"/>
      <c r="H23" s="8">
        <v>253.7</v>
      </c>
      <c r="I23" s="8">
        <v>11800</v>
      </c>
      <c r="J23" s="9"/>
      <c r="K23" s="8">
        <v>195.4</v>
      </c>
      <c r="L23" s="8">
        <v>126.1</v>
      </c>
      <c r="M23" s="9"/>
      <c r="N23" s="9"/>
      <c r="O23" s="9"/>
    </row>
    <row r="24" spans="1:15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8">
        <v>219.9</v>
      </c>
      <c r="I24" s="9"/>
      <c r="J24" s="9"/>
      <c r="K24" s="8">
        <v>181.6</v>
      </c>
      <c r="L24" s="8">
        <v>121.5</v>
      </c>
      <c r="M24" s="9"/>
      <c r="N24" s="9"/>
      <c r="O24" s="9"/>
    </row>
    <row r="25" spans="1:15" x14ac:dyDescent="0.25">
      <c r="A25" s="14">
        <v>1968</v>
      </c>
      <c r="B25" s="8">
        <f>244.3+197.8+105.8</f>
        <v>547.9</v>
      </c>
      <c r="C25" s="25">
        <v>0.5</v>
      </c>
      <c r="D25" s="9"/>
      <c r="E25" s="9"/>
      <c r="F25" s="9"/>
      <c r="G25" s="9"/>
      <c r="H25" s="8">
        <v>244.3</v>
      </c>
      <c r="I25" s="9"/>
      <c r="J25" s="9"/>
      <c r="K25" s="8">
        <v>197.8</v>
      </c>
      <c r="L25" s="8">
        <v>105.8</v>
      </c>
      <c r="M25" s="9"/>
      <c r="N25" s="9"/>
      <c r="O25" s="9"/>
    </row>
    <row r="26" spans="1:15" x14ac:dyDescent="0.25">
      <c r="A26" s="14">
        <v>1969</v>
      </c>
      <c r="B26" s="8">
        <f>278.3+212.8+95.3</f>
        <v>586.4</v>
      </c>
      <c r="C26" s="8"/>
      <c r="D26" s="9"/>
      <c r="F26" s="9"/>
      <c r="G26" s="9"/>
      <c r="H26" s="8">
        <v>278.3</v>
      </c>
      <c r="I26" s="9"/>
      <c r="J26" s="9"/>
      <c r="K26" s="8">
        <v>212.8</v>
      </c>
      <c r="L26" s="8">
        <v>95.3</v>
      </c>
      <c r="M26" s="9"/>
      <c r="N26" s="9"/>
      <c r="O26" s="9"/>
    </row>
    <row r="27" spans="1:15" x14ac:dyDescent="0.25">
      <c r="A27" s="14">
        <v>1970</v>
      </c>
      <c r="B27" s="8">
        <f>219.8+215.5+101.1</f>
        <v>536.4</v>
      </c>
      <c r="C27" s="8"/>
      <c r="D27" s="9">
        <v>3475</v>
      </c>
      <c r="E27" s="9"/>
      <c r="F27" s="9"/>
      <c r="G27" s="9"/>
      <c r="H27" s="8">
        <v>219.8</v>
      </c>
      <c r="I27" s="9">
        <v>14654</v>
      </c>
      <c r="J27" s="9">
        <v>40200</v>
      </c>
      <c r="K27" s="8">
        <v>215.5</v>
      </c>
      <c r="L27" s="8">
        <v>101.1</v>
      </c>
      <c r="M27" s="9"/>
      <c r="N27" s="9"/>
      <c r="O27" s="9"/>
    </row>
    <row r="28" spans="1:15" x14ac:dyDescent="0.25">
      <c r="A28" s="14">
        <v>1971</v>
      </c>
      <c r="B28" s="8">
        <f>207.1+224.1+104.2</f>
        <v>535.4</v>
      </c>
      <c r="C28" s="8"/>
      <c r="D28" s="9">
        <v>3405</v>
      </c>
      <c r="E28" s="9"/>
      <c r="F28" s="9"/>
      <c r="G28" s="9"/>
      <c r="H28" s="8">
        <v>207.1</v>
      </c>
      <c r="I28" s="9"/>
      <c r="J28" s="9"/>
      <c r="K28" s="8">
        <v>224.1</v>
      </c>
      <c r="L28" s="8">
        <v>104.2</v>
      </c>
      <c r="M28" s="9"/>
      <c r="N28" s="9"/>
      <c r="O28" s="9"/>
    </row>
    <row r="29" spans="1:15" x14ac:dyDescent="0.25">
      <c r="A29" s="14">
        <v>1972</v>
      </c>
      <c r="B29" s="8">
        <f>254.4+219.6+95.2</f>
        <v>569.20000000000005</v>
      </c>
      <c r="D29" s="9">
        <v>3440</v>
      </c>
      <c r="E29" s="9"/>
      <c r="F29" s="9"/>
      <c r="G29" s="9"/>
      <c r="H29" s="8">
        <v>254.4</v>
      </c>
      <c r="I29" s="9"/>
      <c r="J29" s="9"/>
      <c r="K29" s="8">
        <v>219.6</v>
      </c>
      <c r="L29" s="8">
        <v>95.2</v>
      </c>
      <c r="M29" s="9"/>
      <c r="N29" s="9"/>
      <c r="O29" s="9"/>
    </row>
    <row r="30" spans="1:15" x14ac:dyDescent="0.25">
      <c r="A30" s="14">
        <v>1973</v>
      </c>
      <c r="B30" s="8">
        <f>347+226.8+98.5</f>
        <v>672.3</v>
      </c>
      <c r="C30" s="8"/>
      <c r="D30" s="9">
        <v>3580</v>
      </c>
      <c r="E30" s="9"/>
      <c r="F30" s="9"/>
      <c r="G30" s="9"/>
      <c r="H30" s="8">
        <v>347</v>
      </c>
      <c r="I30" s="9"/>
      <c r="J30" s="9"/>
      <c r="K30" s="8">
        <v>226.8</v>
      </c>
      <c r="L30" s="8">
        <v>98.5</v>
      </c>
      <c r="M30" s="9"/>
      <c r="N30" s="9"/>
      <c r="O30" s="9"/>
    </row>
    <row r="31" spans="1:15" x14ac:dyDescent="0.25">
      <c r="A31" s="14">
        <v>1974</v>
      </c>
      <c r="B31" s="8">
        <f>300+261.2+93.8</f>
        <v>655</v>
      </c>
      <c r="C31" s="8"/>
      <c r="D31" s="9">
        <v>3900</v>
      </c>
      <c r="E31" s="9"/>
      <c r="F31" s="9"/>
      <c r="G31" s="9"/>
      <c r="H31" s="8">
        <v>300</v>
      </c>
      <c r="I31" s="9"/>
      <c r="J31" s="9"/>
      <c r="K31" s="8">
        <v>261.2</v>
      </c>
      <c r="L31" s="8">
        <v>93.8</v>
      </c>
      <c r="M31" s="9"/>
      <c r="N31" s="9"/>
      <c r="O31" s="9"/>
    </row>
    <row r="32" spans="1:15" x14ac:dyDescent="0.25">
      <c r="A32" s="14">
        <v>1975</v>
      </c>
      <c r="B32" s="8">
        <f>251.6+185.7+73.3</f>
        <v>510.59999999999997</v>
      </c>
      <c r="C32" s="8"/>
      <c r="D32" s="9">
        <v>4165</v>
      </c>
      <c r="E32" s="9"/>
      <c r="F32" s="9"/>
      <c r="G32" s="9"/>
      <c r="H32" s="8">
        <v>251.6</v>
      </c>
      <c r="I32" s="9">
        <v>16773</v>
      </c>
      <c r="J32" s="9">
        <v>34100</v>
      </c>
      <c r="K32" s="8">
        <v>185.7</v>
      </c>
      <c r="L32" s="8">
        <v>73.3</v>
      </c>
      <c r="M32" s="9"/>
      <c r="N32" s="9"/>
      <c r="O32" s="9"/>
    </row>
    <row r="33" spans="1:15" x14ac:dyDescent="0.25">
      <c r="A33" s="14">
        <v>1976</v>
      </c>
      <c r="B33" s="8">
        <f>334.3+199.3+88</f>
        <v>621.6</v>
      </c>
      <c r="C33" s="8"/>
      <c r="D33" s="9">
        <v>4505</v>
      </c>
      <c r="E33" s="9"/>
      <c r="F33" s="9"/>
      <c r="G33" s="9"/>
      <c r="H33" s="8">
        <v>334.3</v>
      </c>
      <c r="I33" s="9"/>
      <c r="J33" s="9"/>
      <c r="K33" s="8">
        <v>199.3</v>
      </c>
      <c r="L33" s="8">
        <v>88</v>
      </c>
      <c r="M33" s="9"/>
      <c r="N33" s="9"/>
      <c r="O33" s="9"/>
    </row>
    <row r="34" spans="1:15" x14ac:dyDescent="0.25">
      <c r="A34" s="14">
        <v>1977</v>
      </c>
      <c r="B34" s="8">
        <f>303.4+199.1+98</f>
        <v>600.5</v>
      </c>
      <c r="D34" s="9">
        <v>4807</v>
      </c>
      <c r="E34" s="9"/>
      <c r="F34" s="9"/>
      <c r="G34" s="9"/>
      <c r="H34" s="8">
        <v>303.39999999999998</v>
      </c>
      <c r="I34" s="9">
        <v>20228</v>
      </c>
      <c r="J34" s="9">
        <v>34100</v>
      </c>
      <c r="K34" s="8">
        <v>199.1</v>
      </c>
      <c r="L34" s="8">
        <v>98</v>
      </c>
      <c r="M34" s="9"/>
      <c r="N34" s="9"/>
      <c r="O34" s="9"/>
    </row>
    <row r="35" spans="1:15" x14ac:dyDescent="0.25">
      <c r="A35" s="14">
        <v>1978</v>
      </c>
      <c r="B35" s="8">
        <f>448.5+84.1</f>
        <v>532.6</v>
      </c>
      <c r="C35" s="8"/>
      <c r="D35" s="9">
        <v>4830</v>
      </c>
      <c r="E35" s="9"/>
      <c r="F35" s="9"/>
      <c r="G35" s="9"/>
      <c r="H35" s="8">
        <v>448.5</v>
      </c>
      <c r="I35" s="9"/>
      <c r="J35" s="9"/>
      <c r="L35" s="8">
        <v>84.1</v>
      </c>
      <c r="M35" s="9"/>
      <c r="N35" s="9"/>
      <c r="O35" s="9"/>
    </row>
    <row r="36" spans="1:15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8">
        <v>620.6</v>
      </c>
      <c r="I36" s="9"/>
      <c r="J36" s="9"/>
      <c r="K36" s="9"/>
      <c r="L36" s="8">
        <v>54.9</v>
      </c>
      <c r="M36" s="9"/>
      <c r="N36" s="9"/>
      <c r="O36" s="9"/>
    </row>
    <row r="37" spans="1:15" x14ac:dyDescent="0.25">
      <c r="A37" s="14">
        <v>1980</v>
      </c>
      <c r="B37" s="8">
        <v>752</v>
      </c>
      <c r="C37" s="25">
        <v>0.5</v>
      </c>
      <c r="D37" s="9"/>
      <c r="E37" s="9"/>
      <c r="F37" s="9"/>
      <c r="G37" s="9"/>
      <c r="H37" s="8">
        <v>694</v>
      </c>
      <c r="I37" s="9"/>
      <c r="J37" s="9"/>
      <c r="K37" s="9"/>
      <c r="L37" s="8">
        <v>58.2</v>
      </c>
      <c r="M37" s="9"/>
      <c r="N37" s="9"/>
      <c r="O37" s="9"/>
    </row>
    <row r="38" spans="1:15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8">
        <v>673.2</v>
      </c>
      <c r="I38" s="9"/>
      <c r="J38" s="9"/>
      <c r="K38" s="9"/>
      <c r="L38" s="8">
        <v>40.1</v>
      </c>
      <c r="M38" s="9"/>
      <c r="N38" s="9"/>
      <c r="O38" s="9"/>
    </row>
    <row r="39" spans="1:15" x14ac:dyDescent="0.25">
      <c r="A39" s="14">
        <v>1982</v>
      </c>
      <c r="B39" s="8">
        <v>755</v>
      </c>
      <c r="C39" s="8"/>
      <c r="D39" s="8">
        <v>4184</v>
      </c>
      <c r="E39" s="9"/>
      <c r="F39" s="9"/>
      <c r="G39" s="9"/>
      <c r="H39" s="8">
        <v>683.9</v>
      </c>
      <c r="I39" s="9"/>
      <c r="J39" s="9"/>
      <c r="K39" s="9"/>
      <c r="L39" s="8">
        <v>37.9</v>
      </c>
      <c r="M39" s="9"/>
      <c r="N39" s="9"/>
      <c r="O39" s="9"/>
    </row>
    <row r="40" spans="1:15" x14ac:dyDescent="0.25">
      <c r="A40" s="14">
        <v>1983</v>
      </c>
      <c r="B40" s="8">
        <v>789</v>
      </c>
      <c r="C40" s="8"/>
      <c r="D40" s="8">
        <v>4850</v>
      </c>
      <c r="E40" s="9"/>
      <c r="F40" s="9"/>
      <c r="G40" s="9">
        <v>900</v>
      </c>
      <c r="H40" s="9"/>
      <c r="I40" s="9"/>
      <c r="J40" s="9"/>
      <c r="K40" s="9"/>
      <c r="L40" s="9"/>
      <c r="M40" s="9"/>
      <c r="N40" s="9"/>
      <c r="O40" s="9"/>
    </row>
    <row r="41" spans="1:15" x14ac:dyDescent="0.25">
      <c r="A41" s="14">
        <v>1984</v>
      </c>
      <c r="B41" s="8">
        <v>771</v>
      </c>
      <c r="C41" s="8"/>
      <c r="D41" s="8">
        <v>4429</v>
      </c>
      <c r="E41" s="9"/>
      <c r="F41" s="10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25">
      <c r="A42" s="14">
        <v>1985</v>
      </c>
      <c r="B42" s="8">
        <v>725</v>
      </c>
      <c r="C42" s="8"/>
      <c r="D42" s="8">
        <v>4314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25">
      <c r="A43" s="14">
        <v>1986</v>
      </c>
      <c r="B43" s="8">
        <v>685</v>
      </c>
      <c r="C43" s="8"/>
      <c r="D43" s="8">
        <v>5072</v>
      </c>
      <c r="E43" s="9"/>
      <c r="F43" s="9"/>
      <c r="G43" s="9">
        <v>1355</v>
      </c>
      <c r="H43" s="9"/>
      <c r="I43" s="9"/>
      <c r="J43" s="9"/>
      <c r="K43" s="9"/>
      <c r="L43" s="9"/>
      <c r="M43" s="9"/>
      <c r="N43" s="9"/>
      <c r="O43" s="9"/>
    </row>
    <row r="44" spans="1:15" x14ac:dyDescent="0.25">
      <c r="A44" s="14">
        <v>1987</v>
      </c>
      <c r="B44" s="8">
        <v>705</v>
      </c>
      <c r="C44" s="8"/>
      <c r="D44" s="8">
        <v>6019</v>
      </c>
      <c r="E44" s="9"/>
      <c r="F44" s="9"/>
      <c r="G44" s="9">
        <v>1556.8</v>
      </c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14">
        <v>1988</v>
      </c>
      <c r="B45" s="8">
        <v>780</v>
      </c>
      <c r="C45" s="8"/>
      <c r="D45" s="8">
        <v>6660</v>
      </c>
      <c r="E45" s="9"/>
      <c r="F45" s="9"/>
      <c r="G45" s="9">
        <v>1945.6</v>
      </c>
      <c r="H45" s="9"/>
      <c r="I45" s="9"/>
      <c r="J45" s="9"/>
      <c r="K45" s="9"/>
      <c r="L45" s="9"/>
      <c r="M45" s="9"/>
      <c r="N45" s="9"/>
      <c r="O45" s="9"/>
    </row>
    <row r="46" spans="1:15" x14ac:dyDescent="0.25">
      <c r="A46" s="14">
        <v>1989</v>
      </c>
      <c r="B46" s="8">
        <v>775</v>
      </c>
      <c r="C46" s="8"/>
      <c r="D46" s="8">
        <v>6760</v>
      </c>
      <c r="E46" s="9"/>
      <c r="F46" s="9">
        <v>2718</v>
      </c>
      <c r="G46" s="9">
        <v>2432</v>
      </c>
      <c r="H46" s="9"/>
      <c r="I46" s="9"/>
      <c r="J46" s="9"/>
      <c r="K46" s="9"/>
      <c r="L46" s="9"/>
      <c r="M46" s="9">
        <v>140653</v>
      </c>
      <c r="N46" s="9">
        <v>614.17899999999997</v>
      </c>
      <c r="O46" s="9"/>
    </row>
    <row r="47" spans="1:15" x14ac:dyDescent="0.25">
      <c r="A47" s="14">
        <v>1990</v>
      </c>
      <c r="B47" s="8">
        <v>875</v>
      </c>
      <c r="C47" s="8"/>
      <c r="D47" s="8">
        <v>7062</v>
      </c>
      <c r="E47" s="9"/>
      <c r="F47" s="9">
        <v>2759</v>
      </c>
      <c r="G47" s="9">
        <v>2692</v>
      </c>
      <c r="H47" s="9"/>
      <c r="I47" s="9"/>
      <c r="J47" s="9"/>
      <c r="K47" s="9"/>
      <c r="L47" s="9"/>
      <c r="M47" s="9">
        <v>154596</v>
      </c>
      <c r="N47" s="9">
        <f>25.791+853.279</f>
        <v>879.07</v>
      </c>
      <c r="O47" s="9"/>
    </row>
    <row r="48" spans="1:15" x14ac:dyDescent="0.25">
      <c r="A48" s="14">
        <v>1991</v>
      </c>
      <c r="B48" s="8">
        <v>820</v>
      </c>
      <c r="C48" s="8"/>
      <c r="D48" s="8">
        <v>8047</v>
      </c>
      <c r="E48" s="9"/>
      <c r="F48" s="9">
        <v>3162</v>
      </c>
      <c r="G48" s="9">
        <v>2577</v>
      </c>
      <c r="H48" s="9"/>
      <c r="I48" s="9"/>
      <c r="J48" s="9"/>
      <c r="K48" s="9"/>
      <c r="L48" s="9"/>
      <c r="M48" s="9">
        <f>2301+154114</f>
        <v>156415</v>
      </c>
      <c r="N48" s="9">
        <f>26.828+815.344</f>
        <v>842.17200000000003</v>
      </c>
      <c r="O48" s="9"/>
    </row>
    <row r="49" spans="1:15" x14ac:dyDescent="0.25">
      <c r="A49" s="14">
        <v>1992</v>
      </c>
      <c r="B49" s="8">
        <v>827.68499999999995</v>
      </c>
      <c r="C49" s="8"/>
      <c r="D49" s="8">
        <v>7945</v>
      </c>
      <c r="E49" s="9"/>
      <c r="F49" s="9">
        <v>3026</v>
      </c>
      <c r="G49" s="9">
        <v>2676</v>
      </c>
      <c r="H49" s="9"/>
      <c r="I49" s="9"/>
      <c r="J49" s="9"/>
      <c r="K49" s="9"/>
      <c r="L49" s="9"/>
      <c r="M49" s="9">
        <f>2332+141074</f>
        <v>143406</v>
      </c>
      <c r="N49" s="9">
        <f>21.948+810.986</f>
        <v>832.93399999999997</v>
      </c>
      <c r="O49" s="9"/>
    </row>
    <row r="50" spans="1:15" x14ac:dyDescent="0.25">
      <c r="A50" s="14">
        <v>1993</v>
      </c>
      <c r="B50" s="8">
        <v>809</v>
      </c>
      <c r="C50" s="8"/>
      <c r="D50" s="8">
        <v>8091</v>
      </c>
      <c r="E50" s="9"/>
      <c r="F50" s="9">
        <v>3079</v>
      </c>
      <c r="G50" s="9">
        <v>2844</v>
      </c>
      <c r="H50" s="9"/>
      <c r="I50" s="9"/>
      <c r="J50" s="9"/>
      <c r="K50" s="9"/>
      <c r="L50" s="9"/>
      <c r="M50" s="9">
        <f>2311+166706</f>
        <v>169017</v>
      </c>
      <c r="N50" s="9">
        <f>23.547+786.451</f>
        <v>809.99800000000005</v>
      </c>
      <c r="O50" s="9"/>
    </row>
    <row r="51" spans="1:15" x14ac:dyDescent="0.25">
      <c r="A51" s="14">
        <v>1994</v>
      </c>
      <c r="B51" s="8">
        <v>867.42</v>
      </c>
      <c r="C51" s="25">
        <v>0.5</v>
      </c>
      <c r="D51" s="8">
        <v>8998</v>
      </c>
      <c r="E51" s="8"/>
      <c r="F51" s="9">
        <v>3077</v>
      </c>
      <c r="G51" s="9">
        <v>3144</v>
      </c>
      <c r="H51" s="8"/>
      <c r="I51" s="8"/>
      <c r="J51" s="8"/>
      <c r="K51" s="8"/>
      <c r="L51" s="9"/>
      <c r="M51" s="9"/>
      <c r="N51" s="9">
        <v>868.404</v>
      </c>
      <c r="O51" s="9"/>
    </row>
    <row r="52" spans="1:15" x14ac:dyDescent="0.25">
      <c r="A52" s="14">
        <v>1995</v>
      </c>
      <c r="B52" s="8">
        <v>853</v>
      </c>
      <c r="C52" s="8"/>
      <c r="D52" s="8">
        <v>9563</v>
      </c>
      <c r="E52" s="9"/>
      <c r="F52" s="9">
        <v>3294</v>
      </c>
      <c r="G52" s="9">
        <v>3163</v>
      </c>
      <c r="H52" s="9"/>
      <c r="I52" s="9"/>
      <c r="J52" s="9"/>
      <c r="K52" s="9"/>
      <c r="N52" s="9"/>
      <c r="O52" s="9"/>
    </row>
    <row r="53" spans="1:15" x14ac:dyDescent="0.25">
      <c r="A53" s="14">
        <v>1996</v>
      </c>
      <c r="B53" s="8">
        <v>751.61</v>
      </c>
      <c r="C53" s="25"/>
      <c r="D53" s="8">
        <v>9768</v>
      </c>
      <c r="E53" s="9"/>
      <c r="F53" s="9">
        <v>3689</v>
      </c>
      <c r="G53" s="9">
        <v>3929</v>
      </c>
      <c r="H53" s="9"/>
      <c r="I53" s="9"/>
      <c r="J53" s="9"/>
      <c r="K53" s="9"/>
      <c r="N53" s="9"/>
      <c r="O53" s="9">
        <v>59712</v>
      </c>
    </row>
    <row r="54" spans="1:15" x14ac:dyDescent="0.25">
      <c r="A54" s="14">
        <v>1997</v>
      </c>
      <c r="B54" s="8">
        <v>1038</v>
      </c>
      <c r="C54" s="8"/>
      <c r="D54" s="9">
        <v>10243</v>
      </c>
      <c r="E54" s="9"/>
      <c r="F54" s="9">
        <v>4117</v>
      </c>
      <c r="G54" s="9">
        <v>3943</v>
      </c>
      <c r="H54" s="9"/>
      <c r="I54" s="9"/>
      <c r="J54" s="9"/>
      <c r="K54" s="9"/>
      <c r="N54" s="9"/>
      <c r="O54" s="9">
        <v>62865</v>
      </c>
    </row>
    <row r="55" spans="1:15" x14ac:dyDescent="0.25">
      <c r="A55" s="14">
        <v>1998</v>
      </c>
      <c r="B55" s="8">
        <v>852</v>
      </c>
      <c r="C55" s="61"/>
      <c r="D55" s="9">
        <v>10926</v>
      </c>
      <c r="E55" s="9"/>
      <c r="F55" s="9">
        <v>4103</v>
      </c>
      <c r="G55" s="9">
        <v>4410</v>
      </c>
      <c r="H55" s="9"/>
      <c r="I55" s="9"/>
      <c r="J55" s="9"/>
      <c r="K55" s="9"/>
      <c r="N55" s="6"/>
      <c r="O55" s="9">
        <v>68783</v>
      </c>
    </row>
    <row r="56" spans="1:15" x14ac:dyDescent="0.25">
      <c r="A56" s="14">
        <v>1999</v>
      </c>
      <c r="B56" s="8">
        <v>788.13499999999999</v>
      </c>
      <c r="C56" s="25"/>
      <c r="D56" s="9">
        <v>12257</v>
      </c>
      <c r="E56" s="9"/>
      <c r="F56" s="9">
        <v>4033</v>
      </c>
      <c r="G56" s="9">
        <v>4384</v>
      </c>
      <c r="H56" s="9"/>
      <c r="I56" s="9"/>
      <c r="J56" s="9"/>
      <c r="K56" s="9"/>
      <c r="N56" s="9"/>
      <c r="O56" s="9">
        <v>68268</v>
      </c>
    </row>
    <row r="57" spans="1:15" x14ac:dyDescent="0.25">
      <c r="A57" s="14">
        <v>2000</v>
      </c>
      <c r="B57" s="8">
        <v>860.58299999999997</v>
      </c>
      <c r="C57" s="8"/>
      <c r="D57" s="9">
        <v>13383</v>
      </c>
      <c r="E57" s="9"/>
      <c r="F57" s="9">
        <v>4273</v>
      </c>
      <c r="G57" s="9">
        <v>4492</v>
      </c>
      <c r="H57" s="9"/>
      <c r="I57" s="9"/>
      <c r="J57" s="9"/>
      <c r="K57" s="9"/>
      <c r="N57" s="9">
        <f>(91.993+97.083+93.111+97.314+77.789+84.047+76.404+74.775+76.435+88.061+86+86)</f>
        <v>1029.0120000000002</v>
      </c>
      <c r="O57" s="9">
        <v>72480</v>
      </c>
    </row>
    <row r="58" spans="1:15" x14ac:dyDescent="0.25">
      <c r="A58" s="14">
        <v>2001</v>
      </c>
      <c r="B58" s="8">
        <v>831.524</v>
      </c>
      <c r="C58" s="25"/>
      <c r="D58" s="9">
        <v>14400</v>
      </c>
      <c r="E58" s="9"/>
      <c r="F58" s="9"/>
      <c r="G58" s="9">
        <v>4151</v>
      </c>
      <c r="I58" s="9"/>
      <c r="J58" s="9"/>
      <c r="K58" s="9"/>
      <c r="N58" s="9"/>
      <c r="O58" s="9">
        <v>46612</v>
      </c>
    </row>
    <row r="59" spans="1:15" x14ac:dyDescent="0.25">
      <c r="A59" s="14">
        <v>2002</v>
      </c>
      <c r="B59" s="8">
        <v>887.61099999999999</v>
      </c>
      <c r="C59" s="25">
        <v>0.52</v>
      </c>
      <c r="D59" s="9">
        <v>14281</v>
      </c>
      <c r="E59" s="9"/>
      <c r="H59" s="9"/>
      <c r="I59" s="9"/>
      <c r="J59" s="9"/>
      <c r="K59" s="9"/>
      <c r="N59" s="9">
        <f>(104.928+109.499+99.674+103.432+112.944+113.511+113.899+108*5)</f>
        <v>1297.8869999999999</v>
      </c>
      <c r="O59" s="9"/>
    </row>
    <row r="60" spans="1:15" x14ac:dyDescent="0.25">
      <c r="A60" s="14">
        <v>2003</v>
      </c>
      <c r="B60" s="8">
        <v>937.14</v>
      </c>
      <c r="C60" s="25"/>
      <c r="D60" s="9">
        <v>14465</v>
      </c>
      <c r="E60" s="9"/>
      <c r="G60" s="9">
        <v>4756</v>
      </c>
      <c r="H60" s="9"/>
      <c r="I60" s="9"/>
      <c r="J60" s="9"/>
      <c r="K60" s="9"/>
      <c r="N60" s="9">
        <f>(109.183+100.755+107.827+83.681+79.097+71.42+103.109+94*5)</f>
        <v>1125.0720000000001</v>
      </c>
      <c r="O60" s="9"/>
    </row>
    <row r="61" spans="1:15" x14ac:dyDescent="0.25">
      <c r="A61" s="14">
        <v>2004</v>
      </c>
      <c r="B61" s="8">
        <v>1146.8530000000001</v>
      </c>
      <c r="C61" s="25">
        <f>0.49</f>
        <v>0.49</v>
      </c>
      <c r="D61" s="9">
        <v>15296</v>
      </c>
      <c r="E61" s="9"/>
      <c r="F61" s="9">
        <v>4751</v>
      </c>
      <c r="G61" s="9">
        <v>5267</v>
      </c>
      <c r="H61" s="9"/>
      <c r="I61" s="9"/>
      <c r="J61" s="9"/>
      <c r="K61" s="9"/>
      <c r="O61" s="9">
        <v>71327</v>
      </c>
    </row>
    <row r="62" spans="1:15" x14ac:dyDescent="0.25">
      <c r="A62" s="14">
        <v>2005</v>
      </c>
      <c r="B62" s="8">
        <v>1098.4649999999999</v>
      </c>
      <c r="C62" s="8"/>
      <c r="D62" s="9">
        <v>15318.19</v>
      </c>
      <c r="E62" s="9"/>
      <c r="F62" s="9">
        <v>4303.12</v>
      </c>
      <c r="G62" s="9">
        <v>5970.38</v>
      </c>
      <c r="H62" s="9"/>
      <c r="I62" s="9"/>
      <c r="J62" s="9"/>
      <c r="K62" s="9"/>
      <c r="O62" s="9">
        <v>66426</v>
      </c>
    </row>
    <row r="63" spans="1:15" x14ac:dyDescent="0.25">
      <c r="A63" s="14">
        <v>2006</v>
      </c>
      <c r="B63" s="9">
        <v>1151.222</v>
      </c>
      <c r="C63" s="25"/>
      <c r="D63" s="9">
        <v>16158</v>
      </c>
      <c r="E63" s="9"/>
      <c r="F63" s="9">
        <v>4661.8599999999997</v>
      </c>
      <c r="G63" s="9">
        <v>6483.56</v>
      </c>
      <c r="H63" s="9"/>
      <c r="I63" s="9"/>
      <c r="J63" s="9"/>
      <c r="K63" s="9"/>
      <c r="O63" s="9">
        <v>74052</v>
      </c>
    </row>
    <row r="64" spans="1:15" x14ac:dyDescent="0.25">
      <c r="A64" s="14">
        <v>2007</v>
      </c>
      <c r="B64" s="9">
        <v>1154.847</v>
      </c>
      <c r="D64" s="9">
        <v>16730</v>
      </c>
      <c r="E64" s="9"/>
      <c r="F64" s="9">
        <v>4636</v>
      </c>
      <c r="G64" s="9">
        <v>7238</v>
      </c>
      <c r="H64" s="9"/>
      <c r="I64" s="9"/>
      <c r="J64" s="9"/>
      <c r="K64" s="9"/>
      <c r="O64" s="9">
        <v>71526</v>
      </c>
    </row>
    <row r="65" spans="1:71" x14ac:dyDescent="0.25">
      <c r="A65" s="14">
        <v>2008</v>
      </c>
      <c r="B65" s="9">
        <v>992.96</v>
      </c>
      <c r="D65" s="9">
        <v>16382.708000000001</v>
      </c>
      <c r="E65" s="9"/>
      <c r="F65" s="9">
        <v>4098.3109999999997</v>
      </c>
      <c r="G65" s="9">
        <v>6722.7349999999997</v>
      </c>
      <c r="H65" s="9"/>
      <c r="I65" s="9"/>
      <c r="J65" s="9"/>
      <c r="K65" s="9"/>
      <c r="O65" s="9">
        <v>56310.531999999999</v>
      </c>
    </row>
    <row r="66" spans="1:71" x14ac:dyDescent="0.25">
      <c r="A66" s="14">
        <v>2009</v>
      </c>
      <c r="B66" s="9">
        <v>820</v>
      </c>
      <c r="D66" s="9">
        <v>15460.977999999999</v>
      </c>
      <c r="E66" s="9"/>
      <c r="F66" s="9">
        <v>3545.0970000000002</v>
      </c>
      <c r="G66" s="9">
        <v>7916.0360000000001</v>
      </c>
      <c r="H66" s="9"/>
      <c r="I66" s="9"/>
      <c r="J66" s="9"/>
      <c r="K66" s="9"/>
      <c r="O66" s="9"/>
    </row>
    <row r="67" spans="1:71" x14ac:dyDescent="0.25">
      <c r="A67" s="14">
        <v>2010</v>
      </c>
      <c r="B67" s="9">
        <v>890</v>
      </c>
      <c r="D67" s="9">
        <v>16209.016</v>
      </c>
      <c r="E67" s="9"/>
      <c r="F67" s="9">
        <v>3590.511</v>
      </c>
      <c r="G67" s="9">
        <v>8608.8940000000002</v>
      </c>
      <c r="H67" s="9"/>
      <c r="I67" s="9"/>
      <c r="J67" s="9"/>
      <c r="K67" s="9"/>
      <c r="O67" s="9">
        <v>26554.400000000001</v>
      </c>
    </row>
    <row r="68" spans="1:71" x14ac:dyDescent="0.25">
      <c r="A68" s="14">
        <v>2011</v>
      </c>
      <c r="B68" s="9">
        <v>1047</v>
      </c>
      <c r="D68" s="9">
        <v>16997.707999999999</v>
      </c>
      <c r="E68" s="9"/>
      <c r="F68" s="9">
        <v>3382.9360000000001</v>
      </c>
      <c r="G68" s="9">
        <v>7898.2659999999996</v>
      </c>
      <c r="H68" s="9"/>
      <c r="I68" s="9"/>
      <c r="J68" s="9"/>
      <c r="K68" s="9"/>
      <c r="O68" s="9">
        <v>22244.739000000001</v>
      </c>
    </row>
    <row r="69" spans="1:71" x14ac:dyDescent="0.25">
      <c r="A69" s="14">
        <v>2012</v>
      </c>
      <c r="B69" s="9">
        <v>855</v>
      </c>
      <c r="D69" s="9">
        <v>16424.399000000001</v>
      </c>
      <c r="E69" s="9"/>
      <c r="F69" s="9">
        <v>3165.2840000000001</v>
      </c>
      <c r="G69" s="9">
        <v>7359.2659999999996</v>
      </c>
      <c r="H69" s="9"/>
      <c r="I69" s="9"/>
      <c r="J69" s="9"/>
      <c r="K69" s="9"/>
      <c r="O69" s="9">
        <v>21980</v>
      </c>
    </row>
    <row r="70" spans="1:71" x14ac:dyDescent="0.25">
      <c r="A70" s="14">
        <v>2013</v>
      </c>
      <c r="B70" s="9">
        <v>778</v>
      </c>
      <c r="D70" s="9">
        <v>15763.493</v>
      </c>
      <c r="E70" s="9"/>
      <c r="F70" s="9">
        <v>2912.5160000000001</v>
      </c>
      <c r="G70" s="9">
        <v>7375.4610000000002</v>
      </c>
      <c r="H70" s="9"/>
      <c r="I70" s="9"/>
      <c r="J70" s="9"/>
      <c r="K70" s="9"/>
      <c r="O70" s="9">
        <v>18334</v>
      </c>
    </row>
    <row r="71" spans="1:71" x14ac:dyDescent="0.25">
      <c r="A71" s="14">
        <v>2014</v>
      </c>
      <c r="D71" s="9">
        <v>15000.332</v>
      </c>
      <c r="E71" s="9"/>
      <c r="F71" s="9">
        <v>3030.4780000000001</v>
      </c>
      <c r="G71" s="9">
        <v>7512.5110000000004</v>
      </c>
      <c r="H71" s="9"/>
      <c r="I71" s="9"/>
      <c r="J71" s="9"/>
      <c r="K71" s="9"/>
      <c r="O71" s="9">
        <v>22740.079000000002</v>
      </c>
    </row>
    <row r="72" spans="1:71" x14ac:dyDescent="0.25">
      <c r="A72" s="14">
        <v>2015</v>
      </c>
      <c r="D72" s="9">
        <v>15062.705</v>
      </c>
      <c r="E72" s="9"/>
      <c r="F72" s="9">
        <v>2946.95</v>
      </c>
      <c r="G72" s="9">
        <v>7231.2049999999999</v>
      </c>
      <c r="H72" s="9"/>
      <c r="I72" s="9"/>
      <c r="J72" s="9"/>
      <c r="K72" s="9"/>
      <c r="O72" s="9">
        <v>17104.144</v>
      </c>
    </row>
    <row r="73" spans="1:71" x14ac:dyDescent="0.25">
      <c r="A73" s="14">
        <v>2016</v>
      </c>
      <c r="D73" s="9">
        <v>15192.061</v>
      </c>
      <c r="E73" s="9"/>
      <c r="F73" s="9">
        <v>2905.9459999999999</v>
      </c>
      <c r="G73" s="9">
        <v>7396.1270000000004</v>
      </c>
      <c r="H73" s="9"/>
      <c r="I73" s="9"/>
      <c r="J73" s="9"/>
      <c r="K73" s="9"/>
      <c r="O73" s="9">
        <v>18703.665000000001</v>
      </c>
    </row>
    <row r="74" spans="1:71" x14ac:dyDescent="0.25">
      <c r="A74" s="14">
        <v>2017</v>
      </c>
      <c r="D74" s="9">
        <v>15696.879000000001</v>
      </c>
      <c r="E74" s="9"/>
      <c r="F74" s="9">
        <v>3006.424</v>
      </c>
      <c r="G74" s="9">
        <v>8425.2070000000003</v>
      </c>
      <c r="H74" s="9"/>
      <c r="I74" s="9"/>
      <c r="J74" s="9"/>
      <c r="K74" s="9"/>
      <c r="O74" s="9">
        <v>18505.227999999999</v>
      </c>
    </row>
    <row r="75" spans="1:71" x14ac:dyDescent="0.25">
      <c r="A75" s="14">
        <v>2018</v>
      </c>
      <c r="D75" s="9">
        <v>16462.59</v>
      </c>
      <c r="E75" s="9"/>
      <c r="F75" s="9">
        <v>2697.125</v>
      </c>
      <c r="G75" s="9">
        <v>8747.8580000000002</v>
      </c>
      <c r="H75" s="9"/>
      <c r="I75" s="9"/>
      <c r="J75" s="9"/>
      <c r="K75" s="9"/>
      <c r="O75" s="9">
        <v>18838.415000000001</v>
      </c>
    </row>
    <row r="76" spans="1:71" x14ac:dyDescent="0.25">
      <c r="A76" s="14">
        <v>2019</v>
      </c>
      <c r="D76" s="9">
        <v>17206.73</v>
      </c>
      <c r="E76" s="9"/>
      <c r="F76" s="9">
        <v>2783.1320000000001</v>
      </c>
      <c r="G76" s="9">
        <v>9924.3230000000003</v>
      </c>
      <c r="H76" s="9"/>
      <c r="I76" s="9"/>
      <c r="J76" s="9"/>
      <c r="K76" s="9"/>
      <c r="O76" s="9">
        <v>19234.415000000001</v>
      </c>
    </row>
    <row r="77" spans="1:71" x14ac:dyDescent="0.25">
      <c r="A77" s="14">
        <v>2020</v>
      </c>
      <c r="D77" s="9"/>
      <c r="E77" s="10"/>
      <c r="F77" s="10"/>
      <c r="H77" s="10"/>
      <c r="I77" s="10"/>
      <c r="J77" s="9"/>
      <c r="K77" s="9"/>
      <c r="L77" s="9"/>
      <c r="M77" s="9"/>
    </row>
    <row r="78" spans="1:71" s="4" customFormat="1" x14ac:dyDescent="0.25">
      <c r="A78" s="13"/>
      <c r="B78" s="9"/>
      <c r="C78" s="9"/>
      <c r="E78" s="10"/>
      <c r="F78" s="10"/>
      <c r="H78" s="10"/>
      <c r="I78" s="10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9"/>
      <c r="C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9"/>
      <c r="C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1:71" x14ac:dyDescent="0.25">
      <c r="O81" s="9"/>
    </row>
    <row r="82" spans="1:71" x14ac:dyDescent="0.25">
      <c r="O82" s="9"/>
      <c r="P82" s="28"/>
    </row>
    <row r="83" spans="1:71" x14ac:dyDescent="0.25">
      <c r="O83" s="9"/>
      <c r="P83" s="28"/>
    </row>
    <row r="84" spans="1:71" x14ac:dyDescent="0.25">
      <c r="O84" s="9"/>
      <c r="P84" s="28"/>
    </row>
    <row r="85" spans="1:71" x14ac:dyDescent="0.25">
      <c r="O85" s="9"/>
      <c r="P85" s="28"/>
    </row>
    <row r="86" spans="1:71" x14ac:dyDescent="0.25">
      <c r="O86" s="9"/>
      <c r="P86" s="28"/>
    </row>
    <row r="87" spans="1:71" s="4" customFormat="1" x14ac:dyDescent="0.25">
      <c r="A87" s="13"/>
      <c r="B87" s="9"/>
      <c r="C87" s="9"/>
      <c r="M87" s="12"/>
      <c r="O87" s="9"/>
      <c r="P87" s="2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9"/>
      <c r="C88" s="9"/>
      <c r="M88" s="12"/>
      <c r="O88" s="9"/>
      <c r="P88" s="2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1:71" x14ac:dyDescent="0.25">
      <c r="O89" s="9"/>
      <c r="P89" s="28"/>
    </row>
    <row r="90" spans="1:71" x14ac:dyDescent="0.25">
      <c r="O90" s="9"/>
      <c r="P90" s="28"/>
    </row>
    <row r="91" spans="1:71" x14ac:dyDescent="0.25">
      <c r="O91" s="9"/>
      <c r="P91" s="28"/>
    </row>
    <row r="92" spans="1:71" x14ac:dyDescent="0.25">
      <c r="O92" s="9"/>
      <c r="P92" s="28"/>
    </row>
    <row r="93" spans="1:71" x14ac:dyDescent="0.25">
      <c r="O93" s="9"/>
      <c r="P93" s="28"/>
    </row>
    <row r="94" spans="1:71" x14ac:dyDescent="0.25">
      <c r="O94" s="9"/>
      <c r="P94" s="28"/>
    </row>
    <row r="95" spans="1:71" x14ac:dyDescent="0.25">
      <c r="O95" s="9"/>
      <c r="P95" s="28"/>
    </row>
    <row r="96" spans="1:71" x14ac:dyDescent="0.25">
      <c r="O96" s="9"/>
      <c r="P96" s="28"/>
    </row>
    <row r="97" spans="15:16" x14ac:dyDescent="0.25">
      <c r="O97" s="9"/>
      <c r="P97" s="28"/>
    </row>
    <row r="98" spans="15:16" x14ac:dyDescent="0.25">
      <c r="O98" s="9"/>
      <c r="P98" s="28"/>
    </row>
    <row r="99" spans="15:16" x14ac:dyDescent="0.25">
      <c r="O99" s="9"/>
      <c r="P99" s="28"/>
    </row>
    <row r="100" spans="15:16" x14ac:dyDescent="0.25">
      <c r="O100" s="9"/>
      <c r="P100" s="28"/>
    </row>
    <row r="101" spans="15:16" x14ac:dyDescent="0.25">
      <c r="O101" s="9"/>
      <c r="P101" s="28"/>
    </row>
    <row r="102" spans="15:16" x14ac:dyDescent="0.25">
      <c r="O102" s="9"/>
      <c r="P102" s="28"/>
    </row>
    <row r="103" spans="15:16" x14ac:dyDescent="0.25">
      <c r="O103" s="9"/>
      <c r="P103" s="28"/>
    </row>
    <row r="104" spans="15:16" x14ac:dyDescent="0.25">
      <c r="P104" s="28"/>
    </row>
    <row r="105" spans="15:16" x14ac:dyDescent="0.25">
      <c r="P105" s="28"/>
    </row>
    <row r="106" spans="15:16" x14ac:dyDescent="0.25">
      <c r="P106" s="2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R88"/>
  <sheetViews>
    <sheetView zoomScale="70" zoomScaleNormal="70" workbookViewId="0">
      <selection activeCell="C46" sqref="C46"/>
    </sheetView>
  </sheetViews>
  <sheetFormatPr defaultColWidth="10.7109375" defaultRowHeight="15" x14ac:dyDescent="0.25"/>
  <cols>
    <col min="1" max="1" width="10" style="2" customWidth="1"/>
    <col min="2" max="6" width="26.85546875" style="6" customWidth="1"/>
    <col min="7" max="16384" width="10.7109375" style="6"/>
  </cols>
  <sheetData>
    <row r="1" spans="1:6" s="55" customFormat="1" ht="30" x14ac:dyDescent="0.25">
      <c r="A1" s="29" t="s">
        <v>0</v>
      </c>
      <c r="B1" s="5" t="s">
        <v>5</v>
      </c>
      <c r="C1" s="54" t="s">
        <v>6</v>
      </c>
      <c r="D1" s="5" t="s">
        <v>11</v>
      </c>
      <c r="E1" s="5" t="s">
        <v>10</v>
      </c>
      <c r="F1" s="5" t="s">
        <v>31</v>
      </c>
    </row>
    <row r="2" spans="1:6" s="1" customFormat="1" x14ac:dyDescent="0.25">
      <c r="A2" s="14">
        <v>1945</v>
      </c>
    </row>
    <row r="3" spans="1:6" s="1" customFormat="1" x14ac:dyDescent="0.25">
      <c r="A3" s="14">
        <v>1946</v>
      </c>
    </row>
    <row r="4" spans="1:6" s="1" customFormat="1" x14ac:dyDescent="0.25">
      <c r="A4" s="14">
        <v>1947</v>
      </c>
      <c r="C4" s="1">
        <v>0</v>
      </c>
    </row>
    <row r="5" spans="1:6" s="1" customFormat="1" x14ac:dyDescent="0.25">
      <c r="A5" s="14">
        <v>1948</v>
      </c>
    </row>
    <row r="6" spans="1:6" s="1" customFormat="1" x14ac:dyDescent="0.25">
      <c r="A6" s="14">
        <v>1949</v>
      </c>
    </row>
    <row r="7" spans="1:6" s="1" customFormat="1" x14ac:dyDescent="0.25">
      <c r="A7" s="14">
        <v>1950</v>
      </c>
    </row>
    <row r="8" spans="1:6" s="1" customFormat="1" x14ac:dyDescent="0.25">
      <c r="A8" s="14">
        <v>1951</v>
      </c>
    </row>
    <row r="9" spans="1:6" s="1" customFormat="1" x14ac:dyDescent="0.25">
      <c r="A9" s="14">
        <v>1952</v>
      </c>
      <c r="B9" s="8">
        <v>1.1479999999999999</v>
      </c>
    </row>
    <row r="10" spans="1:6" s="1" customFormat="1" x14ac:dyDescent="0.25">
      <c r="A10" s="14">
        <v>1953</v>
      </c>
      <c r="B10" s="8">
        <v>1.133</v>
      </c>
    </row>
    <row r="11" spans="1:6" s="1" customFormat="1" x14ac:dyDescent="0.25">
      <c r="A11" s="14">
        <v>1954</v>
      </c>
      <c r="B11" s="8">
        <v>10.706</v>
      </c>
    </row>
    <row r="12" spans="1:6" s="1" customFormat="1" x14ac:dyDescent="0.25">
      <c r="A12" s="14">
        <v>1955</v>
      </c>
      <c r="B12" s="8">
        <v>12.1</v>
      </c>
    </row>
    <row r="13" spans="1:6" s="1" customFormat="1" x14ac:dyDescent="0.25">
      <c r="A13" s="14">
        <v>1956</v>
      </c>
    </row>
    <row r="14" spans="1:6" s="1" customFormat="1" x14ac:dyDescent="0.25">
      <c r="A14" s="14">
        <v>1957</v>
      </c>
    </row>
    <row r="15" spans="1:6" s="1" customFormat="1" x14ac:dyDescent="0.25">
      <c r="A15" s="14">
        <v>1958</v>
      </c>
    </row>
    <row r="16" spans="1:6" s="1" customFormat="1" x14ac:dyDescent="0.25">
      <c r="A16" s="14">
        <v>1959</v>
      </c>
    </row>
    <row r="17" spans="1:2" s="1" customFormat="1" x14ac:dyDescent="0.25">
      <c r="A17" s="14">
        <v>1960</v>
      </c>
    </row>
    <row r="18" spans="1:2" s="1" customFormat="1" x14ac:dyDescent="0.25">
      <c r="A18" s="14">
        <v>1961</v>
      </c>
    </row>
    <row r="19" spans="1:2" s="1" customFormat="1" x14ac:dyDescent="0.25">
      <c r="A19" s="14">
        <v>1962</v>
      </c>
      <c r="B19" s="8">
        <v>16.399999999999999</v>
      </c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>
        <v>34.299999999999997</v>
      </c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>
        <v>60.3</v>
      </c>
    </row>
    <row r="26" spans="1:2" s="1" customFormat="1" x14ac:dyDescent="0.25">
      <c r="A26" s="14">
        <v>1969</v>
      </c>
    </row>
    <row r="27" spans="1:2" s="1" customFormat="1" x14ac:dyDescent="0.25">
      <c r="A27" s="14">
        <v>1970</v>
      </c>
      <c r="B27" s="68">
        <v>65</v>
      </c>
    </row>
    <row r="28" spans="1:2" s="1" customFormat="1" x14ac:dyDescent="0.25">
      <c r="A28" s="14">
        <v>1971</v>
      </c>
      <c r="B28" s="68">
        <v>72</v>
      </c>
    </row>
    <row r="29" spans="1:2" s="1" customFormat="1" x14ac:dyDescent="0.25">
      <c r="A29" s="14">
        <v>1972</v>
      </c>
      <c r="B29" s="68">
        <v>98</v>
      </c>
    </row>
    <row r="30" spans="1:2" s="1" customFormat="1" x14ac:dyDescent="0.25">
      <c r="A30" s="14">
        <v>1973</v>
      </c>
      <c r="B30" s="68">
        <v>108</v>
      </c>
    </row>
    <row r="31" spans="1:2" s="1" customFormat="1" x14ac:dyDescent="0.25">
      <c r="A31" s="14">
        <v>1974</v>
      </c>
      <c r="B31" s="68">
        <v>125</v>
      </c>
    </row>
    <row r="32" spans="1:2" s="1" customFormat="1" x14ac:dyDescent="0.25">
      <c r="A32" s="14">
        <v>1975</v>
      </c>
      <c r="B32" s="68">
        <v>107</v>
      </c>
    </row>
    <row r="33" spans="1:2" s="1" customFormat="1" x14ac:dyDescent="0.25">
      <c r="A33" s="14">
        <v>1976</v>
      </c>
      <c r="B33" s="68">
        <v>152</v>
      </c>
    </row>
    <row r="34" spans="1:2" s="1" customFormat="1" x14ac:dyDescent="0.25">
      <c r="A34" s="14">
        <v>1977</v>
      </c>
      <c r="B34" s="68">
        <v>156</v>
      </c>
    </row>
    <row r="35" spans="1:2" s="1" customFormat="1" x14ac:dyDescent="0.25">
      <c r="A35" s="14">
        <v>1978</v>
      </c>
      <c r="B35" s="68">
        <v>161</v>
      </c>
    </row>
    <row r="36" spans="1:2" s="1" customFormat="1" x14ac:dyDescent="0.25">
      <c r="A36" s="14">
        <v>1979</v>
      </c>
      <c r="B36" s="68">
        <v>194</v>
      </c>
    </row>
    <row r="37" spans="1:2" s="1" customFormat="1" x14ac:dyDescent="0.25">
      <c r="A37" s="14">
        <v>1980</v>
      </c>
      <c r="B37" s="68">
        <v>211</v>
      </c>
    </row>
    <row r="38" spans="1:2" s="1" customFormat="1" x14ac:dyDescent="0.25">
      <c r="A38" s="14">
        <v>1981</v>
      </c>
      <c r="B38" s="68">
        <v>201</v>
      </c>
    </row>
    <row r="39" spans="1:2" s="1" customFormat="1" x14ac:dyDescent="0.25">
      <c r="A39" s="14">
        <v>1982</v>
      </c>
      <c r="B39" s="68">
        <v>223</v>
      </c>
    </row>
    <row r="40" spans="1:2" s="1" customFormat="1" x14ac:dyDescent="0.25">
      <c r="A40" s="14">
        <v>1983</v>
      </c>
      <c r="B40" s="68">
        <v>234</v>
      </c>
    </row>
    <row r="41" spans="1:2" s="1" customFormat="1" x14ac:dyDescent="0.25">
      <c r="A41" s="14">
        <v>1984</v>
      </c>
      <c r="B41" s="68">
        <v>244</v>
      </c>
    </row>
    <row r="42" spans="1:2" s="1" customFormat="1" x14ac:dyDescent="0.25">
      <c r="A42" s="14">
        <v>1985</v>
      </c>
      <c r="B42" s="68">
        <v>258</v>
      </c>
    </row>
    <row r="43" spans="1:2" s="1" customFormat="1" x14ac:dyDescent="0.25">
      <c r="A43" s="14">
        <v>1986</v>
      </c>
      <c r="B43" s="68">
        <v>278</v>
      </c>
    </row>
    <row r="44" spans="1:2" s="1" customFormat="1" x14ac:dyDescent="0.25">
      <c r="A44" s="14">
        <v>1987</v>
      </c>
      <c r="B44" s="68">
        <v>304</v>
      </c>
    </row>
    <row r="45" spans="1:2" s="1" customFormat="1" x14ac:dyDescent="0.25">
      <c r="A45" s="14">
        <v>1988</v>
      </c>
    </row>
    <row r="46" spans="1:2" s="1" customFormat="1" x14ac:dyDescent="0.25">
      <c r="A46" s="14">
        <v>1989</v>
      </c>
    </row>
    <row r="47" spans="1:2" s="1" customFormat="1" x14ac:dyDescent="0.25">
      <c r="A47" s="14">
        <v>1990</v>
      </c>
    </row>
    <row r="48" spans="1:2" s="1" customFormat="1" x14ac:dyDescent="0.25">
      <c r="A48" s="14">
        <v>1991</v>
      </c>
    </row>
    <row r="49" spans="1:8" s="1" customFormat="1" x14ac:dyDescent="0.25">
      <c r="A49" s="14">
        <v>1992</v>
      </c>
    </row>
    <row r="50" spans="1:8" s="1" customFormat="1" x14ac:dyDescent="0.25">
      <c r="A50" s="14">
        <v>1993</v>
      </c>
    </row>
    <row r="51" spans="1:8" s="1" customFormat="1" x14ac:dyDescent="0.25">
      <c r="A51" s="14">
        <v>1994</v>
      </c>
    </row>
    <row r="52" spans="1:8" s="1" customFormat="1" x14ac:dyDescent="0.25">
      <c r="A52" s="14">
        <v>1995</v>
      </c>
      <c r="C52" s="8"/>
      <c r="D52" s="8"/>
      <c r="E52" s="8"/>
      <c r="F52" s="8"/>
    </row>
    <row r="53" spans="1:8" s="1" customFormat="1" x14ac:dyDescent="0.25">
      <c r="A53" s="14">
        <v>1996</v>
      </c>
      <c r="B53" s="8">
        <v>257</v>
      </c>
      <c r="C53" s="8">
        <v>1260.895</v>
      </c>
      <c r="D53" s="8">
        <v>1189.998</v>
      </c>
      <c r="E53" s="8">
        <v>1004.845</v>
      </c>
      <c r="F53" s="8">
        <v>2784.5149999999999</v>
      </c>
      <c r="H53" s="60"/>
    </row>
    <row r="54" spans="1:8" s="1" customFormat="1" x14ac:dyDescent="0.25">
      <c r="A54" s="14">
        <v>1997</v>
      </c>
      <c r="B54" s="8">
        <v>274</v>
      </c>
      <c r="C54" s="8">
        <v>907.14300000000003</v>
      </c>
      <c r="D54" s="8">
        <v>1785.8679999999999</v>
      </c>
      <c r="E54" s="8">
        <v>805.77300000000002</v>
      </c>
      <c r="F54" s="8">
        <v>2963.442</v>
      </c>
      <c r="H54" s="60"/>
    </row>
    <row r="55" spans="1:8" s="1" customFormat="1" x14ac:dyDescent="0.25">
      <c r="A55" s="14">
        <v>1998</v>
      </c>
      <c r="B55" s="8">
        <v>282</v>
      </c>
      <c r="C55" s="8">
        <v>905.85</v>
      </c>
      <c r="D55" s="8">
        <v>2802.2809999999999</v>
      </c>
      <c r="E55" s="8">
        <v>921.94200000000001</v>
      </c>
      <c r="F55" s="8">
        <v>2466.5990000000002</v>
      </c>
      <c r="H55" s="60"/>
    </row>
    <row r="56" spans="1:8" s="1" customFormat="1" x14ac:dyDescent="0.25">
      <c r="A56" s="14">
        <v>1999</v>
      </c>
      <c r="B56" s="8">
        <v>313</v>
      </c>
      <c r="C56" s="8">
        <v>1316.0060000000001</v>
      </c>
      <c r="D56" s="8">
        <v>3123.2429999999999</v>
      </c>
      <c r="E56" s="8">
        <v>1182.327</v>
      </c>
      <c r="F56" s="8">
        <v>1875.9639999999999</v>
      </c>
      <c r="H56" s="60"/>
    </row>
    <row r="57" spans="1:8" s="1" customFormat="1" x14ac:dyDescent="0.25">
      <c r="A57" s="14">
        <v>2000</v>
      </c>
      <c r="B57" s="8">
        <v>305</v>
      </c>
      <c r="C57" s="8">
        <v>1522.134</v>
      </c>
      <c r="D57" s="8">
        <v>3855.817</v>
      </c>
      <c r="E57" s="8">
        <v>1221.732</v>
      </c>
      <c r="F57" s="8">
        <v>1870.4659999999999</v>
      </c>
      <c r="H57" s="60"/>
    </row>
    <row r="58" spans="1:8" s="1" customFormat="1" x14ac:dyDescent="0.25">
      <c r="A58" s="14">
        <v>2001</v>
      </c>
      <c r="B58" s="8">
        <v>315</v>
      </c>
      <c r="C58" s="8">
        <v>1334.1020000000001</v>
      </c>
      <c r="D58" s="8">
        <v>3597.0790000000002</v>
      </c>
      <c r="E58" s="8">
        <v>1316.9829999999999</v>
      </c>
      <c r="F58" s="8">
        <v>2695.3890000000001</v>
      </c>
      <c r="H58" s="60"/>
    </row>
    <row r="59" spans="1:8" s="1" customFormat="1" x14ac:dyDescent="0.25">
      <c r="A59" s="14">
        <v>2002</v>
      </c>
      <c r="B59" s="8">
        <v>347</v>
      </c>
      <c r="C59" s="8">
        <v>1448.894</v>
      </c>
      <c r="D59" s="8">
        <v>3548.6179999999999</v>
      </c>
      <c r="E59" s="8">
        <v>1368.0340000000001</v>
      </c>
      <c r="F59" s="8">
        <v>3039.223</v>
      </c>
      <c r="H59" s="60"/>
    </row>
    <row r="60" spans="1:8" s="1" customFormat="1" x14ac:dyDescent="0.25">
      <c r="A60" s="14">
        <v>2003</v>
      </c>
      <c r="B60" s="8">
        <v>327</v>
      </c>
      <c r="C60" s="8">
        <v>1797.1279999999999</v>
      </c>
      <c r="D60" s="8">
        <v>3896.3139999999999</v>
      </c>
      <c r="E60" s="8">
        <v>1194.9259999999999</v>
      </c>
      <c r="F60" s="8">
        <v>3882.6909999999998</v>
      </c>
      <c r="H60" s="60"/>
    </row>
    <row r="61" spans="1:8" s="1" customFormat="1" x14ac:dyDescent="0.25">
      <c r="A61" s="14">
        <v>2004</v>
      </c>
      <c r="B61" s="8">
        <v>347</v>
      </c>
      <c r="C61" s="8">
        <v>1249.3679999999999</v>
      </c>
      <c r="D61" s="8">
        <v>4279.7560000000003</v>
      </c>
      <c r="E61" s="8">
        <v>1320.597</v>
      </c>
      <c r="F61" s="8">
        <v>3659.049</v>
      </c>
      <c r="H61" s="60"/>
    </row>
    <row r="62" spans="1:8" s="1" customFormat="1" x14ac:dyDescent="0.25">
      <c r="A62" s="14">
        <v>2005</v>
      </c>
      <c r="B62" s="8">
        <v>345</v>
      </c>
      <c r="C62" s="8">
        <v>1161.8030000000001</v>
      </c>
      <c r="D62" s="8">
        <v>4499.4750000000004</v>
      </c>
      <c r="E62" s="8">
        <v>4045.0520000000001</v>
      </c>
      <c r="F62" s="8">
        <v>4483.7669999999998</v>
      </c>
      <c r="H62" s="60"/>
    </row>
    <row r="63" spans="1:8" s="1" customFormat="1" x14ac:dyDescent="0.25">
      <c r="A63" s="14">
        <v>2006</v>
      </c>
      <c r="B63" s="8">
        <v>356</v>
      </c>
      <c r="C63" s="8">
        <v>1276.7460000000001</v>
      </c>
      <c r="D63" s="8">
        <v>5367.95</v>
      </c>
      <c r="E63" s="8">
        <v>2544.9380000000001</v>
      </c>
      <c r="F63" s="8">
        <v>5951.0630000000001</v>
      </c>
      <c r="H63" s="60"/>
    </row>
    <row r="64" spans="1:8" s="1" customFormat="1" x14ac:dyDescent="0.25">
      <c r="A64" s="14">
        <v>2007</v>
      </c>
      <c r="B64" s="8">
        <v>402</v>
      </c>
      <c r="C64" s="8">
        <v>1605.365</v>
      </c>
      <c r="D64" s="8">
        <v>5439.1580000000004</v>
      </c>
      <c r="E64" s="8">
        <v>2970.2950000000001</v>
      </c>
      <c r="F64" s="8">
        <v>6146.1189999999997</v>
      </c>
      <c r="H64" s="60"/>
    </row>
    <row r="65" spans="1:70" s="1" customFormat="1" x14ac:dyDescent="0.25">
      <c r="A65" s="14">
        <v>2008</v>
      </c>
      <c r="B65" s="8">
        <v>402</v>
      </c>
      <c r="C65" s="8">
        <v>1534.673</v>
      </c>
      <c r="D65" s="8">
        <v>6083.4660000000003</v>
      </c>
      <c r="E65" s="8">
        <v>2929.0509999999999</v>
      </c>
      <c r="F65" s="8">
        <v>6952.1270000000004</v>
      </c>
      <c r="H65" s="60"/>
    </row>
    <row r="66" spans="1:70" s="1" customFormat="1" x14ac:dyDescent="0.25">
      <c r="A66" s="14">
        <v>2009</v>
      </c>
      <c r="B66" s="8">
        <v>425</v>
      </c>
      <c r="C66" s="8">
        <v>1130.6949999999999</v>
      </c>
      <c r="D66" s="8">
        <v>6320.268</v>
      </c>
      <c r="E66" s="8">
        <v>2827.9140000000002</v>
      </c>
      <c r="F66" s="8">
        <v>6910.9979999999996</v>
      </c>
      <c r="H66" s="60"/>
    </row>
    <row r="67" spans="1:70" s="1" customFormat="1" x14ac:dyDescent="0.25">
      <c r="A67" s="14">
        <v>2010</v>
      </c>
      <c r="B67" s="8">
        <v>359</v>
      </c>
      <c r="C67" s="8">
        <v>1329.6479999999999</v>
      </c>
      <c r="D67" s="8">
        <v>6139.7550000000001</v>
      </c>
      <c r="E67" s="8">
        <v>3815.7809999999999</v>
      </c>
      <c r="F67" s="8">
        <v>7344.2380000000003</v>
      </c>
      <c r="H67" s="60"/>
    </row>
    <row r="68" spans="1:70" s="1" customFormat="1" x14ac:dyDescent="0.25">
      <c r="A68" s="14">
        <v>2011</v>
      </c>
      <c r="B68" s="8">
        <v>389</v>
      </c>
      <c r="C68" s="8">
        <v>952.46199999999999</v>
      </c>
      <c r="D68" s="8">
        <v>6475.9620000000004</v>
      </c>
      <c r="E68" s="8">
        <v>3164.152</v>
      </c>
      <c r="F68" s="8">
        <v>7317.8469999999998</v>
      </c>
      <c r="H68" s="60"/>
    </row>
    <row r="69" spans="1:70" s="1" customFormat="1" x14ac:dyDescent="0.25">
      <c r="A69" s="14">
        <v>2012</v>
      </c>
      <c r="B69" s="8">
        <v>371</v>
      </c>
      <c r="C69" s="8">
        <v>628.72500000000002</v>
      </c>
      <c r="D69" s="8">
        <v>6033.143</v>
      </c>
      <c r="E69" s="8">
        <v>3120.951</v>
      </c>
      <c r="F69" s="8">
        <v>5640.6170000000002</v>
      </c>
      <c r="H69" s="60"/>
    </row>
    <row r="70" spans="1:70" s="1" customFormat="1" x14ac:dyDescent="0.25">
      <c r="A70" s="14">
        <v>2013</v>
      </c>
      <c r="B70" s="8">
        <v>392</v>
      </c>
      <c r="C70" s="8">
        <v>627.096</v>
      </c>
      <c r="D70" s="8">
        <v>5448.9610000000002</v>
      </c>
      <c r="E70" s="8">
        <v>4281.59</v>
      </c>
      <c r="F70" s="8">
        <v>7345.0559999999996</v>
      </c>
      <c r="H70" s="60"/>
    </row>
    <row r="71" spans="1:70" s="1" customFormat="1" x14ac:dyDescent="0.25">
      <c r="A71" s="14">
        <v>2014</v>
      </c>
      <c r="B71" s="8">
        <v>352</v>
      </c>
      <c r="C71" s="8">
        <v>555.11800000000005</v>
      </c>
      <c r="D71" s="8">
        <v>6543.2629999999999</v>
      </c>
      <c r="E71" s="8">
        <v>4083.29</v>
      </c>
      <c r="F71" s="8">
        <v>7129.8689999999997</v>
      </c>
      <c r="H71" s="60"/>
    </row>
    <row r="72" spans="1:70" s="1" customFormat="1" x14ac:dyDescent="0.25">
      <c r="A72" s="14">
        <v>2015</v>
      </c>
      <c r="B72" s="8">
        <v>372</v>
      </c>
      <c r="C72" s="8">
        <v>387.24</v>
      </c>
      <c r="D72" s="8">
        <v>6003.8149999999996</v>
      </c>
      <c r="E72" s="8">
        <v>3810.8760000000002</v>
      </c>
      <c r="F72" s="8">
        <v>5698.5159999999996</v>
      </c>
      <c r="H72" s="60"/>
    </row>
    <row r="73" spans="1:70" s="1" customFormat="1" x14ac:dyDescent="0.25">
      <c r="A73" s="14">
        <v>2016</v>
      </c>
      <c r="B73" s="8">
        <v>370</v>
      </c>
      <c r="C73" s="8">
        <v>346.61599999999999</v>
      </c>
      <c r="D73" s="8">
        <v>5906.2629999999999</v>
      </c>
      <c r="E73" s="8">
        <v>3707.34</v>
      </c>
      <c r="F73" s="8">
        <v>7545.7790000000005</v>
      </c>
      <c r="H73" s="60"/>
    </row>
    <row r="74" spans="1:70" s="1" customFormat="1" x14ac:dyDescent="0.25">
      <c r="A74" s="14">
        <v>2017</v>
      </c>
      <c r="B74" s="8">
        <v>401</v>
      </c>
      <c r="C74" s="8">
        <v>321.06</v>
      </c>
      <c r="D74" s="8">
        <v>6355.4480000000003</v>
      </c>
      <c r="E74" s="8">
        <v>5335.55</v>
      </c>
      <c r="F74" s="8">
        <v>8565.5609999999997</v>
      </c>
      <c r="H74" s="60"/>
    </row>
    <row r="75" spans="1:70" s="1" customFormat="1" x14ac:dyDescent="0.25">
      <c r="A75" s="14">
        <v>2018</v>
      </c>
      <c r="B75" s="8">
        <v>355</v>
      </c>
      <c r="C75" s="8">
        <v>437.02</v>
      </c>
      <c r="D75" s="8">
        <v>7094.33</v>
      </c>
      <c r="E75" s="8">
        <v>7508.4030000000002</v>
      </c>
      <c r="F75" s="8">
        <v>6976.6779999999999</v>
      </c>
      <c r="H75" s="60"/>
    </row>
    <row r="76" spans="1:70" s="1" customFormat="1" x14ac:dyDescent="0.25">
      <c r="A76" s="14">
        <v>2019</v>
      </c>
      <c r="B76" s="8">
        <v>352</v>
      </c>
      <c r="C76" s="8">
        <v>413.42700000000002</v>
      </c>
      <c r="D76" s="8">
        <v>10045.366</v>
      </c>
      <c r="E76" s="8">
        <v>8350.3739999999998</v>
      </c>
      <c r="F76" s="8">
        <v>5947.47</v>
      </c>
      <c r="H76" s="60"/>
    </row>
    <row r="77" spans="1:70" s="1" customFormat="1" x14ac:dyDescent="0.25">
      <c r="A77" s="14">
        <v>2020</v>
      </c>
      <c r="B77" s="8">
        <v>349</v>
      </c>
    </row>
    <row r="78" spans="1:7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2" spans="1:70" x14ac:dyDescent="0.25">
      <c r="B82" s="19"/>
      <c r="C82" s="8"/>
    </row>
    <row r="83" spans="1:70" x14ac:dyDescent="0.25">
      <c r="B83" s="19"/>
      <c r="C83" s="8"/>
    </row>
    <row r="84" spans="1:70" x14ac:dyDescent="0.25">
      <c r="B84" s="19"/>
      <c r="C84" s="8"/>
    </row>
    <row r="85" spans="1:70" x14ac:dyDescent="0.25">
      <c r="B85" s="19"/>
      <c r="C85" s="8"/>
    </row>
    <row r="86" spans="1:70" x14ac:dyDescent="0.25">
      <c r="B86" s="19"/>
      <c r="C86" s="8"/>
    </row>
    <row r="87" spans="1:7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R88"/>
  <sheetViews>
    <sheetView zoomScale="83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7" sqref="G47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8" width="20.7109375" style="6" customWidth="1"/>
    <col min="9" max="16384" width="10.7109375" style="6"/>
  </cols>
  <sheetData>
    <row r="1" spans="1:8" s="30" customFormat="1" ht="45" x14ac:dyDescent="0.25">
      <c r="A1" s="29" t="s">
        <v>0</v>
      </c>
      <c r="B1" s="56" t="s">
        <v>5</v>
      </c>
      <c r="C1" s="5" t="s">
        <v>9</v>
      </c>
      <c r="D1" s="54" t="s">
        <v>44</v>
      </c>
      <c r="E1" s="54" t="s">
        <v>6</v>
      </c>
      <c r="F1" s="5" t="s">
        <v>11</v>
      </c>
      <c r="G1" s="5" t="s">
        <v>10</v>
      </c>
      <c r="H1" s="5" t="s">
        <v>31</v>
      </c>
    </row>
    <row r="2" spans="1:8" x14ac:dyDescent="0.25">
      <c r="A2" s="14">
        <v>1945</v>
      </c>
      <c r="C2" s="9"/>
      <c r="D2" s="9"/>
    </row>
    <row r="3" spans="1:8" x14ac:dyDescent="0.25">
      <c r="A3" s="14">
        <v>1946</v>
      </c>
      <c r="C3" s="9"/>
      <c r="D3" s="9"/>
    </row>
    <row r="4" spans="1:8" x14ac:dyDescent="0.25">
      <c r="A4" s="14">
        <v>1947</v>
      </c>
      <c r="C4" s="9"/>
      <c r="E4" s="1">
        <v>0</v>
      </c>
    </row>
    <row r="5" spans="1:8" x14ac:dyDescent="0.25">
      <c r="A5" s="14">
        <v>1948</v>
      </c>
      <c r="C5" s="9"/>
      <c r="D5" s="9"/>
    </row>
    <row r="6" spans="1:8" x14ac:dyDescent="0.25">
      <c r="A6" s="14">
        <v>1949</v>
      </c>
      <c r="C6" s="9"/>
      <c r="D6" s="9"/>
    </row>
    <row r="7" spans="1:8" x14ac:dyDescent="0.25">
      <c r="A7" s="14">
        <v>1950</v>
      </c>
      <c r="B7" s="8">
        <f>43.23+12.37</f>
        <v>55.599999999999994</v>
      </c>
      <c r="C7" s="9"/>
      <c r="D7" s="9"/>
    </row>
    <row r="8" spans="1:8" x14ac:dyDescent="0.25">
      <c r="A8" s="14">
        <v>1951</v>
      </c>
      <c r="C8" s="9"/>
      <c r="D8" s="9"/>
    </row>
    <row r="9" spans="1:8" x14ac:dyDescent="0.25">
      <c r="A9" s="14">
        <v>1952</v>
      </c>
      <c r="B9" s="8">
        <f>27.994+23.667</f>
        <v>51.661000000000001</v>
      </c>
      <c r="C9" s="9"/>
      <c r="D9" s="9"/>
    </row>
    <row r="10" spans="1:8" x14ac:dyDescent="0.25">
      <c r="A10" s="14">
        <v>1953</v>
      </c>
      <c r="B10" s="8">
        <f>29.552+25.651</f>
        <v>55.203000000000003</v>
      </c>
      <c r="C10" s="9"/>
      <c r="D10" s="9"/>
    </row>
    <row r="11" spans="1:8" x14ac:dyDescent="0.25">
      <c r="A11" s="14">
        <v>1954</v>
      </c>
      <c r="B11" s="8">
        <f>28.502+23.427</f>
        <v>51.929000000000002</v>
      </c>
      <c r="C11" s="9"/>
      <c r="D11" s="9"/>
    </row>
    <row r="12" spans="1:8" x14ac:dyDescent="0.25">
      <c r="A12" s="14">
        <v>1955</v>
      </c>
      <c r="B12" s="8">
        <v>51.9</v>
      </c>
      <c r="C12" s="9"/>
      <c r="D12" s="9"/>
    </row>
    <row r="13" spans="1:8" x14ac:dyDescent="0.25">
      <c r="A13" s="14">
        <v>1956</v>
      </c>
      <c r="B13" s="9"/>
      <c r="C13" s="9"/>
      <c r="D13" s="9"/>
    </row>
    <row r="14" spans="1:8" x14ac:dyDescent="0.25">
      <c r="A14" s="14">
        <v>1957</v>
      </c>
      <c r="B14" s="8">
        <f>13.5/100*356.245</f>
        <v>48.093075000000006</v>
      </c>
      <c r="C14" s="9"/>
      <c r="D14" s="9"/>
    </row>
    <row r="15" spans="1:8" x14ac:dyDescent="0.25">
      <c r="A15" s="14">
        <v>1958</v>
      </c>
      <c r="C15" s="9"/>
      <c r="D15" s="9"/>
    </row>
    <row r="16" spans="1:8" x14ac:dyDescent="0.25">
      <c r="A16" s="14">
        <v>1959</v>
      </c>
      <c r="C16" s="9"/>
      <c r="D16" s="9"/>
    </row>
    <row r="17" spans="1:4" x14ac:dyDescent="0.25">
      <c r="A17" s="14">
        <v>1960</v>
      </c>
      <c r="C17" s="9"/>
      <c r="D17" s="9"/>
    </row>
    <row r="18" spans="1:4" x14ac:dyDescent="0.25">
      <c r="A18" s="14">
        <v>1961</v>
      </c>
      <c r="C18" s="9"/>
      <c r="D18" s="9"/>
    </row>
    <row r="19" spans="1:4" x14ac:dyDescent="0.25">
      <c r="A19" s="14">
        <v>1962</v>
      </c>
      <c r="B19" s="8">
        <v>142.80000000000001</v>
      </c>
      <c r="C19" s="9"/>
      <c r="D19" s="9"/>
    </row>
    <row r="20" spans="1:4" x14ac:dyDescent="0.25">
      <c r="A20" s="14">
        <v>1963</v>
      </c>
      <c r="C20" s="9"/>
      <c r="D20" s="9"/>
    </row>
    <row r="21" spans="1:4" x14ac:dyDescent="0.25">
      <c r="A21" s="14">
        <v>1964</v>
      </c>
      <c r="C21" s="9"/>
      <c r="D21" s="9"/>
    </row>
    <row r="22" spans="1:4" x14ac:dyDescent="0.25">
      <c r="A22" s="14">
        <v>1965</v>
      </c>
      <c r="C22" s="9"/>
      <c r="D22" s="9"/>
    </row>
    <row r="23" spans="1:4" x14ac:dyDescent="0.25">
      <c r="A23" s="14">
        <v>1966</v>
      </c>
      <c r="B23" s="8">
        <v>137.1</v>
      </c>
      <c r="C23" s="9"/>
      <c r="D23" s="9"/>
    </row>
    <row r="24" spans="1:4" x14ac:dyDescent="0.25">
      <c r="A24" s="14">
        <v>1967</v>
      </c>
      <c r="C24" s="9"/>
      <c r="D24" s="9"/>
    </row>
    <row r="25" spans="1:4" x14ac:dyDescent="0.25">
      <c r="A25" s="14">
        <v>1968</v>
      </c>
      <c r="B25" s="8">
        <v>159</v>
      </c>
      <c r="C25" s="9"/>
      <c r="D25" s="9"/>
    </row>
    <row r="26" spans="1:4" x14ac:dyDescent="0.25">
      <c r="A26" s="14">
        <v>1969</v>
      </c>
      <c r="C26" s="9"/>
      <c r="D26" s="9"/>
    </row>
    <row r="27" spans="1:4" x14ac:dyDescent="0.25">
      <c r="A27" s="14">
        <v>1970</v>
      </c>
      <c r="B27" s="68">
        <v>150</v>
      </c>
      <c r="D27" s="9"/>
    </row>
    <row r="28" spans="1:4" x14ac:dyDescent="0.25">
      <c r="A28" s="14">
        <v>1971</v>
      </c>
      <c r="B28" s="68">
        <v>159.85</v>
      </c>
      <c r="C28" s="1"/>
      <c r="D28" s="9"/>
    </row>
    <row r="29" spans="1:4" x14ac:dyDescent="0.25">
      <c r="A29" s="14">
        <v>1972</v>
      </c>
      <c r="B29" s="68">
        <v>179.55</v>
      </c>
      <c r="C29" s="1"/>
      <c r="D29" s="9"/>
    </row>
    <row r="30" spans="1:4" x14ac:dyDescent="0.25">
      <c r="A30" s="14">
        <v>1973</v>
      </c>
      <c r="B30" s="68">
        <v>208.79</v>
      </c>
      <c r="C30" s="1"/>
      <c r="D30" s="9"/>
    </row>
    <row r="31" spans="1:4" x14ac:dyDescent="0.25">
      <c r="A31" s="14">
        <v>1974</v>
      </c>
      <c r="B31" s="68">
        <v>233.89</v>
      </c>
      <c r="C31" s="1"/>
      <c r="D31" s="9"/>
    </row>
    <row r="32" spans="1:4" x14ac:dyDescent="0.25">
      <c r="A32" s="14">
        <v>1975</v>
      </c>
      <c r="B32" s="68">
        <v>204.02</v>
      </c>
      <c r="C32" s="1"/>
      <c r="D32" s="9"/>
    </row>
    <row r="33" spans="1:5" x14ac:dyDescent="0.25">
      <c r="A33" s="14">
        <v>1976</v>
      </c>
      <c r="B33" s="68">
        <v>225.31</v>
      </c>
      <c r="C33" s="1"/>
      <c r="D33" s="9"/>
    </row>
    <row r="34" spans="1:5" x14ac:dyDescent="0.25">
      <c r="A34" s="14">
        <v>1977</v>
      </c>
      <c r="B34" s="68">
        <v>248.19</v>
      </c>
      <c r="C34" s="1"/>
      <c r="D34" s="9"/>
    </row>
    <row r="35" spans="1:5" x14ac:dyDescent="0.25">
      <c r="A35" s="14">
        <v>1978</v>
      </c>
      <c r="B35" s="68">
        <v>263.45</v>
      </c>
      <c r="C35" s="1"/>
      <c r="D35" s="9"/>
    </row>
    <row r="36" spans="1:5" x14ac:dyDescent="0.25">
      <c r="A36" s="14">
        <v>1979</v>
      </c>
      <c r="B36" s="68">
        <v>300.63</v>
      </c>
      <c r="C36" s="1"/>
      <c r="D36" s="9"/>
    </row>
    <row r="37" spans="1:5" x14ac:dyDescent="0.25">
      <c r="A37" s="14">
        <v>1980</v>
      </c>
      <c r="B37" s="68">
        <v>317.79000000000002</v>
      </c>
      <c r="C37" s="1"/>
      <c r="D37" s="9"/>
    </row>
    <row r="38" spans="1:5" x14ac:dyDescent="0.25">
      <c r="A38" s="14">
        <v>1981</v>
      </c>
      <c r="B38" s="68">
        <v>333.36</v>
      </c>
      <c r="C38" s="1"/>
      <c r="D38" s="9"/>
    </row>
    <row r="39" spans="1:5" x14ac:dyDescent="0.25">
      <c r="A39" s="14">
        <v>1982</v>
      </c>
      <c r="B39" s="68">
        <v>332.41</v>
      </c>
      <c r="C39" s="1"/>
      <c r="D39" s="9"/>
    </row>
    <row r="40" spans="1:5" x14ac:dyDescent="0.25">
      <c r="A40" s="14">
        <v>1983</v>
      </c>
      <c r="B40" s="68">
        <v>358.47</v>
      </c>
      <c r="C40" s="1"/>
      <c r="D40" s="9"/>
    </row>
    <row r="41" spans="1:5" x14ac:dyDescent="0.25">
      <c r="A41" s="14">
        <v>1984</v>
      </c>
      <c r="B41" s="68">
        <v>381.67</v>
      </c>
      <c r="C41" s="1"/>
    </row>
    <row r="42" spans="1:5" x14ac:dyDescent="0.25">
      <c r="A42" s="14">
        <v>1985</v>
      </c>
      <c r="B42" s="68">
        <v>395.65</v>
      </c>
      <c r="C42" s="1"/>
    </row>
    <row r="43" spans="1:5" x14ac:dyDescent="0.25">
      <c r="A43" s="14">
        <v>1986</v>
      </c>
      <c r="B43" s="68">
        <v>360.69</v>
      </c>
      <c r="C43" s="1"/>
    </row>
    <row r="44" spans="1:5" x14ac:dyDescent="0.25">
      <c r="A44" s="14">
        <v>1987</v>
      </c>
      <c r="B44" s="68">
        <v>382.94</v>
      </c>
      <c r="C44" s="1"/>
    </row>
    <row r="45" spans="1:5" x14ac:dyDescent="0.25">
      <c r="A45" s="14">
        <v>1988</v>
      </c>
    </row>
    <row r="46" spans="1:5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</row>
    <row r="47" spans="1:5" x14ac:dyDescent="0.25">
      <c r="A47" s="14">
        <v>1990</v>
      </c>
      <c r="B47" s="8">
        <f t="shared" ref="B47:B50" si="0">2500*0.002*C47/1000</f>
        <v>317.02499999999998</v>
      </c>
      <c r="C47" s="8">
        <v>63405</v>
      </c>
      <c r="D47" s="8">
        <v>2020</v>
      </c>
      <c r="E47" s="8">
        <f t="shared" ref="E47:E50" si="1">D47/3</f>
        <v>673.33333333333337</v>
      </c>
    </row>
    <row r="48" spans="1:5" x14ac:dyDescent="0.25">
      <c r="A48" s="14">
        <v>1991</v>
      </c>
      <c r="B48" s="8">
        <f t="shared" si="0"/>
        <v>267.315</v>
      </c>
      <c r="C48" s="8">
        <f>524+52939</f>
        <v>53463</v>
      </c>
      <c r="D48" s="8">
        <v>1528</v>
      </c>
      <c r="E48" s="8">
        <f t="shared" si="1"/>
        <v>509.33333333333331</v>
      </c>
    </row>
    <row r="49" spans="1:8" x14ac:dyDescent="0.25">
      <c r="A49" s="14">
        <v>1992</v>
      </c>
      <c r="B49" s="8">
        <f t="shared" si="0"/>
        <v>296.16500000000002</v>
      </c>
      <c r="C49" s="8">
        <f>678+58555</f>
        <v>59233</v>
      </c>
      <c r="D49" s="8">
        <v>1518</v>
      </c>
      <c r="E49" s="8">
        <f t="shared" si="1"/>
        <v>506</v>
      </c>
    </row>
    <row r="50" spans="1:8" x14ac:dyDescent="0.25">
      <c r="A50" s="14">
        <v>1993</v>
      </c>
      <c r="B50" s="8">
        <f t="shared" si="0"/>
        <v>313.42500000000001</v>
      </c>
      <c r="C50" s="8">
        <f>590+62095</f>
        <v>62685</v>
      </c>
      <c r="D50" s="8">
        <v>1844</v>
      </c>
      <c r="E50" s="8">
        <f t="shared" si="1"/>
        <v>614.66666666666663</v>
      </c>
    </row>
    <row r="51" spans="1:8" x14ac:dyDescent="0.25">
      <c r="A51" s="14">
        <v>1994</v>
      </c>
      <c r="B51" s="8">
        <f>0.191*1900</f>
        <v>362.90000000000003</v>
      </c>
    </row>
    <row r="52" spans="1:8" x14ac:dyDescent="0.25">
      <c r="A52" s="14">
        <v>1995</v>
      </c>
      <c r="B52" s="8">
        <v>263.60715000000005</v>
      </c>
      <c r="D52" s="62"/>
      <c r="E52" s="9">
        <v>685.298</v>
      </c>
      <c r="F52" s="9">
        <v>320.93</v>
      </c>
      <c r="G52" s="9">
        <v>1162.2539999999999</v>
      </c>
    </row>
    <row r="53" spans="1:8" x14ac:dyDescent="0.25">
      <c r="A53" s="14">
        <v>1996</v>
      </c>
      <c r="B53" s="8">
        <v>297.09339499999999</v>
      </c>
      <c r="E53" s="9">
        <v>765.65300000000002</v>
      </c>
      <c r="F53" s="9">
        <v>469.85300000000001</v>
      </c>
      <c r="G53" s="9">
        <v>1171.4590000000001</v>
      </c>
      <c r="H53" s="9">
        <v>8358.1959999999999</v>
      </c>
    </row>
    <row r="54" spans="1:8" x14ac:dyDescent="0.25">
      <c r="A54" s="14">
        <v>1997</v>
      </c>
      <c r="B54" s="8">
        <v>335.95051499999994</v>
      </c>
      <c r="E54" s="9">
        <v>654.58600000000001</v>
      </c>
      <c r="F54" s="9">
        <v>719.23299999999995</v>
      </c>
      <c r="G54" s="9">
        <v>1348.1369999999999</v>
      </c>
      <c r="H54" s="9">
        <v>8556.0049999999992</v>
      </c>
    </row>
    <row r="55" spans="1:8" x14ac:dyDescent="0.25">
      <c r="A55" s="14">
        <v>1998</v>
      </c>
      <c r="B55" s="8">
        <v>322.95862500000004</v>
      </c>
      <c r="E55" s="9">
        <v>469.65499999999997</v>
      </c>
      <c r="F55" s="9">
        <v>1594.3130000000001</v>
      </c>
      <c r="G55" s="9">
        <v>1201.1310000000001</v>
      </c>
      <c r="H55" s="9">
        <v>8184.0649999999996</v>
      </c>
    </row>
    <row r="56" spans="1:8" x14ac:dyDescent="0.25">
      <c r="A56" s="14">
        <v>1999</v>
      </c>
      <c r="B56" s="8">
        <v>303.11563000000001</v>
      </c>
      <c r="E56" s="9">
        <v>281.13200000000001</v>
      </c>
      <c r="F56" s="9">
        <v>1488.356</v>
      </c>
      <c r="G56" s="9">
        <v>1173.105</v>
      </c>
      <c r="H56" s="9">
        <v>4940.4719999999998</v>
      </c>
    </row>
    <row r="57" spans="1:8" x14ac:dyDescent="0.25">
      <c r="A57" s="14">
        <v>2000</v>
      </c>
      <c r="B57" s="8">
        <v>305.002365</v>
      </c>
      <c r="E57" s="9">
        <v>268.596</v>
      </c>
      <c r="F57" s="9">
        <v>949.30399999999997</v>
      </c>
      <c r="G57" s="9">
        <v>1237.885</v>
      </c>
      <c r="H57" s="9">
        <v>4888.8850000000002</v>
      </c>
    </row>
    <row r="58" spans="1:8" x14ac:dyDescent="0.25">
      <c r="A58" s="14">
        <v>2001</v>
      </c>
      <c r="B58" s="8">
        <v>288.50876499999993</v>
      </c>
      <c r="E58" s="9">
        <v>169.071</v>
      </c>
      <c r="F58" s="9">
        <v>470.435</v>
      </c>
      <c r="G58" s="9">
        <v>1432.3889999999999</v>
      </c>
      <c r="H58" s="9">
        <v>4584.5640000000003</v>
      </c>
    </row>
    <row r="59" spans="1:8" x14ac:dyDescent="0.25">
      <c r="A59" s="14">
        <v>2002</v>
      </c>
      <c r="B59" s="8">
        <v>382.51540500000004</v>
      </c>
      <c r="E59" s="9">
        <v>284.79199999999997</v>
      </c>
      <c r="F59" s="9">
        <v>822.06100000000004</v>
      </c>
      <c r="G59" s="9">
        <v>1613.0530000000001</v>
      </c>
      <c r="H59" s="9">
        <v>7137.2579999999998</v>
      </c>
    </row>
    <row r="60" spans="1:8" x14ac:dyDescent="0.25">
      <c r="A60" s="14">
        <v>2003</v>
      </c>
      <c r="B60" s="8">
        <f>0.32*937.14</f>
        <v>299.88479999999998</v>
      </c>
      <c r="E60" s="9">
        <v>317.03800000000001</v>
      </c>
      <c r="F60" s="9">
        <v>642.14</v>
      </c>
      <c r="G60" s="9">
        <v>1662.3869999999999</v>
      </c>
      <c r="H60" s="9">
        <v>8209.3819999999996</v>
      </c>
    </row>
    <row r="61" spans="1:8" x14ac:dyDescent="0.25">
      <c r="A61" s="14">
        <v>2004</v>
      </c>
      <c r="B61" s="8">
        <v>370</v>
      </c>
      <c r="E61" s="9">
        <v>320.613</v>
      </c>
      <c r="F61" s="9">
        <v>688.61400000000003</v>
      </c>
      <c r="G61" s="9">
        <v>1574.7950000000001</v>
      </c>
      <c r="H61" s="9">
        <v>6358.19</v>
      </c>
    </row>
    <row r="62" spans="1:8" x14ac:dyDescent="0.25">
      <c r="A62" s="14">
        <v>2005</v>
      </c>
      <c r="B62" s="8">
        <v>371.43020500000006</v>
      </c>
      <c r="E62" s="9">
        <v>459.02699999999999</v>
      </c>
      <c r="F62" s="9">
        <v>996.48199999999997</v>
      </c>
      <c r="G62" s="9">
        <v>1585.972</v>
      </c>
      <c r="H62" s="9">
        <v>7072.6540000000005</v>
      </c>
    </row>
    <row r="63" spans="1:8" x14ac:dyDescent="0.25">
      <c r="A63" s="14">
        <v>2006</v>
      </c>
      <c r="B63" s="8">
        <f>0.32*1151.222</f>
        <v>368.39103999999998</v>
      </c>
      <c r="E63" s="9">
        <v>497.476</v>
      </c>
      <c r="F63" s="9">
        <v>1451.921</v>
      </c>
      <c r="G63" s="9">
        <v>1912.742</v>
      </c>
      <c r="H63" s="9">
        <v>10086.553</v>
      </c>
    </row>
    <row r="64" spans="1:8" x14ac:dyDescent="0.25">
      <c r="A64" s="14">
        <v>2007</v>
      </c>
      <c r="B64" s="8">
        <f>0.28*1154.847</f>
        <v>323.35716000000002</v>
      </c>
      <c r="E64" s="9">
        <v>459.43</v>
      </c>
      <c r="F64" s="9">
        <v>2011.7090000000001</v>
      </c>
      <c r="G64" s="9">
        <v>2279.8539999999998</v>
      </c>
      <c r="H64" s="9">
        <v>11111.138000000001</v>
      </c>
    </row>
    <row r="65" spans="1:70" x14ac:dyDescent="0.25">
      <c r="A65" s="14">
        <v>2008</v>
      </c>
      <c r="B65" s="8">
        <f>0.36*992.96</f>
        <v>357.46559999999999</v>
      </c>
      <c r="E65" s="9">
        <v>482.06700000000001</v>
      </c>
      <c r="F65" s="9">
        <v>2247.4259999999999</v>
      </c>
      <c r="G65" s="9">
        <v>1850.7639999999999</v>
      </c>
      <c r="H65" s="9">
        <v>11390.635</v>
      </c>
    </row>
    <row r="66" spans="1:70" x14ac:dyDescent="0.25">
      <c r="A66" s="14">
        <v>2009</v>
      </c>
      <c r="B66" s="8">
        <v>290.88218999999998</v>
      </c>
      <c r="E66" s="9">
        <v>415.94900000000001</v>
      </c>
      <c r="F66" s="9">
        <v>2851.9110000000001</v>
      </c>
      <c r="G66" s="9">
        <v>1634.904</v>
      </c>
      <c r="H66" s="9">
        <v>10575.946</v>
      </c>
    </row>
    <row r="67" spans="1:70" x14ac:dyDescent="0.25">
      <c r="A67" s="14">
        <v>2010</v>
      </c>
      <c r="B67" s="8">
        <v>302.57254499999993</v>
      </c>
      <c r="E67" s="9">
        <v>492.572</v>
      </c>
      <c r="F67" s="9">
        <v>3346.4029999999998</v>
      </c>
      <c r="G67" s="9">
        <v>1666.403</v>
      </c>
      <c r="H67" s="9">
        <v>9127.5490000000009</v>
      </c>
    </row>
    <row r="68" spans="1:70" x14ac:dyDescent="0.25">
      <c r="A68" s="14">
        <v>2011</v>
      </c>
      <c r="B68" s="8">
        <v>362.22924499999993</v>
      </c>
      <c r="E68" s="9">
        <v>405.72899999999998</v>
      </c>
      <c r="F68" s="9">
        <v>3783.5909999999999</v>
      </c>
      <c r="G68" s="9">
        <v>1713.635</v>
      </c>
      <c r="H68" s="9">
        <v>14093.241</v>
      </c>
    </row>
    <row r="69" spans="1:70" x14ac:dyDescent="0.25">
      <c r="A69" s="14">
        <v>2012</v>
      </c>
      <c r="B69" s="8">
        <v>297.21083499999997</v>
      </c>
      <c r="E69" s="9">
        <v>429.05399999999997</v>
      </c>
      <c r="F69" s="9">
        <v>2384.326</v>
      </c>
      <c r="G69" s="9">
        <v>2062.5659999999998</v>
      </c>
      <c r="H69" s="9">
        <v>10293.34</v>
      </c>
    </row>
    <row r="70" spans="1:70" x14ac:dyDescent="0.25">
      <c r="A70" s="14">
        <v>2013</v>
      </c>
      <c r="B70" s="8">
        <v>296.03326999999996</v>
      </c>
      <c r="E70" s="9">
        <v>462.90199999999999</v>
      </c>
      <c r="F70" s="9">
        <v>2389.482</v>
      </c>
      <c r="G70" s="9">
        <v>1346.424</v>
      </c>
      <c r="H70" s="9">
        <v>8659.35</v>
      </c>
    </row>
    <row r="71" spans="1:70" x14ac:dyDescent="0.25">
      <c r="A71" s="14">
        <v>2014</v>
      </c>
      <c r="B71" s="8">
        <v>283.83809999999994</v>
      </c>
      <c r="E71" s="9">
        <v>498.60500000000002</v>
      </c>
      <c r="F71" s="9">
        <v>3164.163</v>
      </c>
      <c r="G71" s="9">
        <v>1557.3989999999999</v>
      </c>
      <c r="H71" s="9">
        <v>7399.1779999999999</v>
      </c>
    </row>
    <row r="72" spans="1:70" x14ac:dyDescent="0.25">
      <c r="A72" s="14">
        <v>2015</v>
      </c>
      <c r="B72" s="8">
        <v>291.22283499999998</v>
      </c>
      <c r="E72" s="9">
        <v>476.73</v>
      </c>
      <c r="F72" s="9">
        <v>3996.3409999999999</v>
      </c>
      <c r="G72" s="9">
        <v>1356.471</v>
      </c>
      <c r="H72" s="9">
        <v>6387.3689999999997</v>
      </c>
    </row>
    <row r="73" spans="1:70" x14ac:dyDescent="0.25">
      <c r="A73" s="14">
        <v>2016</v>
      </c>
      <c r="B73" s="8">
        <v>300.83696999999989</v>
      </c>
      <c r="E73" s="9">
        <v>507.42700000000002</v>
      </c>
      <c r="F73" s="9">
        <v>3935.7730000000001</v>
      </c>
      <c r="G73" s="9">
        <v>1874.9659999999999</v>
      </c>
      <c r="H73" s="9">
        <v>6282.6149999999998</v>
      </c>
    </row>
    <row r="74" spans="1:70" x14ac:dyDescent="0.25">
      <c r="A74" s="14">
        <v>2017</v>
      </c>
      <c r="B74" s="8">
        <v>333.30807000000004</v>
      </c>
      <c r="E74" s="9">
        <v>630.41999999999996</v>
      </c>
      <c r="F74" s="9">
        <v>4064.4549999999999</v>
      </c>
      <c r="G74" s="9">
        <v>1724.53</v>
      </c>
      <c r="H74" s="9">
        <v>6541.6959999999999</v>
      </c>
    </row>
    <row r="75" spans="1:70" x14ac:dyDescent="0.25">
      <c r="A75" s="14">
        <v>2018</v>
      </c>
      <c r="B75" s="8">
        <v>349.18344500000001</v>
      </c>
      <c r="E75" s="9">
        <v>651.88099999999997</v>
      </c>
      <c r="F75" s="9">
        <v>4240.027</v>
      </c>
      <c r="G75" s="9">
        <v>2437.5100000000002</v>
      </c>
      <c r="H75" s="9">
        <v>5952.5780000000004</v>
      </c>
    </row>
    <row r="76" spans="1:70" x14ac:dyDescent="0.25">
      <c r="A76" s="14">
        <v>2019</v>
      </c>
      <c r="B76" s="8">
        <v>451.41748000000001</v>
      </c>
      <c r="E76" s="9">
        <v>820.09100000000001</v>
      </c>
      <c r="F76" s="9">
        <v>4533.4740000000002</v>
      </c>
      <c r="G76" s="9">
        <v>1895.3720000000001</v>
      </c>
      <c r="H76" s="9">
        <v>6887.3760000000002</v>
      </c>
    </row>
    <row r="77" spans="1:70" x14ac:dyDescent="0.25">
      <c r="A77" s="14">
        <v>2020</v>
      </c>
    </row>
    <row r="78" spans="1:70" s="4" customFormat="1" x14ac:dyDescent="0.25">
      <c r="A78" s="13"/>
      <c r="B78" s="8"/>
      <c r="C78" s="8"/>
      <c r="D78" s="8"/>
      <c r="E78" s="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13"/>
      <c r="B79" s="8"/>
      <c r="C79" s="8"/>
      <c r="D79" s="8"/>
      <c r="E79" s="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13"/>
      <c r="B80" s="8"/>
      <c r="C80" s="8"/>
      <c r="D80" s="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7" spans="1:70" s="4" customFormat="1" x14ac:dyDescent="0.25">
      <c r="A87" s="13"/>
      <c r="B87" s="8"/>
      <c r="C87" s="8"/>
      <c r="D87" s="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13"/>
      <c r="B88" s="8"/>
      <c r="C88" s="8"/>
      <c r="D88" s="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topLeftCell="A10"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28</v>
      </c>
      <c r="D1" s="5" t="s">
        <v>29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R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ColWidth="10.7109375" defaultRowHeight="15" x14ac:dyDescent="0.25"/>
  <cols>
    <col min="1" max="1" width="8" style="49" bestFit="1" customWidth="1"/>
    <col min="2" max="9" width="15.140625" style="46" customWidth="1"/>
    <col min="10" max="16384" width="10.7109375" style="46"/>
  </cols>
  <sheetData>
    <row r="1" spans="1:9" s="53" customFormat="1" ht="45" x14ac:dyDescent="0.25">
      <c r="A1" s="52" t="s">
        <v>0</v>
      </c>
      <c r="B1" s="44" t="s">
        <v>59</v>
      </c>
      <c r="C1" s="44" t="s">
        <v>60</v>
      </c>
      <c r="D1" s="44" t="s">
        <v>15</v>
      </c>
      <c r="E1" s="44" t="s">
        <v>61</v>
      </c>
      <c r="F1" s="44" t="s">
        <v>42</v>
      </c>
      <c r="G1" s="44" t="s">
        <v>13</v>
      </c>
      <c r="H1" s="44" t="s">
        <v>14</v>
      </c>
      <c r="I1" s="44" t="s">
        <v>16</v>
      </c>
    </row>
    <row r="2" spans="1:9" x14ac:dyDescent="0.25">
      <c r="A2" s="21">
        <v>1945</v>
      </c>
      <c r="B2" s="47">
        <v>0.22</v>
      </c>
      <c r="C2" s="47">
        <v>0.19</v>
      </c>
      <c r="D2" s="47">
        <v>0.61</v>
      </c>
      <c r="E2" s="47">
        <v>0.19</v>
      </c>
      <c r="F2" s="47">
        <v>0.03</v>
      </c>
      <c r="G2" s="47">
        <v>0.08</v>
      </c>
      <c r="H2" s="47">
        <v>0.12</v>
      </c>
      <c r="I2" s="47">
        <v>0.02</v>
      </c>
    </row>
    <row r="3" spans="1:9" x14ac:dyDescent="0.25">
      <c r="A3" s="21">
        <v>1946</v>
      </c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21">
        <v>1947</v>
      </c>
      <c r="B4" s="47"/>
      <c r="C4" s="47"/>
      <c r="D4" s="47"/>
      <c r="E4" s="47"/>
      <c r="F4" s="47"/>
      <c r="G4" s="47"/>
      <c r="H4" s="47"/>
      <c r="I4" s="47"/>
    </row>
    <row r="5" spans="1:9" x14ac:dyDescent="0.25">
      <c r="A5" s="21">
        <v>1948</v>
      </c>
      <c r="B5" s="47"/>
      <c r="C5" s="47"/>
      <c r="D5" s="47"/>
      <c r="E5" s="47"/>
      <c r="F5" s="47"/>
      <c r="G5" s="47"/>
      <c r="H5" s="47"/>
      <c r="I5" s="47"/>
    </row>
    <row r="6" spans="1:9" x14ac:dyDescent="0.25">
      <c r="A6" s="21">
        <v>1949</v>
      </c>
      <c r="B6" s="47"/>
      <c r="C6" s="47"/>
      <c r="D6" s="47"/>
      <c r="E6" s="47"/>
      <c r="F6" s="47"/>
      <c r="G6" s="47"/>
      <c r="H6" s="47"/>
      <c r="I6" s="47"/>
    </row>
    <row r="7" spans="1:9" x14ac:dyDescent="0.25">
      <c r="A7" s="21">
        <v>1950</v>
      </c>
      <c r="B7" s="47"/>
      <c r="C7" s="47"/>
      <c r="D7" s="47"/>
      <c r="E7" s="47"/>
      <c r="F7" s="47"/>
      <c r="G7" s="47"/>
      <c r="H7" s="47"/>
      <c r="I7" s="47"/>
    </row>
    <row r="8" spans="1:9" x14ac:dyDescent="0.25">
      <c r="A8" s="21">
        <v>1951</v>
      </c>
      <c r="B8" s="47"/>
      <c r="C8" s="47"/>
      <c r="D8" s="47"/>
      <c r="E8" s="47"/>
      <c r="F8" s="47"/>
      <c r="G8" s="47"/>
      <c r="H8" s="47"/>
      <c r="I8" s="47"/>
    </row>
    <row r="9" spans="1:9" x14ac:dyDescent="0.25">
      <c r="A9" s="21">
        <v>1952</v>
      </c>
      <c r="B9" s="47"/>
      <c r="C9" s="47"/>
      <c r="D9" s="47"/>
      <c r="E9" s="47"/>
      <c r="F9" s="47"/>
      <c r="G9" s="47"/>
      <c r="H9" s="47"/>
      <c r="I9" s="47"/>
    </row>
    <row r="10" spans="1:9" x14ac:dyDescent="0.25">
      <c r="A10" s="21">
        <v>1953</v>
      </c>
      <c r="B10" s="47"/>
      <c r="C10" s="47"/>
      <c r="D10" s="47"/>
      <c r="E10" s="47"/>
      <c r="F10" s="47"/>
      <c r="G10" s="47"/>
      <c r="H10" s="47"/>
      <c r="I10" s="47"/>
    </row>
    <row r="11" spans="1:9" x14ac:dyDescent="0.25">
      <c r="A11" s="21">
        <v>1954</v>
      </c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A12" s="21">
        <v>1955</v>
      </c>
      <c r="B12" s="47"/>
      <c r="C12" s="47"/>
      <c r="D12" s="47"/>
      <c r="E12" s="47"/>
      <c r="F12" s="47"/>
      <c r="G12" s="47"/>
      <c r="H12" s="47"/>
      <c r="I12" s="47"/>
    </row>
    <row r="13" spans="1:9" x14ac:dyDescent="0.25">
      <c r="A13" s="21">
        <v>1956</v>
      </c>
      <c r="B13" s="47"/>
      <c r="C13" s="47"/>
      <c r="D13" s="47"/>
      <c r="E13" s="47"/>
      <c r="F13" s="47"/>
      <c r="G13" s="47"/>
      <c r="H13" s="47"/>
      <c r="I13" s="47"/>
    </row>
    <row r="14" spans="1:9" x14ac:dyDescent="0.25">
      <c r="A14" s="21">
        <v>1957</v>
      </c>
      <c r="B14" s="47"/>
      <c r="C14" s="47"/>
      <c r="D14" s="47"/>
      <c r="E14" s="47"/>
      <c r="F14" s="47"/>
      <c r="G14" s="47"/>
      <c r="H14" s="47"/>
      <c r="I14" s="47"/>
    </row>
    <row r="15" spans="1:9" x14ac:dyDescent="0.25">
      <c r="A15" s="21">
        <v>1958</v>
      </c>
      <c r="B15" s="47"/>
      <c r="C15" s="47"/>
      <c r="D15" s="47"/>
      <c r="E15" s="47"/>
      <c r="F15" s="47"/>
      <c r="G15" s="47"/>
      <c r="H15" s="47"/>
      <c r="I15" s="47"/>
    </row>
    <row r="16" spans="1:9" x14ac:dyDescent="0.25">
      <c r="A16" s="21">
        <v>1959</v>
      </c>
      <c r="B16" s="47"/>
      <c r="C16" s="47"/>
      <c r="D16" s="47"/>
      <c r="E16" s="47"/>
      <c r="F16" s="47"/>
      <c r="G16" s="47"/>
      <c r="H16" s="47"/>
      <c r="I16" s="47"/>
    </row>
    <row r="17" spans="1:9" x14ac:dyDescent="0.25">
      <c r="A17" s="21">
        <v>1960</v>
      </c>
      <c r="B17" s="47"/>
      <c r="C17" s="47"/>
      <c r="D17" s="47"/>
      <c r="E17" s="47"/>
      <c r="F17" s="47"/>
      <c r="G17" s="47"/>
      <c r="H17" s="47"/>
      <c r="I17" s="47"/>
    </row>
    <row r="18" spans="1:9" x14ac:dyDescent="0.25">
      <c r="A18" s="21">
        <v>1961</v>
      </c>
      <c r="B18" s="47"/>
      <c r="C18" s="47"/>
      <c r="D18" s="47"/>
      <c r="E18" s="47"/>
      <c r="F18" s="47"/>
      <c r="G18" s="47"/>
      <c r="H18" s="47"/>
      <c r="I18" s="47"/>
    </row>
    <row r="19" spans="1:9" x14ac:dyDescent="0.25">
      <c r="A19" s="21">
        <v>1962</v>
      </c>
      <c r="B19" s="47"/>
      <c r="C19" s="47"/>
      <c r="D19" s="47"/>
      <c r="E19" s="47"/>
      <c r="F19" s="47"/>
      <c r="G19" s="47"/>
      <c r="H19" s="47"/>
      <c r="I19" s="47"/>
    </row>
    <row r="20" spans="1:9" x14ac:dyDescent="0.25">
      <c r="A20" s="21">
        <v>1963</v>
      </c>
      <c r="B20" s="47"/>
      <c r="C20" s="47"/>
      <c r="D20" s="47"/>
      <c r="E20" s="47"/>
      <c r="F20" s="47"/>
      <c r="G20" s="47"/>
      <c r="H20" s="47"/>
      <c r="I20" s="47"/>
    </row>
    <row r="21" spans="1:9" x14ac:dyDescent="0.25">
      <c r="A21" s="21">
        <v>1964</v>
      </c>
      <c r="B21" s="47"/>
      <c r="C21" s="47"/>
      <c r="D21" s="47"/>
      <c r="E21" s="47"/>
      <c r="F21" s="47"/>
      <c r="G21" s="47"/>
      <c r="H21" s="47"/>
      <c r="I21" s="47"/>
    </row>
    <row r="22" spans="1:9" x14ac:dyDescent="0.25">
      <c r="A22" s="21">
        <v>1965</v>
      </c>
      <c r="B22" s="47">
        <v>0.22</v>
      </c>
      <c r="C22" s="47">
        <v>0.19</v>
      </c>
      <c r="D22" s="47">
        <v>0.61</v>
      </c>
      <c r="E22" s="47">
        <v>0.19</v>
      </c>
      <c r="F22" s="47">
        <v>0.03</v>
      </c>
      <c r="G22" s="47">
        <v>0.08</v>
      </c>
      <c r="H22" s="47">
        <v>0.12</v>
      </c>
      <c r="I22" s="47">
        <v>0.02</v>
      </c>
    </row>
    <row r="23" spans="1:9" x14ac:dyDescent="0.25">
      <c r="A23" s="21">
        <v>1966</v>
      </c>
      <c r="B23" s="47"/>
      <c r="C23" s="47"/>
      <c r="D23" s="47"/>
      <c r="E23" s="47"/>
      <c r="F23" s="47"/>
      <c r="G23" s="47"/>
      <c r="H23" s="47"/>
      <c r="I23" s="47"/>
    </row>
    <row r="24" spans="1:9" x14ac:dyDescent="0.25">
      <c r="A24" s="21">
        <v>1967</v>
      </c>
      <c r="B24" s="47"/>
      <c r="C24" s="47"/>
      <c r="D24" s="47"/>
      <c r="E24" s="47"/>
      <c r="F24" s="47"/>
      <c r="G24" s="47"/>
      <c r="H24" s="47"/>
      <c r="I24" s="47"/>
    </row>
    <row r="25" spans="1:9" x14ac:dyDescent="0.25">
      <c r="A25" s="21">
        <v>1968</v>
      </c>
      <c r="B25" s="47"/>
      <c r="C25" s="47"/>
      <c r="D25" s="47"/>
      <c r="E25" s="47"/>
      <c r="F25" s="47"/>
      <c r="G25" s="47"/>
      <c r="H25" s="47"/>
      <c r="I25" s="47"/>
    </row>
    <row r="26" spans="1:9" x14ac:dyDescent="0.25">
      <c r="A26" s="21">
        <v>1969</v>
      </c>
    </row>
    <row r="27" spans="1:9" x14ac:dyDescent="0.25">
      <c r="A27" s="21">
        <v>1970</v>
      </c>
    </row>
    <row r="28" spans="1:9" x14ac:dyDescent="0.25">
      <c r="A28" s="21">
        <v>1971</v>
      </c>
      <c r="B28" s="47"/>
      <c r="C28" s="47"/>
      <c r="D28" s="47"/>
      <c r="E28" s="47"/>
      <c r="F28" s="47"/>
      <c r="G28" s="47"/>
      <c r="H28" s="47"/>
      <c r="I28" s="47"/>
    </row>
    <row r="29" spans="1:9" x14ac:dyDescent="0.25">
      <c r="A29" s="21">
        <v>1972</v>
      </c>
      <c r="B29" s="47"/>
      <c r="C29" s="47"/>
      <c r="D29" s="47"/>
      <c r="E29" s="47"/>
      <c r="F29" s="47"/>
      <c r="G29" s="47"/>
      <c r="H29" s="47"/>
      <c r="I29" s="47"/>
    </row>
    <row r="30" spans="1:9" x14ac:dyDescent="0.25">
      <c r="A30" s="21">
        <v>1973</v>
      </c>
      <c r="B30" s="47"/>
      <c r="C30" s="47"/>
      <c r="D30" s="47"/>
      <c r="E30" s="47"/>
      <c r="F30" s="47"/>
      <c r="G30" s="47"/>
      <c r="H30" s="47"/>
      <c r="I30" s="47"/>
    </row>
    <row r="31" spans="1:9" x14ac:dyDescent="0.25">
      <c r="A31" s="21">
        <v>1974</v>
      </c>
    </row>
    <row r="32" spans="1:9" x14ac:dyDescent="0.25">
      <c r="A32" s="21">
        <v>1975</v>
      </c>
      <c r="B32" s="47">
        <v>0.16</v>
      </c>
      <c r="C32" s="47">
        <v>0.21</v>
      </c>
      <c r="D32" s="47">
        <v>0.53</v>
      </c>
      <c r="E32" s="47">
        <v>0.16</v>
      </c>
      <c r="F32" s="47">
        <v>0.01</v>
      </c>
      <c r="G32" s="47">
        <v>0.06</v>
      </c>
      <c r="H32" s="47">
        <v>0.12</v>
      </c>
      <c r="I32" s="47">
        <v>0.04</v>
      </c>
    </row>
    <row r="33" spans="1:9" x14ac:dyDescent="0.25">
      <c r="A33" s="21">
        <v>1976</v>
      </c>
      <c r="B33" s="47"/>
      <c r="C33" s="47"/>
      <c r="D33" s="47"/>
      <c r="E33" s="47"/>
      <c r="F33" s="47"/>
      <c r="G33" s="47"/>
      <c r="H33" s="47"/>
      <c r="I33" s="47"/>
    </row>
    <row r="34" spans="1:9" x14ac:dyDescent="0.25">
      <c r="A34" s="21">
        <v>1977</v>
      </c>
      <c r="B34" s="47"/>
      <c r="C34" s="47"/>
      <c r="D34" s="47"/>
      <c r="E34" s="47"/>
      <c r="F34" s="47"/>
      <c r="G34" s="47"/>
      <c r="H34" s="47"/>
      <c r="I34" s="47"/>
    </row>
    <row r="35" spans="1:9" x14ac:dyDescent="0.25">
      <c r="A35" s="21">
        <v>1978</v>
      </c>
      <c r="B35" s="47"/>
      <c r="C35" s="47"/>
      <c r="D35" s="47"/>
      <c r="E35" s="47"/>
      <c r="F35" s="47"/>
      <c r="G35" s="47"/>
      <c r="H35" s="47"/>
      <c r="I35" s="47"/>
    </row>
    <row r="36" spans="1:9" x14ac:dyDescent="0.25">
      <c r="A36" s="21">
        <v>1979</v>
      </c>
      <c r="B36" s="47"/>
      <c r="C36" s="47"/>
      <c r="D36" s="47"/>
      <c r="E36" s="47"/>
      <c r="F36" s="47"/>
      <c r="G36" s="47"/>
      <c r="H36" s="47"/>
      <c r="I36" s="47"/>
    </row>
    <row r="37" spans="1:9" x14ac:dyDescent="0.25">
      <c r="A37" s="21">
        <v>1980</v>
      </c>
      <c r="B37" s="47"/>
      <c r="C37" s="47"/>
      <c r="D37" s="47"/>
      <c r="E37" s="47"/>
      <c r="F37" s="47"/>
      <c r="G37" s="47"/>
      <c r="H37" s="47"/>
      <c r="I37" s="47"/>
    </row>
    <row r="38" spans="1:9" x14ac:dyDescent="0.25">
      <c r="A38" s="21">
        <v>1981</v>
      </c>
      <c r="B38" s="47"/>
      <c r="C38" s="47"/>
      <c r="D38" s="47"/>
      <c r="E38" s="47"/>
      <c r="F38" s="47"/>
      <c r="G38" s="47"/>
      <c r="H38" s="47"/>
      <c r="I38" s="47"/>
    </row>
    <row r="39" spans="1:9" x14ac:dyDescent="0.25">
      <c r="A39" s="21">
        <v>1982</v>
      </c>
      <c r="B39" s="47"/>
      <c r="C39" s="47"/>
      <c r="D39" s="47"/>
      <c r="E39" s="47"/>
      <c r="F39" s="47"/>
      <c r="G39" s="47"/>
      <c r="H39" s="47"/>
      <c r="I39" s="47"/>
    </row>
    <row r="40" spans="1:9" x14ac:dyDescent="0.25">
      <c r="A40" s="21">
        <v>1983</v>
      </c>
      <c r="B40" s="47"/>
      <c r="C40" s="47"/>
      <c r="D40" s="47"/>
      <c r="E40" s="47"/>
      <c r="F40" s="47"/>
      <c r="G40" s="47"/>
      <c r="H40" s="47"/>
      <c r="I40" s="47"/>
    </row>
    <row r="41" spans="1:9" x14ac:dyDescent="0.25">
      <c r="A41" s="21">
        <v>1984</v>
      </c>
      <c r="B41" s="47"/>
      <c r="C41" s="47"/>
      <c r="D41" s="47"/>
      <c r="E41" s="47"/>
      <c r="F41" s="47"/>
      <c r="G41" s="47"/>
      <c r="H41" s="47"/>
      <c r="I41" s="47"/>
    </row>
    <row r="42" spans="1:9" x14ac:dyDescent="0.25">
      <c r="A42" s="21">
        <v>1985</v>
      </c>
      <c r="B42" s="72">
        <v>0.05</v>
      </c>
      <c r="C42" s="72">
        <v>0.31</v>
      </c>
      <c r="D42" s="72">
        <v>0.46</v>
      </c>
      <c r="E42" s="72">
        <v>0.14000000000000001</v>
      </c>
      <c r="F42" s="72">
        <v>0.01</v>
      </c>
      <c r="G42" s="72">
        <v>0.06</v>
      </c>
      <c r="H42" s="72">
        <v>0.11</v>
      </c>
      <c r="I42" s="72">
        <v>0.05</v>
      </c>
    </row>
    <row r="43" spans="1:9" x14ac:dyDescent="0.25">
      <c r="A43" s="21">
        <v>1986</v>
      </c>
      <c r="B43" s="47"/>
      <c r="C43" s="47"/>
      <c r="D43" s="47"/>
      <c r="E43" s="47"/>
      <c r="F43" s="47"/>
      <c r="G43" s="47"/>
      <c r="H43" s="47"/>
      <c r="I43" s="47"/>
    </row>
    <row r="44" spans="1:9" x14ac:dyDescent="0.25">
      <c r="A44" s="21">
        <v>1987</v>
      </c>
    </row>
    <row r="45" spans="1:9" x14ac:dyDescent="0.25">
      <c r="A45" s="21">
        <v>1988</v>
      </c>
    </row>
    <row r="46" spans="1:9" x14ac:dyDescent="0.25">
      <c r="A46" s="21">
        <v>1989</v>
      </c>
      <c r="B46" s="47"/>
      <c r="C46" s="47"/>
      <c r="D46" s="47"/>
      <c r="E46" s="47"/>
      <c r="F46" s="47"/>
      <c r="G46" s="47"/>
      <c r="H46" s="47"/>
      <c r="I46" s="47"/>
    </row>
    <row r="47" spans="1:9" x14ac:dyDescent="0.25">
      <c r="A47" s="21">
        <v>1990</v>
      </c>
      <c r="B47" s="47"/>
      <c r="C47" s="47"/>
      <c r="D47" s="47"/>
      <c r="E47" s="47"/>
      <c r="F47" s="47"/>
      <c r="G47" s="47"/>
      <c r="H47" s="47"/>
      <c r="I47" s="47"/>
    </row>
    <row r="48" spans="1:9" x14ac:dyDescent="0.25">
      <c r="A48" s="21">
        <v>1991</v>
      </c>
      <c r="B48" s="47"/>
      <c r="C48" s="47"/>
      <c r="D48" s="47"/>
      <c r="E48" s="47"/>
      <c r="F48" s="47"/>
      <c r="G48" s="47"/>
      <c r="H48" s="47"/>
      <c r="I48" s="47"/>
    </row>
    <row r="49" spans="1:9" x14ac:dyDescent="0.25">
      <c r="A49" s="21">
        <v>1992</v>
      </c>
      <c r="B49" s="47"/>
      <c r="C49" s="47"/>
      <c r="D49" s="47"/>
      <c r="E49" s="47"/>
      <c r="F49" s="47"/>
      <c r="G49" s="47"/>
      <c r="H49" s="47"/>
      <c r="I49" s="47"/>
    </row>
    <row r="50" spans="1:9" x14ac:dyDescent="0.25">
      <c r="A50" s="21">
        <v>1993</v>
      </c>
      <c r="B50" s="47"/>
      <c r="C50" s="47"/>
      <c r="D50" s="47"/>
      <c r="E50" s="47"/>
      <c r="F50" s="47"/>
      <c r="G50" s="47"/>
      <c r="H50" s="47"/>
      <c r="I50" s="47"/>
    </row>
    <row r="51" spans="1:9" x14ac:dyDescent="0.25">
      <c r="A51" s="21">
        <v>1994</v>
      </c>
      <c r="B51" s="47"/>
      <c r="C51" s="47"/>
      <c r="D51" s="47"/>
      <c r="E51" s="47"/>
      <c r="F51" s="47"/>
      <c r="G51" s="47"/>
      <c r="H51" s="47"/>
      <c r="I51" s="47"/>
    </row>
    <row r="52" spans="1:9" x14ac:dyDescent="0.25">
      <c r="A52" s="21">
        <v>1995</v>
      </c>
      <c r="B52" s="47"/>
      <c r="C52" s="47"/>
      <c r="D52" s="47"/>
      <c r="E52" s="47"/>
      <c r="F52" s="47"/>
      <c r="G52" s="47"/>
      <c r="H52" s="47"/>
      <c r="I52" s="47"/>
    </row>
    <row r="53" spans="1:9" x14ac:dyDescent="0.25">
      <c r="A53" s="21">
        <v>1996</v>
      </c>
      <c r="B53" s="47"/>
      <c r="C53" s="47"/>
      <c r="D53" s="47"/>
      <c r="E53" s="47"/>
      <c r="F53" s="47"/>
      <c r="G53" s="47"/>
      <c r="H53" s="47"/>
      <c r="I53" s="47"/>
    </row>
    <row r="54" spans="1:9" x14ac:dyDescent="0.25">
      <c r="A54" s="21">
        <v>1997</v>
      </c>
      <c r="B54" s="47"/>
      <c r="C54" s="47"/>
      <c r="D54" s="47"/>
      <c r="E54" s="47"/>
      <c r="F54" s="47"/>
      <c r="G54" s="47"/>
      <c r="H54" s="47"/>
      <c r="I54" s="47"/>
    </row>
    <row r="55" spans="1:9" x14ac:dyDescent="0.25">
      <c r="A55" s="21">
        <v>1998</v>
      </c>
      <c r="B55" s="47"/>
      <c r="C55" s="47"/>
      <c r="D55" s="47"/>
      <c r="E55" s="47"/>
      <c r="F55" s="47"/>
      <c r="G55" s="47"/>
      <c r="H55" s="47"/>
      <c r="I55" s="47"/>
    </row>
    <row r="56" spans="1:9" x14ac:dyDescent="0.25">
      <c r="A56" s="21">
        <v>1999</v>
      </c>
      <c r="B56" s="47"/>
      <c r="C56" s="47"/>
      <c r="D56" s="47"/>
      <c r="E56" s="47"/>
      <c r="F56" s="47"/>
      <c r="G56" s="47"/>
      <c r="H56" s="47"/>
      <c r="I56" s="47"/>
    </row>
    <row r="57" spans="1:9" x14ac:dyDescent="0.25">
      <c r="A57" s="21">
        <v>2000</v>
      </c>
      <c r="B57" s="47"/>
      <c r="C57" s="47"/>
      <c r="D57" s="47"/>
      <c r="E57" s="47"/>
      <c r="F57" s="47"/>
      <c r="G57" s="47"/>
      <c r="H57" s="47"/>
      <c r="I57" s="47"/>
    </row>
    <row r="58" spans="1:9" x14ac:dyDescent="0.25">
      <c r="A58" s="21">
        <v>2001</v>
      </c>
      <c r="B58" s="47"/>
      <c r="C58" s="47"/>
      <c r="D58" s="47"/>
      <c r="E58" s="47"/>
      <c r="F58" s="47"/>
      <c r="G58" s="47"/>
      <c r="H58" s="47"/>
      <c r="I58" s="47"/>
    </row>
    <row r="59" spans="1:9" x14ac:dyDescent="0.25">
      <c r="A59" s="21">
        <v>2002</v>
      </c>
      <c r="B59" s="47"/>
      <c r="C59" s="47"/>
      <c r="D59" s="47"/>
      <c r="E59" s="47"/>
      <c r="F59" s="47"/>
      <c r="G59" s="47"/>
      <c r="H59" s="47"/>
      <c r="I59" s="47"/>
    </row>
    <row r="60" spans="1:9" x14ac:dyDescent="0.25">
      <c r="A60" s="21">
        <v>2003</v>
      </c>
      <c r="B60" s="47"/>
      <c r="C60" s="47"/>
      <c r="D60" s="47"/>
      <c r="E60" s="47"/>
      <c r="F60" s="47"/>
      <c r="G60" s="47"/>
      <c r="H60" s="47"/>
      <c r="I60" s="47"/>
    </row>
    <row r="61" spans="1:9" x14ac:dyDescent="0.25">
      <c r="A61" s="21">
        <v>2004</v>
      </c>
      <c r="B61" s="47"/>
      <c r="C61" s="47"/>
      <c r="D61" s="47"/>
      <c r="E61" s="47"/>
      <c r="F61" s="47"/>
      <c r="G61" s="47"/>
      <c r="H61" s="47"/>
      <c r="I61" s="47"/>
    </row>
    <row r="62" spans="1:9" x14ac:dyDescent="0.25">
      <c r="A62" s="21">
        <v>2005</v>
      </c>
      <c r="B62" s="47"/>
      <c r="C62" s="47"/>
      <c r="D62" s="47"/>
      <c r="E62" s="47"/>
      <c r="F62" s="47"/>
      <c r="G62" s="47"/>
      <c r="H62" s="47"/>
      <c r="I62" s="47"/>
    </row>
    <row r="63" spans="1:9" x14ac:dyDescent="0.25">
      <c r="A63" s="21">
        <v>2006</v>
      </c>
      <c r="B63" s="47"/>
      <c r="C63" s="47"/>
      <c r="D63" s="47"/>
      <c r="E63" s="47"/>
      <c r="F63" s="47"/>
      <c r="G63" s="47"/>
      <c r="H63" s="47"/>
      <c r="I63" s="47"/>
    </row>
    <row r="64" spans="1:9" x14ac:dyDescent="0.25">
      <c r="A64" s="21">
        <v>2007</v>
      </c>
      <c r="B64" s="47"/>
      <c r="C64" s="47"/>
      <c r="D64" s="47"/>
      <c r="E64" s="47"/>
      <c r="F64" s="47"/>
      <c r="G64" s="47"/>
      <c r="H64" s="47"/>
      <c r="I64" s="47"/>
    </row>
    <row r="65" spans="1:70" x14ac:dyDescent="0.25">
      <c r="A65" s="21">
        <v>2008</v>
      </c>
      <c r="B65" s="47"/>
      <c r="C65" s="47"/>
      <c r="D65" s="47"/>
      <c r="E65" s="47"/>
      <c r="F65" s="47"/>
      <c r="G65" s="47"/>
      <c r="H65" s="47"/>
      <c r="I65" s="47"/>
    </row>
    <row r="66" spans="1:70" x14ac:dyDescent="0.25">
      <c r="A66" s="21">
        <v>2009</v>
      </c>
    </row>
    <row r="67" spans="1:70" x14ac:dyDescent="0.25">
      <c r="A67" s="21">
        <v>2010</v>
      </c>
      <c r="B67" s="47">
        <v>0.05</v>
      </c>
      <c r="C67" s="47">
        <v>0.04</v>
      </c>
      <c r="D67" s="47">
        <v>0.65</v>
      </c>
      <c r="E67" s="47">
        <v>0.2</v>
      </c>
      <c r="F67" s="47">
        <v>0.01</v>
      </c>
      <c r="G67" s="47">
        <v>0.04</v>
      </c>
      <c r="H67" s="47">
        <v>0.17</v>
      </c>
      <c r="I67" s="71">
        <v>4.3800000000000002E-3</v>
      </c>
    </row>
    <row r="68" spans="1:70" x14ac:dyDescent="0.25">
      <c r="A68" s="21">
        <v>2011</v>
      </c>
    </row>
    <row r="69" spans="1:70" x14ac:dyDescent="0.25">
      <c r="A69" s="21">
        <v>2012</v>
      </c>
      <c r="B69" s="47"/>
      <c r="C69" s="47"/>
      <c r="D69" s="47"/>
      <c r="E69" s="47"/>
      <c r="F69" s="47"/>
      <c r="G69" s="47"/>
      <c r="H69" s="47"/>
      <c r="I69" s="47"/>
    </row>
    <row r="70" spans="1:70" x14ac:dyDescent="0.25">
      <c r="A70" s="21">
        <v>2013</v>
      </c>
      <c r="B70" s="47"/>
      <c r="C70" s="47"/>
      <c r="D70" s="47"/>
      <c r="E70" s="47"/>
      <c r="F70" s="47"/>
      <c r="G70" s="47"/>
      <c r="H70" s="47"/>
      <c r="I70" s="47"/>
    </row>
    <row r="71" spans="1:70" x14ac:dyDescent="0.25">
      <c r="A71" s="21">
        <v>2014</v>
      </c>
      <c r="B71" s="47"/>
      <c r="C71" s="47"/>
      <c r="D71" s="47"/>
      <c r="E71" s="47"/>
      <c r="F71" s="47"/>
      <c r="G71" s="47"/>
      <c r="H71" s="47"/>
      <c r="I71" s="47"/>
    </row>
    <row r="72" spans="1:70" x14ac:dyDescent="0.25">
      <c r="A72" s="21">
        <v>2015</v>
      </c>
      <c r="B72" s="47"/>
      <c r="C72" s="47"/>
      <c r="D72" s="47"/>
      <c r="E72" s="47"/>
      <c r="F72" s="47"/>
      <c r="G72" s="47"/>
      <c r="H72" s="47"/>
      <c r="I72" s="47"/>
    </row>
    <row r="73" spans="1:70" x14ac:dyDescent="0.25">
      <c r="A73" s="21">
        <v>2016</v>
      </c>
      <c r="B73" s="47"/>
      <c r="C73" s="47"/>
      <c r="D73" s="47"/>
      <c r="E73" s="47"/>
      <c r="F73" s="47"/>
      <c r="G73" s="47"/>
      <c r="H73" s="47"/>
      <c r="I73" s="47"/>
    </row>
    <row r="74" spans="1:70" x14ac:dyDescent="0.25">
      <c r="A74" s="21">
        <v>2017</v>
      </c>
      <c r="B74" s="47"/>
      <c r="C74" s="47"/>
      <c r="D74" s="47"/>
      <c r="E74" s="47"/>
      <c r="F74" s="47"/>
      <c r="G74" s="47"/>
      <c r="H74" s="47"/>
      <c r="I74" s="47"/>
    </row>
    <row r="75" spans="1:70" x14ac:dyDescent="0.25">
      <c r="A75" s="21">
        <v>2018</v>
      </c>
      <c r="B75" s="47"/>
      <c r="C75" s="47"/>
      <c r="D75" s="47"/>
      <c r="E75" s="47"/>
      <c r="F75" s="47"/>
      <c r="G75" s="47"/>
      <c r="H75" s="47"/>
      <c r="I75" s="47"/>
    </row>
    <row r="76" spans="1:70" x14ac:dyDescent="0.25">
      <c r="A76" s="21">
        <v>2019</v>
      </c>
      <c r="B76" s="47">
        <v>0.05</v>
      </c>
      <c r="C76" s="47">
        <v>0.04</v>
      </c>
      <c r="D76" s="47">
        <v>0.65</v>
      </c>
      <c r="E76" s="47">
        <v>0.2</v>
      </c>
      <c r="F76" s="47">
        <v>0.01</v>
      </c>
      <c r="G76" s="47">
        <v>0.04</v>
      </c>
      <c r="H76" s="47">
        <v>0.17</v>
      </c>
      <c r="I76" s="71">
        <v>4.3800000000000002E-3</v>
      </c>
    </row>
    <row r="77" spans="1:70" x14ac:dyDescent="0.25">
      <c r="A77" s="21">
        <v>2020</v>
      </c>
      <c r="B77" s="47"/>
      <c r="C77" s="47"/>
      <c r="D77" s="47"/>
      <c r="E77" s="47"/>
      <c r="F77" s="47"/>
      <c r="G77" s="47"/>
      <c r="H77" s="47"/>
      <c r="I77" s="47"/>
    </row>
    <row r="78" spans="1:70" s="50" customFormat="1" x14ac:dyDescent="0.25">
      <c r="A78" s="49"/>
      <c r="B78" s="48"/>
      <c r="C78" s="48"/>
      <c r="D78" s="48"/>
      <c r="E78" s="48"/>
      <c r="F78" s="48"/>
      <c r="G78" s="48"/>
      <c r="H78" s="48"/>
      <c r="I78" s="48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</row>
    <row r="79" spans="1:70" s="50" customFormat="1" x14ac:dyDescent="0.25">
      <c r="A79" s="49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</row>
    <row r="80" spans="1:70" s="50" customFormat="1" x14ac:dyDescent="0.25">
      <c r="A80" s="49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</row>
    <row r="87" spans="1:70" s="50" customFormat="1" x14ac:dyDescent="0.25">
      <c r="A87" s="49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</row>
    <row r="88" spans="1:70" s="50" customFormat="1" x14ac:dyDescent="0.25">
      <c r="A88" s="49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AC4E-6DA8-4485-9988-F432D0671361}">
  <dimension ref="A1:BQ88"/>
  <sheetViews>
    <sheetView tabSelected="1"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0.7109375" defaultRowHeight="15" x14ac:dyDescent="0.25"/>
  <cols>
    <col min="1" max="1" width="8" style="49" bestFit="1" customWidth="1"/>
    <col min="2" max="7" width="15.140625" style="46" customWidth="1"/>
    <col min="8" max="16384" width="10.7109375" style="46"/>
  </cols>
  <sheetData>
    <row r="1" spans="1:8" s="53" customFormat="1" ht="45" x14ac:dyDescent="0.25">
      <c r="A1" s="52" t="s">
        <v>0</v>
      </c>
      <c r="B1" s="44" t="s">
        <v>55</v>
      </c>
      <c r="C1" s="44" t="s">
        <v>62</v>
      </c>
      <c r="D1" s="44" t="s">
        <v>56</v>
      </c>
      <c r="E1" s="44" t="s">
        <v>63</v>
      </c>
      <c r="F1" s="44" t="s">
        <v>57</v>
      </c>
      <c r="G1" s="44" t="s">
        <v>64</v>
      </c>
      <c r="H1" s="53" t="s">
        <v>54</v>
      </c>
    </row>
    <row r="2" spans="1:8" x14ac:dyDescent="0.25">
      <c r="A2" s="21">
        <v>1945</v>
      </c>
      <c r="B2" s="47"/>
      <c r="C2" s="47"/>
      <c r="D2" s="47"/>
      <c r="E2" s="47"/>
    </row>
    <row r="3" spans="1:8" x14ac:dyDescent="0.25">
      <c r="A3" s="21">
        <v>1946</v>
      </c>
      <c r="B3" s="47"/>
      <c r="C3" s="47"/>
      <c r="D3" s="47"/>
      <c r="E3" s="47"/>
    </row>
    <row r="4" spans="1:8" x14ac:dyDescent="0.25">
      <c r="A4" s="21">
        <v>1947</v>
      </c>
      <c r="B4" s="65">
        <v>0.96</v>
      </c>
      <c r="C4" s="65">
        <f>B4*H4</f>
        <v>40.32</v>
      </c>
      <c r="D4" s="65">
        <v>0.04</v>
      </c>
      <c r="E4" s="65">
        <f>D4*H4</f>
        <v>1.68</v>
      </c>
      <c r="F4" s="65">
        <v>0</v>
      </c>
      <c r="G4" s="65">
        <f>F4*H4</f>
        <v>0</v>
      </c>
      <c r="H4" s="65">
        <v>42</v>
      </c>
    </row>
    <row r="5" spans="1:8" x14ac:dyDescent="0.25">
      <c r="A5" s="21">
        <v>1948</v>
      </c>
      <c r="B5" s="45"/>
      <c r="C5" s="45"/>
      <c r="D5" s="45"/>
      <c r="E5" s="45"/>
    </row>
    <row r="6" spans="1:8" x14ac:dyDescent="0.25">
      <c r="A6" s="21">
        <v>1949</v>
      </c>
      <c r="B6" s="45"/>
      <c r="C6" s="45"/>
      <c r="D6" s="45"/>
      <c r="E6" s="45"/>
    </row>
    <row r="7" spans="1:8" x14ac:dyDescent="0.25">
      <c r="A7" s="21">
        <v>1950</v>
      </c>
      <c r="B7" s="45"/>
      <c r="C7" s="45"/>
      <c r="D7" s="45"/>
      <c r="E7" s="45"/>
    </row>
    <row r="8" spans="1:8" x14ac:dyDescent="0.25">
      <c r="A8" s="21">
        <v>1951</v>
      </c>
      <c r="B8" s="45"/>
      <c r="C8" s="45"/>
      <c r="D8" s="45"/>
      <c r="E8" s="45"/>
      <c r="F8" s="45"/>
      <c r="G8" s="45"/>
    </row>
    <row r="9" spans="1:8" x14ac:dyDescent="0.25">
      <c r="A9" s="21">
        <v>1952</v>
      </c>
      <c r="B9" s="45"/>
      <c r="C9" s="45"/>
      <c r="D9" s="45"/>
      <c r="E9" s="45"/>
      <c r="F9" s="45"/>
      <c r="G9" s="45"/>
    </row>
    <row r="10" spans="1:8" x14ac:dyDescent="0.25">
      <c r="A10" s="21">
        <v>1953</v>
      </c>
      <c r="B10" s="45"/>
      <c r="C10" s="45"/>
      <c r="D10" s="45"/>
      <c r="E10" s="45"/>
      <c r="F10" s="45"/>
      <c r="G10" s="45"/>
    </row>
    <row r="11" spans="1:8" x14ac:dyDescent="0.25">
      <c r="A11" s="21">
        <v>1954</v>
      </c>
      <c r="B11" s="45"/>
      <c r="C11" s="45"/>
      <c r="D11" s="45"/>
      <c r="E11" s="45"/>
    </row>
    <row r="12" spans="1:8" x14ac:dyDescent="0.25">
      <c r="A12" s="21">
        <v>1955</v>
      </c>
      <c r="B12" s="65">
        <v>0.96</v>
      </c>
      <c r="C12" s="65">
        <f>B12*H12</f>
        <v>33.6</v>
      </c>
      <c r="D12" s="65">
        <v>0.04</v>
      </c>
      <c r="E12" s="65">
        <f>D12*H12</f>
        <v>1.4000000000000001</v>
      </c>
      <c r="F12" s="65">
        <v>0</v>
      </c>
      <c r="G12" s="65">
        <f>F12*H12</f>
        <v>0</v>
      </c>
      <c r="H12" s="46">
        <v>35</v>
      </c>
    </row>
    <row r="13" spans="1:8" x14ac:dyDescent="0.25">
      <c r="A13" s="21">
        <v>1956</v>
      </c>
      <c r="B13" s="45"/>
      <c r="C13" s="45"/>
      <c r="D13" s="45"/>
      <c r="E13" s="45"/>
    </row>
    <row r="14" spans="1:8" x14ac:dyDescent="0.25">
      <c r="A14" s="21">
        <v>1957</v>
      </c>
      <c r="B14" s="45"/>
      <c r="C14" s="45"/>
      <c r="D14" s="45"/>
      <c r="E14" s="45"/>
    </row>
    <row r="15" spans="1:8" x14ac:dyDescent="0.25">
      <c r="A15" s="21">
        <v>1958</v>
      </c>
      <c r="B15" s="45"/>
      <c r="C15" s="45"/>
      <c r="D15" s="45"/>
      <c r="E15" s="45"/>
    </row>
    <row r="16" spans="1:8" x14ac:dyDescent="0.25">
      <c r="A16" s="21">
        <v>1959</v>
      </c>
      <c r="B16" s="45"/>
      <c r="C16" s="45"/>
      <c r="D16" s="45"/>
      <c r="E16" s="45"/>
    </row>
    <row r="17" spans="1:8" x14ac:dyDescent="0.25">
      <c r="A17" s="21">
        <v>1960</v>
      </c>
      <c r="B17" s="45"/>
      <c r="C17" s="45"/>
      <c r="D17" s="45"/>
      <c r="E17" s="45"/>
    </row>
    <row r="18" spans="1:8" x14ac:dyDescent="0.25">
      <c r="A18" s="21">
        <v>1961</v>
      </c>
      <c r="B18" s="45"/>
      <c r="C18" s="45"/>
      <c r="D18" s="45"/>
      <c r="E18" s="45"/>
    </row>
    <row r="19" spans="1:8" x14ac:dyDescent="0.25">
      <c r="A19" s="21">
        <v>1962</v>
      </c>
      <c r="B19" s="45"/>
      <c r="C19" s="45"/>
      <c r="D19" s="45"/>
      <c r="E19" s="45"/>
    </row>
    <row r="20" spans="1:8" x14ac:dyDescent="0.25">
      <c r="A20" s="21">
        <v>1963</v>
      </c>
      <c r="B20" s="45"/>
      <c r="C20" s="45"/>
      <c r="D20" s="45"/>
      <c r="E20" s="45"/>
    </row>
    <row r="21" spans="1:8" x14ac:dyDescent="0.25">
      <c r="A21" s="21">
        <v>1964</v>
      </c>
      <c r="B21" s="45"/>
      <c r="C21" s="45"/>
      <c r="D21" s="45"/>
      <c r="E21" s="45"/>
    </row>
    <row r="22" spans="1:8" x14ac:dyDescent="0.25">
      <c r="A22" s="21">
        <v>1965</v>
      </c>
      <c r="B22" s="65"/>
      <c r="C22" s="65"/>
      <c r="D22" s="65"/>
      <c r="E22" s="65"/>
      <c r="F22" s="65"/>
      <c r="G22" s="65"/>
      <c r="H22" s="67"/>
    </row>
    <row r="23" spans="1:8" x14ac:dyDescent="0.25">
      <c r="A23" s="21">
        <v>1966</v>
      </c>
      <c r="B23" s="65"/>
      <c r="C23" s="65"/>
      <c r="D23" s="65"/>
      <c r="E23" s="65"/>
      <c r="F23" s="65"/>
      <c r="G23" s="65"/>
      <c r="H23" s="67"/>
    </row>
    <row r="24" spans="1:8" x14ac:dyDescent="0.25">
      <c r="A24" s="21">
        <v>1967</v>
      </c>
      <c r="B24" s="65"/>
      <c r="C24" s="65"/>
      <c r="D24" s="65"/>
      <c r="E24" s="65"/>
      <c r="F24" s="65"/>
      <c r="G24" s="65"/>
      <c r="H24" s="67"/>
    </row>
    <row r="25" spans="1:8" x14ac:dyDescent="0.25">
      <c r="A25" s="21">
        <v>1968</v>
      </c>
      <c r="B25" s="65"/>
      <c r="C25" s="65"/>
      <c r="D25" s="65"/>
      <c r="E25" s="65"/>
      <c r="F25" s="65"/>
      <c r="G25" s="65"/>
      <c r="H25" s="67"/>
    </row>
    <row r="26" spans="1:8" x14ac:dyDescent="0.25">
      <c r="A26" s="21">
        <v>1969</v>
      </c>
      <c r="B26" s="65"/>
      <c r="C26" s="65"/>
      <c r="D26" s="65"/>
      <c r="E26" s="65"/>
      <c r="F26" s="65"/>
      <c r="G26" s="65"/>
      <c r="H26" s="67"/>
    </row>
    <row r="27" spans="1:8" x14ac:dyDescent="0.25">
      <c r="A27" s="21">
        <v>1970</v>
      </c>
      <c r="B27" s="65">
        <v>0.78500000000000003</v>
      </c>
      <c r="C27" s="65">
        <f>B27*H27</f>
        <v>11.8535</v>
      </c>
      <c r="D27" s="65">
        <v>7.0999999999999994E-2</v>
      </c>
      <c r="E27" s="65">
        <f>D27*H27</f>
        <v>1.0720999999999998</v>
      </c>
      <c r="F27" s="65">
        <v>0.14399999999999999</v>
      </c>
      <c r="G27" s="65">
        <f>F27*H27</f>
        <v>2.1743999999999999</v>
      </c>
      <c r="H27" s="67">
        <v>15.1</v>
      </c>
    </row>
    <row r="28" spans="1:8" x14ac:dyDescent="0.25">
      <c r="A28" s="21">
        <v>1971</v>
      </c>
      <c r="B28" s="66"/>
      <c r="C28" s="66"/>
      <c r="D28" s="66"/>
      <c r="E28" s="66"/>
      <c r="F28" s="65"/>
      <c r="G28" s="65"/>
      <c r="H28" s="67"/>
    </row>
    <row r="29" spans="1:8" x14ac:dyDescent="0.25">
      <c r="A29" s="21">
        <v>1972</v>
      </c>
      <c r="B29" s="65"/>
      <c r="C29" s="65"/>
      <c r="D29" s="65"/>
      <c r="E29" s="65"/>
      <c r="F29" s="65"/>
      <c r="G29" s="65"/>
      <c r="H29" s="67"/>
    </row>
    <row r="30" spans="1:8" x14ac:dyDescent="0.25">
      <c r="A30" s="21">
        <v>1973</v>
      </c>
      <c r="B30" s="65"/>
      <c r="C30" s="65"/>
      <c r="D30" s="65"/>
      <c r="E30" s="65"/>
      <c r="F30" s="65"/>
      <c r="G30" s="65"/>
      <c r="H30" s="67"/>
    </row>
    <row r="31" spans="1:8" x14ac:dyDescent="0.25">
      <c r="A31" s="21">
        <v>1974</v>
      </c>
      <c r="B31" s="65"/>
      <c r="C31" s="65"/>
      <c r="D31" s="65"/>
      <c r="E31" s="65"/>
      <c r="F31" s="65"/>
      <c r="G31" s="65"/>
      <c r="H31" s="67"/>
    </row>
    <row r="32" spans="1:8" x14ac:dyDescent="0.25">
      <c r="A32" s="21">
        <v>1975</v>
      </c>
      <c r="B32" s="65"/>
      <c r="C32" s="65"/>
      <c r="D32" s="65"/>
      <c r="E32" s="65"/>
      <c r="F32" s="65"/>
      <c r="G32" s="65"/>
      <c r="H32" s="67"/>
    </row>
    <row r="33" spans="1:8" x14ac:dyDescent="0.25">
      <c r="A33" s="21">
        <v>1976</v>
      </c>
      <c r="B33" s="65"/>
      <c r="C33" s="65"/>
      <c r="D33" s="65"/>
      <c r="E33" s="65"/>
      <c r="F33" s="65"/>
      <c r="G33" s="65"/>
      <c r="H33" s="67"/>
    </row>
    <row r="34" spans="1:8" x14ac:dyDescent="0.25">
      <c r="A34" s="21">
        <v>1977</v>
      </c>
    </row>
    <row r="35" spans="1:8" x14ac:dyDescent="0.25">
      <c r="A35" s="21">
        <v>1978</v>
      </c>
      <c r="B35" s="65"/>
      <c r="C35" s="65"/>
      <c r="D35" s="65"/>
      <c r="E35" s="65"/>
      <c r="F35" s="65"/>
      <c r="G35" s="65"/>
      <c r="H35" s="67"/>
    </row>
    <row r="36" spans="1:8" x14ac:dyDescent="0.25">
      <c r="A36" s="21">
        <v>1979</v>
      </c>
      <c r="B36" s="65"/>
      <c r="C36" s="65"/>
      <c r="D36" s="65"/>
      <c r="E36" s="65"/>
      <c r="F36" s="65"/>
      <c r="G36" s="65"/>
      <c r="H36" s="67"/>
    </row>
    <row r="37" spans="1:8" x14ac:dyDescent="0.25">
      <c r="A37" s="21">
        <v>1980</v>
      </c>
      <c r="B37" s="65"/>
      <c r="C37" s="65"/>
      <c r="D37" s="65"/>
      <c r="E37" s="65"/>
      <c r="F37" s="65"/>
      <c r="G37" s="65"/>
      <c r="H37" s="67"/>
    </row>
    <row r="38" spans="1:8" x14ac:dyDescent="0.25">
      <c r="A38" s="21">
        <v>1981</v>
      </c>
      <c r="B38" s="65">
        <v>0.52100000000000002</v>
      </c>
      <c r="C38" s="65">
        <f>B38*H38</f>
        <v>6.4083000000000006</v>
      </c>
      <c r="D38" s="65">
        <v>9.2999999999999999E-2</v>
      </c>
      <c r="E38" s="65">
        <f>D38*H38</f>
        <v>1.1439000000000001</v>
      </c>
      <c r="F38" s="65">
        <v>0.38600000000000001</v>
      </c>
      <c r="G38" s="65">
        <f>F38*H38</f>
        <v>4.7478000000000007</v>
      </c>
      <c r="H38" s="67">
        <v>12.3</v>
      </c>
    </row>
    <row r="39" spans="1:8" x14ac:dyDescent="0.25">
      <c r="A39" s="21">
        <v>1982</v>
      </c>
      <c r="B39" s="65"/>
      <c r="C39" s="65"/>
      <c r="D39" s="65"/>
      <c r="E39" s="65"/>
      <c r="F39" s="65"/>
      <c r="G39" s="65"/>
      <c r="H39" s="67"/>
    </row>
    <row r="40" spans="1:8" x14ac:dyDescent="0.25">
      <c r="A40" s="21">
        <v>1983</v>
      </c>
      <c r="B40" s="65"/>
      <c r="C40" s="65"/>
      <c r="D40" s="65"/>
      <c r="E40" s="65"/>
      <c r="F40" s="65"/>
      <c r="G40" s="65"/>
      <c r="H40" s="67"/>
    </row>
    <row r="41" spans="1:8" x14ac:dyDescent="0.25">
      <c r="A41" s="21">
        <v>1984</v>
      </c>
      <c r="B41" s="65"/>
      <c r="C41" s="65"/>
      <c r="D41" s="65"/>
      <c r="E41" s="65"/>
      <c r="F41" s="65"/>
      <c r="G41" s="65"/>
      <c r="H41" s="67"/>
    </row>
    <row r="42" spans="1:8" x14ac:dyDescent="0.25">
      <c r="A42" s="21">
        <v>1985</v>
      </c>
      <c r="B42" s="65"/>
      <c r="C42" s="65"/>
      <c r="D42" s="65"/>
      <c r="E42" s="65"/>
      <c r="F42" s="65"/>
      <c r="G42" s="65"/>
      <c r="H42" s="67"/>
    </row>
    <row r="43" spans="1:8" x14ac:dyDescent="0.25">
      <c r="A43" s="21">
        <v>1986</v>
      </c>
      <c r="B43" s="65"/>
      <c r="C43" s="65"/>
      <c r="D43" s="65"/>
      <c r="E43" s="65"/>
      <c r="F43" s="65"/>
      <c r="G43" s="65"/>
      <c r="H43" s="67"/>
    </row>
    <row r="44" spans="1:8" x14ac:dyDescent="0.25">
      <c r="A44" s="21">
        <v>1987</v>
      </c>
      <c r="B44" s="65"/>
      <c r="C44" s="65"/>
      <c r="D44" s="65"/>
      <c r="E44" s="65"/>
      <c r="F44" s="65"/>
      <c r="G44" s="65"/>
      <c r="H44" s="67"/>
    </row>
    <row r="45" spans="1:8" x14ac:dyDescent="0.25">
      <c r="A45" s="21">
        <v>1988</v>
      </c>
      <c r="B45" s="65"/>
      <c r="C45" s="65"/>
      <c r="D45" s="65"/>
      <c r="E45" s="65"/>
      <c r="F45" s="65"/>
      <c r="G45" s="65"/>
      <c r="H45" s="67"/>
    </row>
    <row r="46" spans="1:8" x14ac:dyDescent="0.25">
      <c r="A46" s="21">
        <v>1989</v>
      </c>
      <c r="B46" s="65"/>
      <c r="C46" s="65"/>
      <c r="D46" s="65"/>
      <c r="E46" s="65"/>
      <c r="F46" s="65"/>
      <c r="G46" s="65"/>
      <c r="H46" s="67"/>
    </row>
    <row r="47" spans="1:8" x14ac:dyDescent="0.25">
      <c r="A47" s="21">
        <v>1990</v>
      </c>
      <c r="B47" s="65"/>
      <c r="C47" s="65"/>
      <c r="D47" s="65"/>
      <c r="E47" s="65"/>
      <c r="F47" s="65"/>
      <c r="G47" s="65"/>
      <c r="H47" s="67"/>
    </row>
    <row r="48" spans="1:8" x14ac:dyDescent="0.25">
      <c r="A48" s="21">
        <v>1991</v>
      </c>
      <c r="B48" s="65"/>
      <c r="C48" s="65"/>
      <c r="D48" s="65"/>
      <c r="E48" s="65"/>
      <c r="F48" s="65"/>
      <c r="G48" s="65"/>
      <c r="H48" s="67"/>
    </row>
    <row r="49" spans="1:8" x14ac:dyDescent="0.25">
      <c r="A49" s="21">
        <v>1992</v>
      </c>
      <c r="B49" s="65"/>
      <c r="C49" s="65"/>
      <c r="D49" s="65"/>
      <c r="E49" s="65"/>
      <c r="F49" s="65"/>
      <c r="G49" s="65"/>
      <c r="H49" s="67"/>
    </row>
    <row r="50" spans="1:8" x14ac:dyDescent="0.25">
      <c r="A50" s="21">
        <v>1993</v>
      </c>
      <c r="B50" s="65"/>
      <c r="C50" s="65"/>
      <c r="D50" s="65"/>
      <c r="E50" s="65"/>
      <c r="F50" s="65"/>
      <c r="G50" s="65"/>
      <c r="H50" s="67"/>
    </row>
    <row r="51" spans="1:8" x14ac:dyDescent="0.25">
      <c r="A51" s="21">
        <v>1994</v>
      </c>
      <c r="B51" s="65"/>
      <c r="C51" s="65"/>
      <c r="D51" s="65"/>
      <c r="E51" s="65"/>
      <c r="F51" s="65"/>
      <c r="G51" s="65"/>
      <c r="H51" s="67"/>
    </row>
    <row r="52" spans="1:8" x14ac:dyDescent="0.25">
      <c r="A52" s="21">
        <v>1995</v>
      </c>
      <c r="B52" s="65"/>
      <c r="C52" s="65"/>
      <c r="D52" s="65"/>
      <c r="E52" s="65"/>
      <c r="F52" s="65"/>
      <c r="G52" s="65"/>
      <c r="H52" s="67"/>
    </row>
    <row r="53" spans="1:8" x14ac:dyDescent="0.25">
      <c r="A53" s="21">
        <v>1996</v>
      </c>
      <c r="B53" s="65"/>
      <c r="C53" s="65"/>
      <c r="D53" s="65"/>
      <c r="E53" s="65"/>
      <c r="F53" s="65"/>
      <c r="G53" s="65"/>
      <c r="H53" s="67"/>
    </row>
    <row r="54" spans="1:8" x14ac:dyDescent="0.25">
      <c r="A54" s="21">
        <v>1997</v>
      </c>
      <c r="B54" s="65"/>
      <c r="C54" s="65"/>
      <c r="D54" s="65"/>
      <c r="E54" s="65"/>
      <c r="F54" s="65"/>
      <c r="G54" s="65"/>
      <c r="H54" s="67"/>
    </row>
    <row r="55" spans="1:8" x14ac:dyDescent="0.25">
      <c r="A55" s="21">
        <v>1998</v>
      </c>
      <c r="B55" s="65"/>
      <c r="C55" s="65"/>
      <c r="D55" s="65"/>
      <c r="E55" s="65"/>
      <c r="F55" s="65"/>
      <c r="G55" s="65"/>
      <c r="H55" s="67"/>
    </row>
    <row r="56" spans="1:8" x14ac:dyDescent="0.25">
      <c r="A56" s="21">
        <v>1999</v>
      </c>
      <c r="B56" s="65"/>
      <c r="C56" s="65"/>
      <c r="D56" s="65"/>
      <c r="E56" s="65"/>
      <c r="F56" s="65"/>
      <c r="G56" s="65"/>
      <c r="H56" s="67"/>
    </row>
    <row r="57" spans="1:8" x14ac:dyDescent="0.25">
      <c r="A57" s="21">
        <v>2000</v>
      </c>
      <c r="B57" s="65"/>
      <c r="C57" s="65"/>
      <c r="D57" s="65"/>
      <c r="E57" s="65"/>
      <c r="F57" s="65"/>
      <c r="G57" s="65"/>
      <c r="H57" s="67"/>
    </row>
    <row r="58" spans="1:8" x14ac:dyDescent="0.25">
      <c r="A58" s="21">
        <v>2001</v>
      </c>
      <c r="B58" s="65"/>
      <c r="C58" s="65"/>
      <c r="D58" s="65"/>
      <c r="E58" s="65"/>
      <c r="F58" s="65"/>
      <c r="G58" s="65"/>
      <c r="H58" s="67"/>
    </row>
    <row r="59" spans="1:8" x14ac:dyDescent="0.25">
      <c r="A59" s="21">
        <v>2002</v>
      </c>
      <c r="B59" s="65"/>
      <c r="C59" s="65"/>
      <c r="D59" s="65"/>
      <c r="E59" s="65"/>
      <c r="F59" s="65"/>
      <c r="G59" s="65"/>
      <c r="H59" s="67"/>
    </row>
    <row r="60" spans="1:8" x14ac:dyDescent="0.25">
      <c r="A60" s="21">
        <v>2003</v>
      </c>
      <c r="B60" s="65"/>
      <c r="C60" s="65"/>
      <c r="D60" s="65"/>
      <c r="E60" s="65"/>
      <c r="F60" s="65"/>
      <c r="G60" s="65"/>
      <c r="H60" s="67"/>
    </row>
    <row r="61" spans="1:8" x14ac:dyDescent="0.25">
      <c r="A61" s="21">
        <v>2004</v>
      </c>
      <c r="B61" s="65"/>
      <c r="C61" s="65"/>
      <c r="D61" s="65"/>
      <c r="E61" s="65"/>
      <c r="F61" s="65"/>
      <c r="G61" s="65"/>
      <c r="H61" s="67"/>
    </row>
    <row r="62" spans="1:8" x14ac:dyDescent="0.25">
      <c r="A62" s="21">
        <v>2005</v>
      </c>
      <c r="B62" s="65"/>
      <c r="C62" s="65"/>
      <c r="D62" s="65"/>
      <c r="E62" s="65"/>
      <c r="F62" s="65"/>
      <c r="G62" s="65"/>
      <c r="H62" s="67"/>
    </row>
    <row r="63" spans="1:8" x14ac:dyDescent="0.25">
      <c r="A63" s="21">
        <v>2006</v>
      </c>
      <c r="B63" s="65"/>
      <c r="C63" s="65"/>
      <c r="D63" s="65"/>
      <c r="E63" s="65"/>
      <c r="F63" s="65"/>
      <c r="G63" s="65"/>
      <c r="H63" s="67"/>
    </row>
    <row r="64" spans="1:8" x14ac:dyDescent="0.25">
      <c r="A64" s="21">
        <v>2007</v>
      </c>
      <c r="B64" s="65"/>
      <c r="C64" s="65"/>
      <c r="D64" s="65"/>
      <c r="E64" s="65"/>
      <c r="F64" s="65"/>
      <c r="G64" s="65"/>
      <c r="H64" s="67"/>
    </row>
    <row r="65" spans="1:69" x14ac:dyDescent="0.25">
      <c r="A65" s="21">
        <v>2008</v>
      </c>
      <c r="B65" s="65"/>
      <c r="C65" s="65"/>
      <c r="D65" s="65"/>
      <c r="E65" s="65"/>
      <c r="F65" s="65"/>
      <c r="G65" s="65"/>
      <c r="H65" s="67"/>
    </row>
    <row r="66" spans="1:69" x14ac:dyDescent="0.25">
      <c r="A66" s="21">
        <v>2009</v>
      </c>
      <c r="B66" s="65"/>
      <c r="C66" s="65"/>
      <c r="D66" s="65"/>
      <c r="E66" s="65"/>
      <c r="F66" s="65"/>
      <c r="G66" s="65"/>
      <c r="H66" s="67"/>
    </row>
    <row r="67" spans="1:69" x14ac:dyDescent="0.25">
      <c r="A67" s="21">
        <v>2010</v>
      </c>
      <c r="B67" s="65"/>
      <c r="C67" s="65"/>
      <c r="D67" s="65"/>
      <c r="E67" s="65"/>
      <c r="F67" s="65"/>
      <c r="G67" s="65"/>
      <c r="H67" s="67"/>
    </row>
    <row r="68" spans="1:69" x14ac:dyDescent="0.25">
      <c r="A68" s="21">
        <v>2011</v>
      </c>
      <c r="B68" s="65">
        <f>2.1/H68</f>
        <v>0.23333333333333334</v>
      </c>
      <c r="C68" s="65">
        <f>B68*H68</f>
        <v>2.1</v>
      </c>
      <c r="D68" s="65">
        <f>0.8/H68</f>
        <v>8.8888888888888892E-2</v>
      </c>
      <c r="E68" s="65">
        <f>D68*H68</f>
        <v>0.8</v>
      </c>
      <c r="F68" s="65">
        <f>6.1/H68</f>
        <v>0.6777777777777777</v>
      </c>
      <c r="G68" s="65">
        <f>F68*H68</f>
        <v>6.1</v>
      </c>
      <c r="H68" s="67">
        <f>6.1+0.8+2.1</f>
        <v>9</v>
      </c>
    </row>
    <row r="69" spans="1:69" x14ac:dyDescent="0.25">
      <c r="A69" s="21">
        <v>2012</v>
      </c>
      <c r="B69" s="65"/>
      <c r="C69" s="65"/>
      <c r="D69" s="65"/>
      <c r="E69" s="65"/>
      <c r="F69" s="65"/>
      <c r="G69" s="65"/>
      <c r="H69" s="67"/>
    </row>
    <row r="70" spans="1:69" x14ac:dyDescent="0.25">
      <c r="A70" s="21">
        <v>2013</v>
      </c>
      <c r="B70" s="65"/>
      <c r="C70" s="65"/>
      <c r="D70" s="65"/>
      <c r="E70" s="65"/>
      <c r="F70" s="65"/>
      <c r="G70" s="65"/>
    </row>
    <row r="71" spans="1:69" x14ac:dyDescent="0.25">
      <c r="A71" s="21">
        <v>2014</v>
      </c>
      <c r="B71" s="65"/>
      <c r="C71" s="65"/>
      <c r="D71" s="65"/>
      <c r="E71" s="65"/>
      <c r="F71" s="65"/>
      <c r="G71" s="65"/>
    </row>
    <row r="72" spans="1:69" x14ac:dyDescent="0.25">
      <c r="A72" s="21">
        <v>2015</v>
      </c>
      <c r="B72" s="65"/>
      <c r="C72" s="65"/>
      <c r="D72" s="65"/>
      <c r="E72" s="65"/>
      <c r="F72" s="65"/>
      <c r="G72" s="65"/>
    </row>
    <row r="73" spans="1:69" x14ac:dyDescent="0.25">
      <c r="A73" s="21">
        <v>2016</v>
      </c>
      <c r="B73" s="65"/>
      <c r="C73" s="65"/>
      <c r="D73" s="65"/>
      <c r="E73" s="65"/>
      <c r="F73" s="65"/>
      <c r="G73" s="65"/>
    </row>
    <row r="74" spans="1:69" x14ac:dyDescent="0.25">
      <c r="A74" s="21">
        <v>2017</v>
      </c>
    </row>
    <row r="75" spans="1:69" x14ac:dyDescent="0.25">
      <c r="A75" s="21">
        <v>2018</v>
      </c>
    </row>
    <row r="76" spans="1:69" x14ac:dyDescent="0.25">
      <c r="A76" s="21">
        <v>2019</v>
      </c>
    </row>
    <row r="77" spans="1:69" x14ac:dyDescent="0.25">
      <c r="A77" s="21">
        <v>2020</v>
      </c>
    </row>
    <row r="78" spans="1:69" s="50" customFormat="1" x14ac:dyDescent="0.25">
      <c r="A78" s="49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</row>
    <row r="79" spans="1:69" s="50" customFormat="1" x14ac:dyDescent="0.25">
      <c r="A79" s="49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</row>
    <row r="80" spans="1:69" s="50" customFormat="1" x14ac:dyDescent="0.25">
      <c r="A80" s="49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</row>
    <row r="87" spans="1:69" s="50" customFormat="1" x14ac:dyDescent="0.25">
      <c r="A87" s="49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</row>
    <row r="88" spans="1:69" s="50" customFormat="1" x14ac:dyDescent="0.25">
      <c r="A88" s="49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7.28515625" style="32" customWidth="1"/>
    <col min="2" max="2" width="19.28515625" style="32" customWidth="1"/>
    <col min="3" max="10" width="19.28515625" style="35" customWidth="1"/>
    <col min="11" max="13" width="20" style="35" customWidth="1"/>
    <col min="14" max="16384" width="10.7109375" style="35"/>
  </cols>
  <sheetData>
    <row r="1" spans="1:12" s="30" customFormat="1" ht="30" x14ac:dyDescent="0.25">
      <c r="A1" s="29" t="s">
        <v>0</v>
      </c>
      <c r="B1" s="5" t="s">
        <v>20</v>
      </c>
      <c r="C1" s="5" t="s">
        <v>30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2" x14ac:dyDescent="0.25">
      <c r="A2" s="31">
        <v>1945</v>
      </c>
      <c r="C2" s="33"/>
      <c r="D2" s="33"/>
      <c r="E2" s="33"/>
      <c r="F2" s="33"/>
      <c r="G2" s="33"/>
      <c r="H2" s="34"/>
      <c r="J2" s="34"/>
      <c r="K2" s="36"/>
      <c r="L2" s="36"/>
    </row>
    <row r="3" spans="1:12" x14ac:dyDescent="0.25">
      <c r="A3" s="31">
        <v>1946</v>
      </c>
      <c r="C3" s="33"/>
      <c r="D3" s="33"/>
      <c r="E3" s="33"/>
      <c r="F3" s="33"/>
      <c r="G3" s="33"/>
      <c r="H3" s="34"/>
      <c r="J3" s="34"/>
      <c r="K3" s="36"/>
      <c r="L3" s="36"/>
    </row>
    <row r="4" spans="1:12" x14ac:dyDescent="0.25">
      <c r="A4" s="31">
        <v>1947</v>
      </c>
      <c r="C4" s="33"/>
      <c r="D4" s="33"/>
      <c r="E4" s="33"/>
      <c r="F4" s="33"/>
      <c r="G4" s="33"/>
      <c r="H4" s="34"/>
      <c r="J4" s="34"/>
      <c r="K4" s="36"/>
      <c r="L4" s="36"/>
    </row>
    <row r="5" spans="1:12" x14ac:dyDescent="0.25">
      <c r="A5" s="31">
        <v>1948</v>
      </c>
      <c r="C5" s="33"/>
      <c r="D5" s="33"/>
      <c r="E5" s="33"/>
      <c r="F5" s="33"/>
      <c r="G5" s="33"/>
      <c r="H5" s="34"/>
      <c r="J5" s="34"/>
      <c r="K5" s="36"/>
      <c r="L5" s="36"/>
    </row>
    <row r="6" spans="1:12" x14ac:dyDescent="0.25">
      <c r="A6" s="31">
        <v>1949</v>
      </c>
      <c r="C6" s="33"/>
      <c r="D6" s="33"/>
      <c r="E6" s="33"/>
      <c r="F6" s="33"/>
      <c r="G6" s="33"/>
      <c r="H6" s="34"/>
      <c r="J6" s="34"/>
      <c r="K6" s="36"/>
      <c r="L6" s="36"/>
    </row>
    <row r="7" spans="1:12" x14ac:dyDescent="0.25">
      <c r="A7" s="31">
        <v>1950</v>
      </c>
      <c r="C7" s="33"/>
      <c r="D7" s="33"/>
      <c r="E7" s="33"/>
      <c r="F7" s="33"/>
      <c r="G7" s="33"/>
      <c r="H7" s="34"/>
      <c r="J7" s="34"/>
      <c r="K7" s="36"/>
      <c r="L7" s="36"/>
    </row>
    <row r="8" spans="1:12" x14ac:dyDescent="0.25">
      <c r="A8" s="31">
        <v>1951</v>
      </c>
      <c r="C8" s="33"/>
      <c r="D8" s="33"/>
      <c r="E8" s="33"/>
      <c r="F8" s="33"/>
      <c r="G8" s="33"/>
      <c r="H8" s="34"/>
      <c r="J8" s="34"/>
      <c r="K8" s="36"/>
      <c r="L8" s="36"/>
    </row>
    <row r="9" spans="1:12" x14ac:dyDescent="0.25">
      <c r="A9" s="31">
        <v>1952</v>
      </c>
      <c r="C9" s="37">
        <v>27800</v>
      </c>
      <c r="D9" s="37">
        <v>37.200000000000003</v>
      </c>
      <c r="E9" s="37">
        <v>103.7</v>
      </c>
      <c r="F9" s="37">
        <v>52800</v>
      </c>
      <c r="G9" s="33"/>
      <c r="H9" s="34"/>
      <c r="J9" s="34"/>
      <c r="K9" s="36"/>
      <c r="L9" s="36"/>
    </row>
    <row r="10" spans="1:12" x14ac:dyDescent="0.25">
      <c r="A10" s="31">
        <v>1953</v>
      </c>
      <c r="B10" s="37">
        <v>45</v>
      </c>
      <c r="C10" s="37">
        <v>25800</v>
      </c>
      <c r="D10" s="37">
        <v>31.3</v>
      </c>
      <c r="E10" s="37">
        <v>113.3</v>
      </c>
      <c r="F10" s="37">
        <v>52100</v>
      </c>
      <c r="G10" s="37">
        <v>113</v>
      </c>
      <c r="H10" s="38">
        <v>0.13</v>
      </c>
      <c r="I10" s="38">
        <v>0.49</v>
      </c>
      <c r="J10" s="37">
        <v>228</v>
      </c>
      <c r="K10" s="36"/>
      <c r="L10" s="36"/>
    </row>
    <row r="11" spans="1:12" x14ac:dyDescent="0.25">
      <c r="A11" s="31">
        <v>1954</v>
      </c>
      <c r="B11" s="37">
        <v>47.235999999999997</v>
      </c>
      <c r="C11" s="37">
        <v>25500</v>
      </c>
      <c r="D11" s="37">
        <v>32.1</v>
      </c>
      <c r="E11" s="37">
        <v>115.7</v>
      </c>
      <c r="F11" s="37">
        <v>59000</v>
      </c>
      <c r="G11" s="33"/>
      <c r="H11" s="34"/>
      <c r="J11" s="34"/>
      <c r="K11" s="36"/>
      <c r="L11" s="36"/>
    </row>
    <row r="12" spans="1:12" x14ac:dyDescent="0.25">
      <c r="A12" s="31">
        <v>1955</v>
      </c>
      <c r="B12" s="37">
        <v>55.337000000000003</v>
      </c>
      <c r="C12" s="37">
        <v>22700</v>
      </c>
      <c r="D12" s="37">
        <v>42.9</v>
      </c>
      <c r="E12" s="37">
        <v>138.69999999999999</v>
      </c>
      <c r="F12" s="37">
        <v>68700</v>
      </c>
      <c r="G12" s="33"/>
      <c r="H12" s="34"/>
      <c r="J12" s="34"/>
      <c r="K12" s="36"/>
      <c r="L12" s="36"/>
    </row>
    <row r="13" spans="1:12" x14ac:dyDescent="0.25">
      <c r="A13" s="31">
        <v>1956</v>
      </c>
      <c r="B13" s="37">
        <v>61.127000000000002</v>
      </c>
      <c r="C13" s="37">
        <v>26700</v>
      </c>
      <c r="D13" s="37">
        <v>31.9</v>
      </c>
      <c r="E13" s="37">
        <v>157.6</v>
      </c>
      <c r="F13" s="37">
        <v>94900</v>
      </c>
      <c r="G13" s="33"/>
      <c r="H13" s="34"/>
      <c r="J13" s="34"/>
      <c r="K13" s="36"/>
      <c r="L13" s="36"/>
    </row>
    <row r="14" spans="1:12" x14ac:dyDescent="0.25">
      <c r="A14" s="31">
        <v>1957</v>
      </c>
      <c r="B14" s="37">
        <v>66.206000000000003</v>
      </c>
      <c r="C14" s="37">
        <v>26951</v>
      </c>
      <c r="D14" s="37">
        <v>23.164999999999999</v>
      </c>
      <c r="E14" s="37">
        <v>159.5</v>
      </c>
      <c r="F14" s="37">
        <v>128900</v>
      </c>
      <c r="G14" s="33"/>
      <c r="H14" s="34"/>
      <c r="J14" s="34"/>
      <c r="K14" s="36"/>
      <c r="L14" s="36"/>
    </row>
    <row r="15" spans="1:12" x14ac:dyDescent="0.25">
      <c r="A15" s="31">
        <v>1958</v>
      </c>
      <c r="B15" s="37">
        <v>71.2</v>
      </c>
      <c r="C15" s="37">
        <v>30365</v>
      </c>
      <c r="D15" s="37">
        <v>10.842000000000001</v>
      </c>
      <c r="E15" s="37">
        <v>177</v>
      </c>
      <c r="F15" s="37">
        <v>162900</v>
      </c>
      <c r="G15" s="33"/>
      <c r="H15" s="34"/>
      <c r="J15" s="34"/>
      <c r="K15" s="36"/>
      <c r="L15" s="36"/>
    </row>
    <row r="16" spans="1:12" x14ac:dyDescent="0.25">
      <c r="A16" s="31">
        <v>1959</v>
      </c>
      <c r="B16" s="37">
        <v>83.5</v>
      </c>
      <c r="C16" s="37">
        <v>31500</v>
      </c>
      <c r="D16" s="37">
        <v>5.8140000000000001</v>
      </c>
      <c r="E16" s="37">
        <v>203.3</v>
      </c>
      <c r="F16" s="37">
        <v>186700</v>
      </c>
      <c r="G16" s="33"/>
      <c r="H16" s="34"/>
      <c r="J16" s="34"/>
      <c r="K16" s="36"/>
      <c r="L16" s="36"/>
    </row>
    <row r="17" spans="1:12" x14ac:dyDescent="0.25">
      <c r="A17" s="31">
        <v>1960</v>
      </c>
      <c r="B17" s="37">
        <v>82.6</v>
      </c>
      <c r="C17" s="33"/>
      <c r="D17" s="37">
        <v>6.8550000000000004</v>
      </c>
      <c r="E17" s="37">
        <v>222.5</v>
      </c>
      <c r="F17" s="37">
        <v>222900</v>
      </c>
      <c r="G17" s="33"/>
      <c r="H17" s="34"/>
      <c r="J17" s="34"/>
      <c r="K17" s="36"/>
      <c r="L17" s="36"/>
    </row>
    <row r="18" spans="1:12" x14ac:dyDescent="0.25">
      <c r="A18" s="31">
        <v>1961</v>
      </c>
      <c r="B18" s="37">
        <v>84</v>
      </c>
      <c r="C18" s="37">
        <f>144200/8.94+2600</f>
        <v>18729.753914988814</v>
      </c>
      <c r="D18" s="37">
        <v>4.5670000000000002</v>
      </c>
      <c r="E18" s="37">
        <v>220</v>
      </c>
      <c r="F18" s="37">
        <v>222300</v>
      </c>
      <c r="G18" s="33"/>
      <c r="H18" s="34"/>
      <c r="J18" s="34"/>
      <c r="K18" s="36"/>
      <c r="L18" s="36"/>
    </row>
    <row r="19" spans="1:12" x14ac:dyDescent="0.25">
      <c r="A19" s="31">
        <v>1962</v>
      </c>
      <c r="B19" s="37">
        <v>97.3</v>
      </c>
      <c r="C19" s="37">
        <f>121200/8.94+1600</f>
        <v>15157.046979865772</v>
      </c>
      <c r="D19" s="37">
        <v>4.0999999999999996</v>
      </c>
      <c r="E19" s="37">
        <v>255.6</v>
      </c>
      <c r="F19" s="37">
        <v>242100</v>
      </c>
      <c r="G19" s="33"/>
      <c r="H19" s="34"/>
      <c r="J19" s="34"/>
      <c r="K19" s="36"/>
      <c r="L19" s="36"/>
    </row>
    <row r="20" spans="1:12" x14ac:dyDescent="0.25">
      <c r="A20" s="31">
        <v>1963</v>
      </c>
      <c r="B20" s="37">
        <v>100.2</v>
      </c>
      <c r="C20" s="37">
        <f>110400/8.94+1800</f>
        <v>14148.993288590606</v>
      </c>
      <c r="D20" s="37">
        <v>3.3</v>
      </c>
      <c r="E20" s="37">
        <v>269.39999999999998</v>
      </c>
      <c r="F20" s="37">
        <v>268100</v>
      </c>
      <c r="G20" s="33"/>
      <c r="H20" s="34"/>
      <c r="J20" s="34"/>
      <c r="K20" s="36"/>
      <c r="L20" s="36"/>
    </row>
    <row r="21" spans="1:12" x14ac:dyDescent="0.25">
      <c r="A21" s="31">
        <v>1964</v>
      </c>
      <c r="B21" s="37">
        <v>114.1</v>
      </c>
      <c r="C21" s="37">
        <f>107300/8.94+1600</f>
        <v>13602.237136465325</v>
      </c>
      <c r="D21" s="37">
        <v>2.4</v>
      </c>
      <c r="E21" s="37">
        <v>283.7</v>
      </c>
      <c r="F21" s="37">
        <v>271600</v>
      </c>
      <c r="G21" s="33"/>
      <c r="H21" s="34"/>
      <c r="J21" s="34"/>
      <c r="K21" s="36"/>
      <c r="L21" s="36"/>
    </row>
    <row r="22" spans="1:12" x14ac:dyDescent="0.25">
      <c r="A22" s="31">
        <v>1965</v>
      </c>
      <c r="B22" s="37">
        <v>118.6</v>
      </c>
      <c r="C22" s="37">
        <f>112300/8.94+5400</f>
        <v>17961.521252796421</v>
      </c>
      <c r="D22" s="37">
        <v>1.7</v>
      </c>
      <c r="E22" s="37">
        <v>291.3</v>
      </c>
      <c r="F22" s="37">
        <v>295100</v>
      </c>
      <c r="G22" s="33"/>
      <c r="H22" s="34"/>
      <c r="J22" s="34"/>
      <c r="K22" s="36"/>
      <c r="L22" s="36"/>
    </row>
    <row r="23" spans="1:12" x14ac:dyDescent="0.25">
      <c r="A23" s="31">
        <v>1966</v>
      </c>
      <c r="B23" s="37">
        <v>123.2</v>
      </c>
      <c r="C23" s="37">
        <f>128300/8.94+6100</f>
        <v>20451.230425055932</v>
      </c>
      <c r="D23" s="37">
        <v>1.2</v>
      </c>
      <c r="E23" s="37">
        <v>305.8</v>
      </c>
      <c r="F23" s="37">
        <v>303000</v>
      </c>
      <c r="G23" s="33"/>
      <c r="H23" s="34"/>
      <c r="I23" s="34"/>
      <c r="J23" s="34"/>
      <c r="K23" s="36"/>
      <c r="L23" s="36"/>
    </row>
    <row r="24" spans="1:12" x14ac:dyDescent="0.25">
      <c r="A24" s="31">
        <v>1967</v>
      </c>
      <c r="C24" s="33"/>
      <c r="D24" s="33"/>
      <c r="E24" s="33"/>
      <c r="G24" s="33"/>
      <c r="H24" s="34"/>
      <c r="I24" s="34"/>
      <c r="J24" s="34"/>
      <c r="K24" s="36"/>
      <c r="L24" s="36"/>
    </row>
    <row r="25" spans="1:12" x14ac:dyDescent="0.25">
      <c r="A25" s="31">
        <v>1968</v>
      </c>
      <c r="C25" s="37">
        <v>21170.686991869919</v>
      </c>
      <c r="D25" s="37">
        <v>0.95699999999999996</v>
      </c>
      <c r="E25" s="37">
        <v>264.06599999999997</v>
      </c>
      <c r="F25" s="37">
        <v>294949</v>
      </c>
      <c r="G25" s="33"/>
      <c r="H25" s="34"/>
      <c r="I25" s="34"/>
      <c r="J25" s="34"/>
      <c r="K25" s="36"/>
      <c r="L25" s="36"/>
    </row>
    <row r="26" spans="1:12" x14ac:dyDescent="0.25">
      <c r="A26" s="31">
        <v>1969</v>
      </c>
      <c r="C26" s="33"/>
      <c r="D26" s="33"/>
      <c r="E26" s="33"/>
      <c r="F26" s="33"/>
      <c r="G26" s="33"/>
      <c r="H26" s="34"/>
      <c r="I26" s="34"/>
      <c r="J26" s="34"/>
      <c r="K26" s="36"/>
      <c r="L26" s="36"/>
    </row>
    <row r="27" spans="1:12" x14ac:dyDescent="0.25">
      <c r="A27" s="31">
        <v>1970</v>
      </c>
      <c r="C27" s="33"/>
      <c r="D27" s="33"/>
      <c r="E27" s="33"/>
      <c r="F27" s="33"/>
      <c r="G27" s="33"/>
      <c r="H27" s="34"/>
      <c r="I27" s="34"/>
      <c r="J27" s="34"/>
      <c r="K27" s="36"/>
      <c r="L27" s="36"/>
    </row>
    <row r="28" spans="1:12" x14ac:dyDescent="0.25">
      <c r="A28" s="31">
        <v>1971</v>
      </c>
      <c r="C28" s="33"/>
      <c r="D28" s="33"/>
      <c r="E28" s="33"/>
      <c r="F28" s="33"/>
      <c r="G28" s="33"/>
      <c r="H28" s="34"/>
      <c r="I28" s="34"/>
      <c r="J28" s="34"/>
      <c r="K28" s="36"/>
      <c r="L28" s="36"/>
    </row>
    <row r="29" spans="1:12" x14ac:dyDescent="0.25">
      <c r="A29" s="31">
        <v>1972</v>
      </c>
      <c r="C29" s="33"/>
      <c r="D29" s="33"/>
      <c r="E29" s="33"/>
      <c r="F29" s="33"/>
      <c r="G29" s="33"/>
      <c r="H29" s="34"/>
      <c r="I29" s="34"/>
      <c r="J29" s="34"/>
      <c r="K29" s="36"/>
      <c r="L29" s="36"/>
    </row>
    <row r="30" spans="1:12" x14ac:dyDescent="0.25">
      <c r="A30" s="31">
        <v>1973</v>
      </c>
      <c r="C30" s="33"/>
      <c r="D30" s="33"/>
      <c r="E30" s="33"/>
      <c r="F30" s="33"/>
      <c r="G30" s="33"/>
      <c r="H30" s="34"/>
      <c r="I30" s="34"/>
      <c r="J30" s="34"/>
      <c r="K30" s="36"/>
      <c r="L30" s="36"/>
    </row>
    <row r="31" spans="1:12" x14ac:dyDescent="0.25">
      <c r="A31" s="31">
        <v>1974</v>
      </c>
      <c r="C31" s="33"/>
      <c r="D31" s="33"/>
      <c r="E31" s="33"/>
      <c r="F31" s="33"/>
      <c r="G31" s="33"/>
      <c r="H31" s="34"/>
      <c r="I31" s="34"/>
      <c r="J31" s="34"/>
      <c r="K31" s="36"/>
      <c r="L31" s="36"/>
    </row>
    <row r="32" spans="1:12" x14ac:dyDescent="0.25">
      <c r="A32" s="31">
        <v>1975</v>
      </c>
      <c r="C32" s="33"/>
      <c r="D32" s="33"/>
      <c r="E32" s="33"/>
      <c r="F32" s="33"/>
      <c r="G32" s="33"/>
      <c r="H32" s="34"/>
      <c r="I32" s="34"/>
      <c r="J32" s="34"/>
      <c r="K32" s="33"/>
      <c r="L32" s="36"/>
    </row>
    <row r="33" spans="1:10" x14ac:dyDescent="0.25">
      <c r="A33" s="31">
        <v>1976</v>
      </c>
      <c r="C33" s="39"/>
      <c r="D33" s="39"/>
      <c r="E33" s="39"/>
      <c r="F33" s="39"/>
      <c r="G33" s="39"/>
      <c r="H33" s="39"/>
      <c r="I33" s="39"/>
      <c r="J33" s="39"/>
    </row>
    <row r="34" spans="1:10" x14ac:dyDescent="0.25">
      <c r="A34" s="31">
        <v>1977</v>
      </c>
      <c r="C34" s="39"/>
      <c r="D34" s="39"/>
      <c r="E34" s="39"/>
      <c r="F34" s="39"/>
      <c r="G34" s="39"/>
      <c r="H34" s="39"/>
      <c r="I34" s="39"/>
      <c r="J34" s="39"/>
    </row>
    <row r="35" spans="1:10" x14ac:dyDescent="0.25">
      <c r="A35" s="31">
        <v>1978</v>
      </c>
      <c r="B35" s="37">
        <v>123.2</v>
      </c>
      <c r="C35" s="39"/>
    </row>
    <row r="36" spans="1:10" x14ac:dyDescent="0.25">
      <c r="A36" s="31">
        <v>1979</v>
      </c>
    </row>
    <row r="37" spans="1:10" x14ac:dyDescent="0.25">
      <c r="A37" s="31">
        <v>1980</v>
      </c>
    </row>
    <row r="38" spans="1:10" x14ac:dyDescent="0.25">
      <c r="A38" s="31">
        <v>1981</v>
      </c>
    </row>
    <row r="39" spans="1:10" x14ac:dyDescent="0.25">
      <c r="A39" s="31">
        <v>1982</v>
      </c>
    </row>
    <row r="40" spans="1:10" x14ac:dyDescent="0.25">
      <c r="A40" s="31">
        <v>1983</v>
      </c>
    </row>
    <row r="41" spans="1:10" x14ac:dyDescent="0.25">
      <c r="A41" s="31">
        <v>1984</v>
      </c>
    </row>
    <row r="42" spans="1:10" x14ac:dyDescent="0.25">
      <c r="A42" s="31">
        <v>1985</v>
      </c>
    </row>
    <row r="43" spans="1:10" x14ac:dyDescent="0.25">
      <c r="A43" s="31">
        <v>1986</v>
      </c>
    </row>
    <row r="44" spans="1:10" x14ac:dyDescent="0.25">
      <c r="A44" s="31">
        <v>1987</v>
      </c>
    </row>
    <row r="45" spans="1:10" x14ac:dyDescent="0.25">
      <c r="A45" s="31">
        <v>1988</v>
      </c>
    </row>
    <row r="46" spans="1:10" x14ac:dyDescent="0.25">
      <c r="A46" s="31">
        <v>1989</v>
      </c>
    </row>
    <row r="47" spans="1:10" x14ac:dyDescent="0.25">
      <c r="A47" s="31">
        <v>1990</v>
      </c>
    </row>
    <row r="48" spans="1:10" x14ac:dyDescent="0.25">
      <c r="A48" s="31">
        <v>1991</v>
      </c>
    </row>
    <row r="49" spans="1:11" x14ac:dyDescent="0.25">
      <c r="A49" s="31">
        <v>1992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1:11" x14ac:dyDescent="0.25">
      <c r="A50" s="31">
        <v>1993</v>
      </c>
      <c r="C50" s="41"/>
      <c r="D50" s="41"/>
      <c r="E50" s="41"/>
      <c r="F50" s="41"/>
      <c r="G50" s="41"/>
      <c r="H50" s="41"/>
      <c r="I50" s="41"/>
      <c r="J50" s="41"/>
    </row>
    <row r="51" spans="1:11" x14ac:dyDescent="0.25">
      <c r="A51" s="31">
        <v>1994</v>
      </c>
      <c r="B51" s="37">
        <v>115.29600000000001</v>
      </c>
      <c r="C51" s="41"/>
      <c r="D51" s="41"/>
      <c r="E51" s="41"/>
      <c r="F51" s="41"/>
      <c r="G51" s="41"/>
      <c r="H51" s="41"/>
      <c r="I51" s="41"/>
      <c r="J51" s="41"/>
    </row>
    <row r="52" spans="1:11" x14ac:dyDescent="0.25">
      <c r="A52" s="31">
        <v>1995</v>
      </c>
      <c r="B52" s="37">
        <v>202</v>
      </c>
      <c r="C52" s="41"/>
      <c r="D52" s="41"/>
      <c r="E52" s="41"/>
      <c r="F52" s="41"/>
      <c r="G52" s="41"/>
      <c r="H52" s="41"/>
      <c r="I52" s="41"/>
      <c r="J52" s="41"/>
    </row>
    <row r="53" spans="1:11" x14ac:dyDescent="0.25">
      <c r="A53" s="31">
        <v>1996</v>
      </c>
      <c r="B53" s="37">
        <v>211.72192513368987</v>
      </c>
      <c r="C53" s="41"/>
      <c r="D53" s="41"/>
      <c r="E53" s="41"/>
      <c r="F53" s="41"/>
      <c r="G53" s="41"/>
      <c r="H53" s="41"/>
      <c r="I53" s="41"/>
      <c r="J53" s="41"/>
    </row>
    <row r="54" spans="1:11" x14ac:dyDescent="0.25">
      <c r="A54" s="31">
        <v>1997</v>
      </c>
      <c r="B54" s="42">
        <v>114</v>
      </c>
      <c r="C54" s="41"/>
      <c r="D54" s="41"/>
      <c r="E54" s="41"/>
      <c r="F54" s="41"/>
      <c r="G54" s="41"/>
      <c r="H54" s="41"/>
      <c r="I54" s="41"/>
      <c r="J54" s="41"/>
    </row>
    <row r="55" spans="1:11" x14ac:dyDescent="0.25">
      <c r="A55" s="31">
        <v>1998</v>
      </c>
      <c r="B55" s="41"/>
      <c r="C55" s="41"/>
      <c r="D55" s="41"/>
      <c r="E55" s="41"/>
      <c r="F55" s="41"/>
      <c r="G55" s="41"/>
      <c r="H55" s="41"/>
      <c r="I55" s="41"/>
      <c r="J55" s="41"/>
    </row>
    <row r="56" spans="1:11" x14ac:dyDescent="0.25">
      <c r="A56" s="31">
        <v>1999</v>
      </c>
      <c r="C56" s="41"/>
      <c r="D56" s="41"/>
      <c r="E56" s="41"/>
      <c r="F56" s="41"/>
      <c r="G56" s="41"/>
      <c r="H56" s="41"/>
      <c r="I56" s="41"/>
      <c r="J56" s="41"/>
    </row>
    <row r="57" spans="1:11" x14ac:dyDescent="0.25">
      <c r="A57" s="31">
        <v>2000</v>
      </c>
      <c r="C57" s="41"/>
      <c r="D57" s="41"/>
      <c r="E57" s="41"/>
      <c r="F57" s="41"/>
      <c r="G57" s="41"/>
      <c r="H57" s="41"/>
      <c r="I57" s="41"/>
      <c r="J57" s="41"/>
    </row>
    <row r="58" spans="1:11" x14ac:dyDescent="0.25">
      <c r="A58" s="31">
        <v>2001</v>
      </c>
      <c r="C58" s="41"/>
      <c r="D58" s="41"/>
      <c r="E58" s="41"/>
      <c r="F58" s="41"/>
      <c r="G58" s="41"/>
      <c r="H58" s="41"/>
      <c r="I58" s="41"/>
      <c r="J58" s="41"/>
    </row>
    <row r="59" spans="1:11" x14ac:dyDescent="0.25">
      <c r="A59" s="31">
        <v>2002</v>
      </c>
      <c r="C59" s="41"/>
      <c r="D59" s="41"/>
      <c r="E59" s="41"/>
      <c r="F59" s="41"/>
      <c r="G59" s="41"/>
      <c r="H59" s="41"/>
      <c r="I59" s="41"/>
      <c r="J59" s="41"/>
    </row>
    <row r="60" spans="1:11" x14ac:dyDescent="0.25">
      <c r="A60" s="31">
        <v>2003</v>
      </c>
      <c r="C60" s="41"/>
      <c r="D60" s="41"/>
      <c r="E60" s="41"/>
      <c r="F60" s="41"/>
      <c r="G60" s="41"/>
      <c r="H60" s="41"/>
      <c r="I60" s="41"/>
      <c r="J60" s="41"/>
    </row>
    <row r="61" spans="1:11" x14ac:dyDescent="0.25">
      <c r="A61" s="31">
        <v>2004</v>
      </c>
      <c r="C61" s="41"/>
      <c r="D61" s="41"/>
      <c r="E61" s="41"/>
      <c r="F61" s="41"/>
      <c r="G61" s="41"/>
      <c r="H61" s="41"/>
      <c r="I61" s="41"/>
      <c r="J61" s="41"/>
    </row>
    <row r="62" spans="1:11" x14ac:dyDescent="0.25">
      <c r="A62" s="31">
        <v>2005</v>
      </c>
      <c r="C62" s="41"/>
      <c r="D62" s="41"/>
      <c r="E62" s="41"/>
      <c r="F62" s="41"/>
      <c r="G62" s="41"/>
      <c r="H62" s="41"/>
      <c r="I62" s="41"/>
      <c r="J62" s="41"/>
    </row>
    <row r="63" spans="1:11" x14ac:dyDescent="0.25">
      <c r="A63" s="31">
        <v>2006</v>
      </c>
      <c r="C63" s="41"/>
      <c r="D63" s="41"/>
      <c r="E63" s="41"/>
      <c r="F63" s="41"/>
      <c r="G63" s="41"/>
      <c r="H63" s="41"/>
      <c r="I63" s="41"/>
      <c r="J63" s="41"/>
    </row>
    <row r="64" spans="1:11" x14ac:dyDescent="0.25">
      <c r="A64" s="31">
        <v>2007</v>
      </c>
      <c r="C64" s="41"/>
      <c r="D64" s="41"/>
      <c r="E64" s="41"/>
      <c r="F64" s="41"/>
      <c r="G64" s="41"/>
      <c r="H64" s="41"/>
      <c r="I64" s="41"/>
      <c r="J64" s="41"/>
    </row>
    <row r="65" spans="1:75" x14ac:dyDescent="0.25">
      <c r="A65" s="31">
        <v>2008</v>
      </c>
    </row>
    <row r="66" spans="1:75" x14ac:dyDescent="0.25">
      <c r="A66" s="31">
        <v>2009</v>
      </c>
    </row>
    <row r="67" spans="1:75" x14ac:dyDescent="0.25">
      <c r="A67" s="31">
        <v>2010</v>
      </c>
    </row>
    <row r="68" spans="1:75" x14ac:dyDescent="0.25">
      <c r="A68" s="31">
        <v>2011</v>
      </c>
    </row>
    <row r="69" spans="1:75" x14ac:dyDescent="0.25">
      <c r="A69" s="31">
        <v>2012</v>
      </c>
    </row>
    <row r="70" spans="1:75" x14ac:dyDescent="0.25">
      <c r="A70" s="31">
        <v>2013</v>
      </c>
    </row>
    <row r="71" spans="1:75" x14ac:dyDescent="0.25">
      <c r="A71" s="31">
        <v>2014</v>
      </c>
    </row>
    <row r="72" spans="1:75" x14ac:dyDescent="0.25">
      <c r="A72" s="31">
        <v>2015</v>
      </c>
    </row>
    <row r="73" spans="1:75" x14ac:dyDescent="0.25">
      <c r="A73" s="31">
        <v>2016</v>
      </c>
    </row>
    <row r="74" spans="1:75" x14ac:dyDescent="0.25">
      <c r="A74" s="31">
        <v>2017</v>
      </c>
    </row>
    <row r="75" spans="1:75" x14ac:dyDescent="0.25">
      <c r="A75" s="31">
        <v>2018</v>
      </c>
    </row>
    <row r="76" spans="1:75" x14ac:dyDescent="0.25">
      <c r="A76" s="31">
        <v>2019</v>
      </c>
    </row>
    <row r="77" spans="1:75" x14ac:dyDescent="0.25">
      <c r="A77" s="31">
        <v>2020</v>
      </c>
    </row>
    <row r="78" spans="1:75" s="43" customFormat="1" x14ac:dyDescent="0.25">
      <c r="A78" s="32"/>
      <c r="B78" s="32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</row>
    <row r="79" spans="1:75" s="43" customFormat="1" x14ac:dyDescent="0.25">
      <c r="A79" s="32"/>
      <c r="B79" s="32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</row>
    <row r="80" spans="1:75" s="43" customFormat="1" x14ac:dyDescent="0.25">
      <c r="A80" s="32"/>
      <c r="B80" s="32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</row>
    <row r="87" spans="1:75" s="43" customFormat="1" x14ac:dyDescent="0.25">
      <c r="A87" s="32"/>
      <c r="B87" s="32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</row>
    <row r="88" spans="1:75" s="43" customFormat="1" x14ac:dyDescent="0.25">
      <c r="A88" s="32"/>
      <c r="B88" s="32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</vt:lpstr>
      <vt:lpstr>consumption</vt:lpstr>
      <vt:lpstr>prod</vt:lpstr>
      <vt:lpstr>import</vt:lpstr>
      <vt:lpstr>export</vt:lpstr>
      <vt:lpstr>workforce</vt:lpstr>
      <vt:lpstr>RawMat_Intensity</vt:lpstr>
      <vt:lpstr>Energy_Intensity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2020-11-25T15:58:55Z</cp:lastPrinted>
  <dcterms:created xsi:type="dcterms:W3CDTF">2020-05-20T17:08:53Z</dcterms:created>
  <dcterms:modified xsi:type="dcterms:W3CDTF">2020-11-27T15:24:46Z</dcterms:modified>
</cp:coreProperties>
</file>