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souvi\Documents\These\80_Calculations\01_MFA_GlassIndustry\RawData\"/>
    </mc:Choice>
  </mc:AlternateContent>
  <xr:revisionPtr revIDLastSave="0" documentId="13_ncr:1_{6D0ED281-2BEB-4D26-988E-B9D8E094F2EE}" xr6:coauthVersionLast="46" xr6:coauthVersionMax="46" xr10:uidLastSave="{00000000-0000-0000-0000-000000000000}"/>
  <bookViews>
    <workbookView xWindow="3510" yWindow="600" windowWidth="13125" windowHeight="15600" tabRatio="681" firstSheet="7" activeTab="8" xr2:uid="{123E2ECC-8474-4F38-AC8E-530CCC4039F8}"/>
  </bookViews>
  <sheets>
    <sheet name="References" sheetId="26" r:id="rId1"/>
    <sheet name="prod" sheetId="15" r:id="rId2"/>
    <sheet name="import" sheetId="14" r:id="rId3"/>
    <sheet name="export" sheetId="12" r:id="rId4"/>
    <sheet name="Population" sheetId="23" r:id="rId5"/>
    <sheet name="MatEnergy_WindowGlass" sheetId="25" r:id="rId6"/>
    <sheet name="MatEnergy_PlateGlass" sheetId="24" r:id="rId7"/>
    <sheet name="RawMat_Intensity" sheetId="21" r:id="rId8"/>
    <sheet name="Energy_Intensity" sheetId="22" r:id="rId9"/>
    <sheet name="emissions"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7" i="22" l="1"/>
  <c r="C67" i="22"/>
  <c r="B67" i="22"/>
  <c r="C76" i="22"/>
  <c r="B76" i="22"/>
  <c r="B50" i="12" l="1"/>
  <c r="B49" i="12"/>
  <c r="B48" i="12"/>
  <c r="B47" i="12"/>
  <c r="B46" i="12"/>
  <c r="D76" i="22"/>
  <c r="I50" i="24" l="1"/>
  <c r="I50" i="21" s="1"/>
  <c r="H50" i="24"/>
  <c r="H50" i="21" s="1"/>
  <c r="G50" i="24"/>
  <c r="G50" i="21" s="1"/>
  <c r="F50" i="24"/>
  <c r="F50" i="21" s="1"/>
  <c r="E50" i="24"/>
  <c r="E50" i="21" s="1"/>
  <c r="D50" i="24"/>
  <c r="D50" i="21" s="1"/>
  <c r="C50" i="24"/>
  <c r="C50" i="21" s="1"/>
  <c r="I49" i="24"/>
  <c r="H49" i="24"/>
  <c r="G49" i="24"/>
  <c r="F49" i="24"/>
  <c r="E49" i="24"/>
  <c r="D49" i="24"/>
  <c r="C49" i="24"/>
  <c r="B49" i="24" s="1"/>
  <c r="I48" i="24"/>
  <c r="H48" i="24"/>
  <c r="G48" i="24"/>
  <c r="F48" i="24"/>
  <c r="E48" i="24"/>
  <c r="D48" i="24"/>
  <c r="C48" i="24"/>
  <c r="B48" i="24" s="1"/>
  <c r="J50" i="15"/>
  <c r="H50" i="15"/>
  <c r="F50" i="15"/>
  <c r="K8" i="15"/>
  <c r="K9" i="15"/>
  <c r="K10" i="15"/>
  <c r="K11" i="15"/>
  <c r="K12" i="15"/>
  <c r="K13" i="15"/>
  <c r="K14" i="15"/>
  <c r="K15" i="15"/>
  <c r="K16" i="15"/>
  <c r="K37" i="15"/>
  <c r="K38" i="15"/>
  <c r="K39" i="15"/>
  <c r="K7" i="15"/>
  <c r="I8" i="15"/>
  <c r="I9" i="15"/>
  <c r="I10" i="15"/>
  <c r="I11" i="15"/>
  <c r="I12" i="15"/>
  <c r="I13" i="15"/>
  <c r="I14" i="15"/>
  <c r="I15" i="15"/>
  <c r="I16" i="15"/>
  <c r="I7" i="15"/>
  <c r="G8" i="15"/>
  <c r="G9" i="15"/>
  <c r="G10" i="15"/>
  <c r="G11" i="15"/>
  <c r="G12" i="15"/>
  <c r="G13" i="15"/>
  <c r="G14" i="15"/>
  <c r="G15" i="15"/>
  <c r="G16" i="15"/>
  <c r="G7" i="15"/>
  <c r="M32" i="24"/>
  <c r="N32" i="24" s="1"/>
  <c r="K32" i="24"/>
  <c r="L32" i="24" s="1"/>
  <c r="M27" i="24"/>
  <c r="N27" i="24" s="1"/>
  <c r="K27" i="24"/>
  <c r="L27" i="24" s="1"/>
  <c r="M17" i="24"/>
  <c r="N17" i="24" s="1"/>
  <c r="K17" i="24"/>
  <c r="L17" i="24" s="1"/>
  <c r="M7" i="24"/>
  <c r="N7" i="24" s="1"/>
  <c r="K7" i="24"/>
  <c r="L7" i="24" s="1"/>
  <c r="M4" i="24"/>
  <c r="N4" i="24" s="1"/>
  <c r="K4" i="24"/>
  <c r="L4" i="24" s="1"/>
  <c r="M32" i="25"/>
  <c r="N32" i="25" s="1"/>
  <c r="K32" i="25"/>
  <c r="L32" i="25" s="1"/>
  <c r="M27" i="25"/>
  <c r="N27" i="25" s="1"/>
  <c r="K27" i="25"/>
  <c r="L27" i="25" s="1"/>
  <c r="M17" i="25"/>
  <c r="N17" i="25" s="1"/>
  <c r="K17" i="25"/>
  <c r="L17" i="25" s="1"/>
  <c r="M7" i="25"/>
  <c r="N7" i="25" s="1"/>
  <c r="K7" i="25"/>
  <c r="L7" i="25" s="1"/>
  <c r="M4" i="25"/>
  <c r="N4" i="25" s="1"/>
  <c r="K4" i="25"/>
  <c r="L4" i="25" s="1"/>
  <c r="B7" i="22" l="1"/>
  <c r="C7" i="22"/>
  <c r="D7" i="22"/>
  <c r="B50" i="24"/>
  <c r="B50" i="21" s="1"/>
  <c r="I28" i="25"/>
  <c r="H28" i="25"/>
  <c r="G28" i="25"/>
  <c r="F28" i="25"/>
  <c r="E28" i="25"/>
  <c r="D28" i="25"/>
  <c r="C28" i="25"/>
  <c r="I27" i="25"/>
  <c r="H27" i="25"/>
  <c r="G27" i="25"/>
  <c r="F27" i="25"/>
  <c r="E27" i="25"/>
  <c r="D27" i="25"/>
  <c r="C27" i="25"/>
  <c r="I26" i="25"/>
  <c r="H26" i="25"/>
  <c r="G26" i="25"/>
  <c r="F26" i="25"/>
  <c r="E26" i="25"/>
  <c r="D26" i="25"/>
  <c r="C26" i="25"/>
  <c r="I25" i="25"/>
  <c r="H25" i="25"/>
  <c r="G25" i="25"/>
  <c r="F25" i="25"/>
  <c r="E25" i="25"/>
  <c r="D25" i="25"/>
  <c r="C25" i="25"/>
  <c r="I24" i="25"/>
  <c r="H24" i="25"/>
  <c r="G24" i="25"/>
  <c r="F24" i="25"/>
  <c r="E24" i="25"/>
  <c r="D24" i="25"/>
  <c r="C24" i="25"/>
  <c r="I23" i="25"/>
  <c r="H23" i="25"/>
  <c r="G23" i="25"/>
  <c r="F23" i="25"/>
  <c r="E23" i="25"/>
  <c r="D23" i="25"/>
  <c r="C23" i="25"/>
  <c r="I22" i="25"/>
  <c r="H22" i="25"/>
  <c r="G22" i="25"/>
  <c r="F22" i="25"/>
  <c r="E22" i="25"/>
  <c r="D22" i="25"/>
  <c r="C22" i="25"/>
  <c r="I21" i="25"/>
  <c r="H21" i="25"/>
  <c r="G21" i="25"/>
  <c r="F21" i="25"/>
  <c r="E21" i="25"/>
  <c r="D21" i="25"/>
  <c r="C21" i="25"/>
  <c r="I20" i="25"/>
  <c r="H20" i="25"/>
  <c r="G20" i="25"/>
  <c r="F20" i="25"/>
  <c r="E20" i="25"/>
  <c r="D20" i="25"/>
  <c r="C20" i="25"/>
  <c r="I19" i="25"/>
  <c r="H19" i="25"/>
  <c r="G19" i="25"/>
  <c r="F19" i="25"/>
  <c r="E19" i="25"/>
  <c r="D19" i="25"/>
  <c r="C19" i="25"/>
  <c r="I18" i="25"/>
  <c r="H18" i="25"/>
  <c r="G18" i="25"/>
  <c r="F18" i="25"/>
  <c r="E18" i="25"/>
  <c r="D18" i="25"/>
  <c r="C18" i="25"/>
  <c r="I17" i="25"/>
  <c r="H17" i="25"/>
  <c r="G17" i="25"/>
  <c r="F17" i="25"/>
  <c r="E17" i="25"/>
  <c r="D17" i="25"/>
  <c r="C17" i="25"/>
  <c r="I16" i="25"/>
  <c r="H16" i="25"/>
  <c r="G16" i="25"/>
  <c r="F16" i="25"/>
  <c r="E16" i="25"/>
  <c r="D16" i="25"/>
  <c r="C16" i="25"/>
  <c r="I15" i="25"/>
  <c r="H15" i="25"/>
  <c r="G15" i="25"/>
  <c r="F15" i="25"/>
  <c r="E15" i="25"/>
  <c r="D15" i="25"/>
  <c r="C15" i="25"/>
  <c r="I13" i="25"/>
  <c r="H13" i="25"/>
  <c r="G13" i="25"/>
  <c r="F13" i="25"/>
  <c r="E13" i="25"/>
  <c r="D13" i="25"/>
  <c r="C13" i="25"/>
  <c r="I12" i="25"/>
  <c r="H12" i="25"/>
  <c r="G12" i="25"/>
  <c r="F12" i="25"/>
  <c r="E12" i="25"/>
  <c r="D12" i="25"/>
  <c r="C12" i="25"/>
  <c r="B11" i="25"/>
  <c r="I10" i="25"/>
  <c r="H10" i="25"/>
  <c r="G10" i="25"/>
  <c r="F10" i="25"/>
  <c r="E10" i="25"/>
  <c r="D10" i="25"/>
  <c r="C10" i="25"/>
  <c r="I9" i="25"/>
  <c r="H9" i="25"/>
  <c r="G9" i="25"/>
  <c r="F9" i="25"/>
  <c r="E9" i="25"/>
  <c r="D9" i="25"/>
  <c r="C9" i="25"/>
  <c r="I8" i="25"/>
  <c r="H8" i="25"/>
  <c r="G8" i="25"/>
  <c r="F8" i="25"/>
  <c r="E8" i="25"/>
  <c r="D8" i="25"/>
  <c r="C8" i="25"/>
  <c r="I7" i="25"/>
  <c r="H7" i="25"/>
  <c r="G7" i="25"/>
  <c r="F7" i="25"/>
  <c r="E7" i="25"/>
  <c r="D7" i="25"/>
  <c r="C7" i="25"/>
  <c r="I6" i="25"/>
  <c r="H6" i="25"/>
  <c r="G6" i="25"/>
  <c r="F6" i="25"/>
  <c r="E6" i="25"/>
  <c r="D6" i="25"/>
  <c r="C6" i="25"/>
  <c r="B6" i="25" s="1"/>
  <c r="I5" i="25"/>
  <c r="H5" i="25"/>
  <c r="G5" i="25"/>
  <c r="F5" i="25"/>
  <c r="E5" i="25"/>
  <c r="D5" i="25"/>
  <c r="C5" i="25"/>
  <c r="B5" i="25" s="1"/>
  <c r="I4" i="25"/>
  <c r="H4" i="25"/>
  <c r="G4" i="25"/>
  <c r="F4" i="25"/>
  <c r="E4" i="25"/>
  <c r="D4" i="25"/>
  <c r="C4" i="25"/>
  <c r="B4" i="25" s="1"/>
  <c r="I3" i="25"/>
  <c r="H3" i="25"/>
  <c r="G3" i="25"/>
  <c r="F3" i="25"/>
  <c r="E3" i="25"/>
  <c r="D3" i="25"/>
  <c r="C3" i="25"/>
  <c r="B3" i="25" s="1"/>
  <c r="I2" i="25"/>
  <c r="H2" i="25"/>
  <c r="G2" i="25"/>
  <c r="F2" i="25"/>
  <c r="E2" i="25"/>
  <c r="D2" i="25"/>
  <c r="C2" i="25"/>
  <c r="B2" i="25" s="1"/>
  <c r="I47" i="24"/>
  <c r="H47" i="24"/>
  <c r="G47" i="24"/>
  <c r="F47" i="24"/>
  <c r="E47" i="24"/>
  <c r="D47" i="24"/>
  <c r="C47" i="24"/>
  <c r="B47" i="24" s="1"/>
  <c r="I46" i="24"/>
  <c r="H46" i="24"/>
  <c r="G46" i="24"/>
  <c r="F46" i="24"/>
  <c r="E46" i="24"/>
  <c r="D46" i="24"/>
  <c r="C46" i="24"/>
  <c r="B46" i="24" s="1"/>
  <c r="I45" i="24"/>
  <c r="H45" i="24"/>
  <c r="G45" i="24"/>
  <c r="F45" i="24"/>
  <c r="E45" i="24"/>
  <c r="D45" i="24"/>
  <c r="C45" i="24"/>
  <c r="B45" i="24" s="1"/>
  <c r="I44" i="24"/>
  <c r="H44" i="24"/>
  <c r="G44" i="24"/>
  <c r="F44" i="24"/>
  <c r="E44" i="24"/>
  <c r="D44" i="24"/>
  <c r="C44" i="24"/>
  <c r="B44" i="24" s="1"/>
  <c r="I43" i="24"/>
  <c r="H43" i="24"/>
  <c r="G43" i="24"/>
  <c r="F43" i="24"/>
  <c r="E43" i="24"/>
  <c r="D43" i="24"/>
  <c r="C43" i="24"/>
  <c r="B43" i="24" s="1"/>
  <c r="I42" i="24"/>
  <c r="H42" i="24"/>
  <c r="G42" i="24"/>
  <c r="F42" i="24"/>
  <c r="E42" i="24"/>
  <c r="D42" i="24"/>
  <c r="C42" i="24"/>
  <c r="B42" i="24" s="1"/>
  <c r="I41" i="24"/>
  <c r="H41" i="24"/>
  <c r="G41" i="24"/>
  <c r="F41" i="24"/>
  <c r="E41" i="24"/>
  <c r="D41" i="24"/>
  <c r="C41" i="24"/>
  <c r="B41" i="24" s="1"/>
  <c r="I40" i="24"/>
  <c r="H40" i="24"/>
  <c r="G40" i="24"/>
  <c r="F40" i="24"/>
  <c r="E40" i="24"/>
  <c r="D40" i="24"/>
  <c r="C40" i="24"/>
  <c r="B40" i="24" s="1"/>
  <c r="I39" i="24"/>
  <c r="H39" i="24"/>
  <c r="G39" i="24"/>
  <c r="F39" i="24"/>
  <c r="E39" i="24"/>
  <c r="D39" i="24"/>
  <c r="C39" i="24"/>
  <c r="I38" i="24"/>
  <c r="H38" i="24"/>
  <c r="G38" i="24"/>
  <c r="F38" i="24"/>
  <c r="E38" i="24"/>
  <c r="D38" i="24"/>
  <c r="C38" i="24"/>
  <c r="I37" i="24"/>
  <c r="H37" i="24"/>
  <c r="G37" i="24"/>
  <c r="F37" i="24"/>
  <c r="E37" i="24"/>
  <c r="D37" i="24"/>
  <c r="C37" i="24"/>
  <c r="I36" i="24"/>
  <c r="H36" i="24"/>
  <c r="G36" i="24"/>
  <c r="F36" i="24"/>
  <c r="E36" i="24"/>
  <c r="D36" i="24"/>
  <c r="C36" i="24"/>
  <c r="I35" i="24"/>
  <c r="H35" i="24"/>
  <c r="G35" i="24"/>
  <c r="F35" i="24"/>
  <c r="E35" i="24"/>
  <c r="D35" i="24"/>
  <c r="C35" i="24"/>
  <c r="I34" i="24"/>
  <c r="H34" i="24"/>
  <c r="G34" i="24"/>
  <c r="F34" i="24"/>
  <c r="E34" i="24"/>
  <c r="D34" i="24"/>
  <c r="C34" i="24"/>
  <c r="I33" i="24"/>
  <c r="H33" i="24"/>
  <c r="G33" i="24"/>
  <c r="F33" i="24"/>
  <c r="E33" i="24"/>
  <c r="D33" i="24"/>
  <c r="C33" i="24"/>
  <c r="I32" i="24"/>
  <c r="H32" i="24"/>
  <c r="G32" i="24"/>
  <c r="F32" i="24"/>
  <c r="E32" i="24"/>
  <c r="D32" i="24"/>
  <c r="C32" i="24"/>
  <c r="I31" i="24"/>
  <c r="H31" i="24"/>
  <c r="G31" i="24"/>
  <c r="F31" i="24"/>
  <c r="E31" i="24"/>
  <c r="D31" i="24"/>
  <c r="C31" i="24"/>
  <c r="I30" i="24"/>
  <c r="H30" i="24"/>
  <c r="G30" i="24"/>
  <c r="F30" i="24"/>
  <c r="E30" i="24"/>
  <c r="D30" i="24"/>
  <c r="C30" i="24"/>
  <c r="I29" i="24"/>
  <c r="H29" i="24"/>
  <c r="G29" i="24"/>
  <c r="F29" i="24"/>
  <c r="E29" i="24"/>
  <c r="D29" i="24"/>
  <c r="C29" i="24"/>
  <c r="I28" i="24"/>
  <c r="H28" i="24"/>
  <c r="G28" i="24"/>
  <c r="F28" i="24"/>
  <c r="E28" i="24"/>
  <c r="D28" i="24"/>
  <c r="C28" i="24"/>
  <c r="B28" i="24" s="1"/>
  <c r="I27" i="24"/>
  <c r="H27" i="24"/>
  <c r="G27" i="24"/>
  <c r="F27" i="24"/>
  <c r="E27" i="24"/>
  <c r="D27" i="24"/>
  <c r="C27" i="24"/>
  <c r="B27" i="24" s="1"/>
  <c r="I26" i="24"/>
  <c r="H26" i="24"/>
  <c r="G26" i="24"/>
  <c r="F26" i="24"/>
  <c r="E26" i="24"/>
  <c r="D26" i="24"/>
  <c r="C26" i="24"/>
  <c r="B26" i="24" s="1"/>
  <c r="I25" i="24"/>
  <c r="H25" i="24"/>
  <c r="G25" i="24"/>
  <c r="F25" i="24"/>
  <c r="E25" i="24"/>
  <c r="D25" i="24"/>
  <c r="C25" i="24"/>
  <c r="B25" i="24" s="1"/>
  <c r="I24" i="24"/>
  <c r="H24" i="24"/>
  <c r="G24" i="24"/>
  <c r="F24" i="24"/>
  <c r="E24" i="24"/>
  <c r="D24" i="24"/>
  <c r="C24" i="24"/>
  <c r="B24" i="24" s="1"/>
  <c r="I23" i="24"/>
  <c r="H23" i="24"/>
  <c r="G23" i="24"/>
  <c r="F23" i="24"/>
  <c r="E23" i="24"/>
  <c r="D23" i="24"/>
  <c r="C23" i="24"/>
  <c r="B23" i="24" s="1"/>
  <c r="I22" i="24"/>
  <c r="H22" i="24"/>
  <c r="G22" i="24"/>
  <c r="F22" i="24"/>
  <c r="E22" i="24"/>
  <c r="D22" i="24"/>
  <c r="C22" i="24"/>
  <c r="B22" i="24" s="1"/>
  <c r="I21" i="24"/>
  <c r="H21" i="24"/>
  <c r="G21" i="24"/>
  <c r="F21" i="24"/>
  <c r="E21" i="24"/>
  <c r="D21" i="24"/>
  <c r="C21" i="24"/>
  <c r="B21" i="24" s="1"/>
  <c r="I20" i="24"/>
  <c r="H20" i="24"/>
  <c r="G20" i="24"/>
  <c r="F20" i="24"/>
  <c r="E20" i="24"/>
  <c r="D20" i="24"/>
  <c r="C20" i="24"/>
  <c r="B20" i="24" s="1"/>
  <c r="I19" i="24"/>
  <c r="H19" i="24"/>
  <c r="G19" i="24"/>
  <c r="F19" i="24"/>
  <c r="E19" i="24"/>
  <c r="D19" i="24"/>
  <c r="C19" i="24"/>
  <c r="B19" i="24" s="1"/>
  <c r="I18" i="24"/>
  <c r="H18" i="24"/>
  <c r="G18" i="24"/>
  <c r="F18" i="24"/>
  <c r="E18" i="24"/>
  <c r="D18" i="24"/>
  <c r="C18" i="24"/>
  <c r="B18" i="24" s="1"/>
  <c r="I17" i="24"/>
  <c r="H17" i="24"/>
  <c r="G17" i="24"/>
  <c r="F17" i="24"/>
  <c r="E17" i="24"/>
  <c r="D17" i="24"/>
  <c r="C17" i="24"/>
  <c r="B17" i="24" s="1"/>
  <c r="I16" i="24"/>
  <c r="H16" i="24"/>
  <c r="G16" i="24"/>
  <c r="F16" i="24"/>
  <c r="E16" i="24"/>
  <c r="D16" i="24"/>
  <c r="C16" i="24"/>
  <c r="B16" i="24" s="1"/>
  <c r="I15" i="24"/>
  <c r="H15" i="24"/>
  <c r="G15" i="24"/>
  <c r="F15" i="24"/>
  <c r="E15" i="24"/>
  <c r="D15" i="24"/>
  <c r="C15" i="24"/>
  <c r="B15" i="24" s="1"/>
  <c r="I14" i="24"/>
  <c r="I14" i="21" s="1"/>
  <c r="H14" i="24"/>
  <c r="H14" i="21" s="1"/>
  <c r="G14" i="24"/>
  <c r="G14" i="21" s="1"/>
  <c r="F14" i="24"/>
  <c r="F14" i="21" s="1"/>
  <c r="E14" i="24"/>
  <c r="E14" i="21" s="1"/>
  <c r="D14" i="24"/>
  <c r="D14" i="21" s="1"/>
  <c r="C14" i="24"/>
  <c r="I13" i="24"/>
  <c r="H13" i="24"/>
  <c r="G13" i="24"/>
  <c r="F13" i="24"/>
  <c r="E13" i="24"/>
  <c r="D13" i="24"/>
  <c r="C13" i="24"/>
  <c r="B13" i="24" s="1"/>
  <c r="I12" i="24"/>
  <c r="H12" i="24"/>
  <c r="G12" i="24"/>
  <c r="F12" i="24"/>
  <c r="E12" i="24"/>
  <c r="D12" i="24"/>
  <c r="C12" i="24"/>
  <c r="B12" i="24" s="1"/>
  <c r="I11" i="24"/>
  <c r="I11" i="21" s="1"/>
  <c r="H11" i="24"/>
  <c r="H11" i="21" s="1"/>
  <c r="G11" i="24"/>
  <c r="G11" i="21" s="1"/>
  <c r="F11" i="24"/>
  <c r="F11" i="21" s="1"/>
  <c r="E11" i="24"/>
  <c r="E11" i="21" s="1"/>
  <c r="D11" i="24"/>
  <c r="D11" i="21" s="1"/>
  <c r="C11" i="24"/>
  <c r="I10" i="24"/>
  <c r="H10" i="24"/>
  <c r="G10" i="24"/>
  <c r="F10" i="24"/>
  <c r="E10" i="24"/>
  <c r="D10" i="24"/>
  <c r="C10" i="24"/>
  <c r="B10" i="24" s="1"/>
  <c r="I9" i="24"/>
  <c r="H9" i="24"/>
  <c r="G9" i="24"/>
  <c r="F9" i="24"/>
  <c r="E9" i="24"/>
  <c r="D9" i="24"/>
  <c r="C9" i="24"/>
  <c r="B9" i="24" s="1"/>
  <c r="I8" i="24"/>
  <c r="H8" i="24"/>
  <c r="G8" i="24"/>
  <c r="F8" i="24"/>
  <c r="E8" i="24"/>
  <c r="D8" i="24"/>
  <c r="C8" i="24"/>
  <c r="B8" i="24" s="1"/>
  <c r="I7" i="24"/>
  <c r="H7" i="24"/>
  <c r="G7" i="24"/>
  <c r="F7" i="24"/>
  <c r="E7" i="24"/>
  <c r="D7" i="24"/>
  <c r="C7" i="24"/>
  <c r="B7" i="24" s="1"/>
  <c r="I6" i="24"/>
  <c r="H6" i="24"/>
  <c r="G6" i="24"/>
  <c r="F6" i="24"/>
  <c r="E6" i="24"/>
  <c r="D6" i="24"/>
  <c r="C6" i="24"/>
  <c r="B6" i="24" s="1"/>
  <c r="I5" i="24"/>
  <c r="H5" i="24"/>
  <c r="G5" i="24"/>
  <c r="F5" i="24"/>
  <c r="E5" i="24"/>
  <c r="D5" i="24"/>
  <c r="C5" i="24"/>
  <c r="B5" i="24" s="1"/>
  <c r="I4" i="24"/>
  <c r="H4" i="24"/>
  <c r="G4" i="24"/>
  <c r="F4" i="24"/>
  <c r="E4" i="24"/>
  <c r="D4" i="24"/>
  <c r="C4" i="24"/>
  <c r="B4" i="24" s="1"/>
  <c r="I3" i="24"/>
  <c r="H3" i="24"/>
  <c r="G3" i="24"/>
  <c r="F3" i="24"/>
  <c r="E3" i="24"/>
  <c r="D3" i="24"/>
  <c r="C3" i="24"/>
  <c r="B3" i="24" s="1"/>
  <c r="I2" i="24"/>
  <c r="H2" i="24"/>
  <c r="G2" i="24"/>
  <c r="F2" i="24"/>
  <c r="E2" i="24"/>
  <c r="D2" i="24"/>
  <c r="C2" i="24"/>
  <c r="B2" i="24" s="1"/>
  <c r="C8" i="21" l="1"/>
  <c r="C9" i="21"/>
  <c r="D10" i="21"/>
  <c r="D12" i="21"/>
  <c r="F15" i="21"/>
  <c r="G16" i="21"/>
  <c r="D9" i="21"/>
  <c r="E10" i="21"/>
  <c r="E13" i="21"/>
  <c r="E12" i="21"/>
  <c r="F13" i="21"/>
  <c r="G15" i="21"/>
  <c r="H16" i="21"/>
  <c r="B31" i="24"/>
  <c r="B32" i="24"/>
  <c r="I8" i="21"/>
  <c r="D13" i="21"/>
  <c r="E15" i="21"/>
  <c r="F16" i="21"/>
  <c r="B29" i="24"/>
  <c r="B37" i="24"/>
  <c r="D8" i="21"/>
  <c r="E9" i="21"/>
  <c r="F10" i="21"/>
  <c r="F12" i="21"/>
  <c r="G13" i="21"/>
  <c r="H15" i="21"/>
  <c r="I16" i="21"/>
  <c r="B36" i="24"/>
  <c r="E8" i="21"/>
  <c r="F9" i="21"/>
  <c r="G10" i="21"/>
  <c r="G12" i="21"/>
  <c r="H13" i="21"/>
  <c r="I15" i="21"/>
  <c r="B39" i="24"/>
  <c r="B14" i="24"/>
  <c r="C14" i="21"/>
  <c r="B38" i="24"/>
  <c r="B11" i="24"/>
  <c r="C11" i="21"/>
  <c r="B35" i="24"/>
  <c r="F8" i="21"/>
  <c r="G9" i="21"/>
  <c r="H10" i="21"/>
  <c r="H12" i="21"/>
  <c r="I13" i="21"/>
  <c r="B30" i="24"/>
  <c r="B34" i="24"/>
  <c r="G8" i="21"/>
  <c r="H9" i="21"/>
  <c r="I10" i="21"/>
  <c r="I12" i="21"/>
  <c r="D16" i="21"/>
  <c r="B33" i="24"/>
  <c r="H8" i="21"/>
  <c r="I9" i="21"/>
  <c r="D15" i="21"/>
  <c r="E16" i="21"/>
  <c r="B7" i="25"/>
  <c r="B8" i="25"/>
  <c r="B8" i="21" s="1"/>
  <c r="B9" i="25"/>
  <c r="B9" i="21" s="1"/>
  <c r="D7" i="21"/>
  <c r="B19" i="25"/>
  <c r="B27" i="25"/>
  <c r="B21" i="25"/>
  <c r="B18" i="25"/>
  <c r="B26" i="25"/>
  <c r="B10" i="25"/>
  <c r="B10" i="21" s="1"/>
  <c r="C10" i="21"/>
  <c r="C7" i="21"/>
  <c r="F7" i="21"/>
  <c r="B17" i="25"/>
  <c r="B25" i="25"/>
  <c r="B12" i="25"/>
  <c r="B12" i="21" s="1"/>
  <c r="C12" i="21"/>
  <c r="B28" i="25"/>
  <c r="G7" i="21"/>
  <c r="B16" i="25"/>
  <c r="B16" i="21" s="1"/>
  <c r="C16" i="21"/>
  <c r="B24" i="25"/>
  <c r="H7" i="21"/>
  <c r="B15" i="25"/>
  <c r="B15" i="21" s="1"/>
  <c r="C15" i="21"/>
  <c r="B23" i="25"/>
  <c r="B20" i="25"/>
  <c r="E7" i="21"/>
  <c r="I7" i="21"/>
  <c r="B13" i="25"/>
  <c r="B13" i="21" s="1"/>
  <c r="C13" i="21"/>
  <c r="B22" i="25"/>
  <c r="D12" i="15"/>
  <c r="B14" i="21" l="1"/>
  <c r="B11" i="21"/>
  <c r="B7" i="21"/>
  <c r="E12" i="15"/>
  <c r="D52" i="12" l="1"/>
  <c r="D76" i="12"/>
  <c r="D75" i="12"/>
  <c r="D74" i="12"/>
  <c r="D73" i="12"/>
  <c r="D72" i="12"/>
  <c r="D71" i="12"/>
  <c r="D70" i="12"/>
  <c r="D69" i="12"/>
  <c r="D68" i="12"/>
  <c r="D67" i="12"/>
  <c r="D66" i="12"/>
  <c r="D65" i="12"/>
  <c r="D64" i="12"/>
  <c r="D63" i="12"/>
  <c r="D62" i="12"/>
  <c r="D61" i="12"/>
  <c r="D60" i="12"/>
  <c r="D59" i="12"/>
  <c r="D58" i="12"/>
  <c r="D57" i="12"/>
  <c r="D56" i="12"/>
  <c r="D55" i="12"/>
  <c r="D54" i="12"/>
  <c r="D53" i="12"/>
  <c r="D76" i="14"/>
  <c r="D75" i="14"/>
  <c r="D74" i="14"/>
  <c r="D73" i="14"/>
  <c r="D72" i="14"/>
  <c r="D71" i="14"/>
  <c r="D70" i="14"/>
  <c r="D69" i="14"/>
  <c r="D68" i="14"/>
  <c r="D67" i="14"/>
  <c r="D66" i="14"/>
  <c r="D65" i="14"/>
  <c r="D64" i="14"/>
  <c r="D63" i="14"/>
  <c r="D62" i="14"/>
  <c r="D61" i="14"/>
  <c r="D60" i="14"/>
  <c r="D59" i="14"/>
  <c r="D58" i="14"/>
  <c r="D57" i="14"/>
  <c r="D56" i="14"/>
  <c r="D55" i="14"/>
  <c r="D54" i="14"/>
  <c r="E76" i="15"/>
  <c r="E75" i="15"/>
  <c r="E74" i="15"/>
  <c r="E73" i="15"/>
  <c r="E72" i="15"/>
  <c r="E71" i="15"/>
  <c r="E70" i="15"/>
  <c r="E69" i="15"/>
  <c r="E68" i="15"/>
  <c r="E67" i="15"/>
  <c r="E66" i="15"/>
  <c r="E65" i="15"/>
  <c r="E64" i="15"/>
  <c r="E63" i="15"/>
  <c r="E62" i="15"/>
  <c r="E61" i="15"/>
  <c r="E60" i="15"/>
  <c r="E59" i="15"/>
  <c r="E58" i="15"/>
  <c r="E57" i="15"/>
  <c r="E56" i="15"/>
  <c r="E55" i="15"/>
  <c r="E54" i="15"/>
  <c r="E53" i="15"/>
  <c r="E52" i="15"/>
  <c r="E51" i="15"/>
  <c r="E50" i="15"/>
  <c r="E49" i="15"/>
  <c r="E48" i="15"/>
  <c r="E47" i="15"/>
  <c r="E46" i="15"/>
  <c r="E45" i="15"/>
  <c r="E44" i="15"/>
  <c r="E43" i="15"/>
  <c r="E42" i="15"/>
  <c r="E41" i="15"/>
  <c r="E40" i="15"/>
  <c r="E39" i="15"/>
  <c r="E35" i="15"/>
  <c r="E34" i="15"/>
  <c r="E33" i="15"/>
  <c r="E32" i="15"/>
  <c r="E31" i="15"/>
  <c r="E30" i="15"/>
  <c r="E29" i="15"/>
  <c r="E28" i="15"/>
  <c r="E3" i="15"/>
  <c r="E27" i="15"/>
  <c r="B17" i="15" l="1"/>
  <c r="B18" i="15"/>
  <c r="B19" i="15"/>
  <c r="B20" i="15"/>
  <c r="B21" i="15"/>
  <c r="B22" i="15"/>
  <c r="B23" i="15"/>
  <c r="B24" i="15"/>
  <c r="B25" i="15"/>
  <c r="B26" i="15"/>
  <c r="B27" i="15"/>
  <c r="B28" i="15"/>
  <c r="B29" i="15"/>
  <c r="B30" i="15"/>
  <c r="B31" i="15"/>
  <c r="B32" i="15"/>
  <c r="B33" i="15"/>
  <c r="B36" i="15"/>
  <c r="B35" i="15"/>
  <c r="B34" i="15"/>
  <c r="G32" i="15" l="1"/>
  <c r="K32" i="15"/>
  <c r="I32" i="15"/>
  <c r="G31" i="15"/>
  <c r="K31" i="15"/>
  <c r="I31" i="15"/>
  <c r="K22" i="15"/>
  <c r="I22" i="15"/>
  <c r="G22" i="15"/>
  <c r="K29" i="15"/>
  <c r="I29" i="15"/>
  <c r="G29" i="15"/>
  <c r="G34" i="15"/>
  <c r="K34" i="15"/>
  <c r="I34" i="15"/>
  <c r="I28" i="15"/>
  <c r="G28" i="15"/>
  <c r="K28" i="15"/>
  <c r="K35" i="15"/>
  <c r="G18" i="15"/>
  <c r="K18" i="15"/>
  <c r="I18" i="15"/>
  <c r="G24" i="15"/>
  <c r="K24" i="15"/>
  <c r="I24" i="15"/>
  <c r="K23" i="15"/>
  <c r="I23" i="15"/>
  <c r="G23" i="15"/>
  <c r="K30" i="15"/>
  <c r="I30" i="15"/>
  <c r="G30" i="15"/>
  <c r="K21" i="15"/>
  <c r="I21" i="15"/>
  <c r="G21" i="15"/>
  <c r="I20" i="15"/>
  <c r="K20" i="15"/>
  <c r="G20" i="15"/>
  <c r="G27" i="15"/>
  <c r="I27" i="15"/>
  <c r="K27" i="15"/>
  <c r="I19" i="15"/>
  <c r="G19" i="15"/>
  <c r="K19" i="15"/>
  <c r="K36" i="15"/>
  <c r="I26" i="15"/>
  <c r="G26" i="15"/>
  <c r="K26" i="15"/>
  <c r="G33" i="15"/>
  <c r="K33" i="15"/>
  <c r="I33" i="15"/>
  <c r="G25" i="15"/>
  <c r="I25" i="15"/>
  <c r="K25" i="15"/>
  <c r="I17" i="15"/>
  <c r="G17" i="15"/>
  <c r="K17" i="15"/>
  <c r="D50" i="12"/>
  <c r="D49" i="12"/>
  <c r="D48" i="12"/>
  <c r="D47" i="12"/>
  <c r="D46" i="12"/>
  <c r="E26" i="21" l="1"/>
  <c r="C26" i="21"/>
  <c r="I26" i="21"/>
  <c r="F26" i="21"/>
  <c r="G26" i="21"/>
  <c r="D26" i="21"/>
  <c r="H26" i="21"/>
  <c r="B26" i="21"/>
  <c r="D24" i="21"/>
  <c r="E24" i="21"/>
  <c r="I24" i="21"/>
  <c r="H24" i="21"/>
  <c r="F24" i="21"/>
  <c r="G24" i="21"/>
  <c r="C24" i="21"/>
  <c r="B24" i="21"/>
  <c r="F22" i="21"/>
  <c r="D22" i="21"/>
  <c r="E22" i="21"/>
  <c r="C22" i="21"/>
  <c r="H22" i="21"/>
  <c r="G22" i="21"/>
  <c r="I22" i="21"/>
  <c r="B22" i="21"/>
  <c r="F30" i="21"/>
  <c r="H30" i="21"/>
  <c r="G30" i="21"/>
  <c r="I30" i="21"/>
  <c r="D30" i="21"/>
  <c r="E30" i="21"/>
  <c r="C30" i="21"/>
  <c r="B30" i="21"/>
  <c r="D34" i="21"/>
  <c r="E34" i="21"/>
  <c r="F34" i="21"/>
  <c r="G34" i="21"/>
  <c r="H34" i="21"/>
  <c r="C34" i="21"/>
  <c r="I34" i="21"/>
  <c r="B34" i="21"/>
  <c r="D29" i="21"/>
  <c r="E29" i="21"/>
  <c r="F29" i="21"/>
  <c r="G29" i="21"/>
  <c r="H29" i="21"/>
  <c r="I29" i="21"/>
  <c r="C29" i="21"/>
  <c r="B29" i="21"/>
  <c r="F31" i="21"/>
  <c r="D31" i="21"/>
  <c r="E31" i="21"/>
  <c r="G31" i="21"/>
  <c r="H31" i="21"/>
  <c r="C31" i="21"/>
  <c r="I31" i="21"/>
  <c r="B31" i="21"/>
  <c r="D17" i="22"/>
  <c r="B17" i="22"/>
  <c r="C17" i="22"/>
  <c r="H17" i="21"/>
  <c r="D17" i="21"/>
  <c r="C17" i="21"/>
  <c r="I17" i="21"/>
  <c r="G17" i="21"/>
  <c r="E17" i="21"/>
  <c r="F17" i="21"/>
  <c r="B17" i="21"/>
  <c r="B32" i="22"/>
  <c r="C32" i="22"/>
  <c r="I32" i="21"/>
  <c r="C32" i="21"/>
  <c r="H32" i="21"/>
  <c r="D32" i="21"/>
  <c r="E32" i="21"/>
  <c r="G32" i="21"/>
  <c r="F32" i="21"/>
  <c r="B32" i="21"/>
  <c r="B27" i="22"/>
  <c r="D27" i="22"/>
  <c r="C27" i="22"/>
  <c r="E27" i="21"/>
  <c r="F27" i="21"/>
  <c r="I27" i="21"/>
  <c r="C27" i="21"/>
  <c r="D27" i="21"/>
  <c r="G27" i="21"/>
  <c r="H27" i="21"/>
  <c r="B27" i="21"/>
  <c r="D20" i="21"/>
  <c r="E20" i="21"/>
  <c r="F20" i="21"/>
  <c r="C20" i="21"/>
  <c r="G20" i="21"/>
  <c r="H20" i="21"/>
  <c r="I20" i="21"/>
  <c r="B20" i="21"/>
  <c r="E25" i="21"/>
  <c r="F25" i="21"/>
  <c r="I25" i="21"/>
  <c r="G25" i="21"/>
  <c r="C25" i="21"/>
  <c r="D25" i="21"/>
  <c r="H25" i="21"/>
  <c r="B25" i="21"/>
  <c r="D23" i="21"/>
  <c r="G23" i="21"/>
  <c r="E23" i="21"/>
  <c r="C23" i="21"/>
  <c r="F23" i="21"/>
  <c r="H23" i="21"/>
  <c r="I23" i="21"/>
  <c r="B23" i="21"/>
  <c r="E18" i="21"/>
  <c r="H18" i="21"/>
  <c r="D18" i="21"/>
  <c r="C18" i="21"/>
  <c r="F18" i="21"/>
  <c r="G18" i="21"/>
  <c r="I18" i="21"/>
  <c r="B18" i="21"/>
  <c r="D19" i="21"/>
  <c r="E19" i="21"/>
  <c r="F19" i="21"/>
  <c r="C19" i="21"/>
  <c r="G19" i="21"/>
  <c r="H19" i="21"/>
  <c r="I19" i="21"/>
  <c r="B19" i="21"/>
  <c r="D21" i="21"/>
  <c r="I21" i="21"/>
  <c r="H21" i="21"/>
  <c r="F21" i="21"/>
  <c r="E21" i="21"/>
  <c r="G21" i="21"/>
  <c r="C21" i="21"/>
  <c r="B21" i="21"/>
  <c r="I33" i="21"/>
  <c r="H33" i="21"/>
  <c r="G33" i="21"/>
  <c r="D33" i="21"/>
  <c r="C33" i="21"/>
  <c r="E33" i="21"/>
  <c r="F33" i="21"/>
  <c r="B33" i="21"/>
  <c r="E28" i="21"/>
  <c r="F28" i="21"/>
  <c r="H28" i="21"/>
  <c r="I28" i="21"/>
  <c r="G28" i="21"/>
  <c r="C28" i="21"/>
  <c r="D28" i="21"/>
  <c r="B28" i="21"/>
  <c r="B65" i="12"/>
  <c r="B7" i="12" l="1"/>
  <c r="L11" i="15" l="1"/>
  <c r="L10" i="15"/>
  <c r="L12" i="15"/>
  <c r="B11" i="12"/>
  <c r="B10" i="12"/>
  <c r="B9" i="12" l="1"/>
  <c r="C61" i="15" l="1"/>
  <c r="B60" i="12" l="1"/>
  <c r="B63" i="12"/>
  <c r="B64" i="12"/>
  <c r="B14" i="12"/>
  <c r="B51"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75E8BD04-760E-454F-AD99-760686DA96F2}">
      <text>
        <r>
          <rPr>
            <sz val="9"/>
            <color indexed="81"/>
            <rFont val="Tahoma"/>
            <family val="2"/>
          </rPr>
          <t xml:space="preserve">Annuaire statistique de la France, Institut National de la Statistique et des Études Économiques, Paris
&gt; From 1983 onwards, glass statistics are carried out by the ministère du redéploiement industriel et du commerce extérieur (SESSI) and no longer by INSEE. </t>
        </r>
      </text>
    </comment>
    <comment ref="D1" authorId="0" shapeId="0" xr:uid="{8EA8309A-41BA-426D-8E4B-34EA2148747F}">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E1" authorId="0" shapeId="0" xr:uid="{12DBEB68-99CB-4F75-A0C7-5CB621205367}">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F1" authorId="0" shapeId="0" xr:uid="{0D598D5A-BA5A-4653-A7B1-F6C08B95DCD7}">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G1" authorId="0" shapeId="0" xr:uid="{F3DBE669-8768-410F-94D2-6DFDC982FCA7}">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H1" authorId="0" shapeId="0" xr:uid="{D2CCEDE9-3A26-441F-9D94-339DCE354FEA}">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I1" authorId="0" shapeId="0" xr:uid="{1B104F82-12B6-4582-A918-5B5A7D0EB6C0}">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J1" authorId="0" shapeId="0" xr:uid="{2736D11C-921C-4ABB-8892-8F365EEE040A}">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K1" authorId="0" shapeId="0" xr:uid="{36ADFC80-462A-4A5D-AE14-9584435A3B3D}">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L1" authorId="0" shapeId="0" xr:uid="{84F65559-3FBF-408A-921B-4DCC6E88FB8B}">
      <text>
        <r>
          <rPr>
            <sz val="9"/>
            <color indexed="81"/>
            <rFont val="Tahoma"/>
            <family val="2"/>
          </rPr>
          <t>Unless otherwise indicated in a note attached to the cell, all data collected in this column comes from : 
Boaglio, p. 144-5</t>
        </r>
      </text>
    </comment>
    <comment ref="M1" authorId="0" shapeId="0" xr:uid="{EAEC846C-4FAD-4676-AA10-41294F348C43}">
      <text>
        <r>
          <rPr>
            <sz val="9"/>
            <color indexed="81"/>
            <rFont val="Tahoma"/>
            <family val="2"/>
          </rPr>
          <t>Unless otherwise indicated in a note attached to the cell, all data collected in this column comes from : 
Boaglio, p. 166</t>
        </r>
      </text>
    </comment>
    <comment ref="B2" authorId="0" shapeId="0" xr:uid="{0293606E-63EC-430D-B837-DEA79A998F2C}">
      <text>
        <r>
          <rPr>
            <sz val="9"/>
            <color indexed="81"/>
            <rFont val="Tahoma"/>
            <family val="2"/>
          </rPr>
          <t>Annuaire statistique de la France, 1961, Institut National de la Statistique et des Études Économiques, Paris, 1962, vol66, no8, p. 145</t>
        </r>
      </text>
    </comment>
    <comment ref="C2" authorId="0" shapeId="0" xr:uid="{E9284692-4669-4E2A-A11A-AAB7846120C9}">
      <text>
        <r>
          <rPr>
            <sz val="9"/>
            <color indexed="81"/>
            <rFont val="Tahoma"/>
            <family val="2"/>
          </rPr>
          <t>L'industrie du verre, Fédération des chambres syndicales de l'industrie du verre, 1954, p.96</t>
        </r>
      </text>
    </comment>
    <comment ref="B3" authorId="0" shapeId="0" xr:uid="{CFF53947-859E-4D1D-A40F-DAC5F83467FC}">
      <text>
        <r>
          <rPr>
            <sz val="9"/>
            <color indexed="81"/>
            <rFont val="Tahoma"/>
            <family val="2"/>
          </rPr>
          <t>Annuaire statistique de la France, 1961, Institut National de la Statistique et des Études Économiques, Paris, 1962, vol66, no8, p. 145</t>
        </r>
      </text>
    </comment>
    <comment ref="D3" authorId="0" shapeId="0" xr:uid="{B5E4E444-EE96-4E94-ADDD-B7C40FCFAB07}">
      <text>
        <r>
          <rPr>
            <sz val="9"/>
            <color indexed="81"/>
            <rFont val="Tahoma"/>
            <family val="2"/>
          </rPr>
          <t xml:space="preserve">Production of the first insulated glazing
</t>
        </r>
      </text>
    </comment>
    <comment ref="B4" authorId="0" shapeId="0" xr:uid="{848C10C8-353A-46AC-9D2A-EBE1DC38168B}">
      <text>
        <r>
          <rPr>
            <sz val="9"/>
            <color indexed="81"/>
            <rFont val="Tahoma"/>
            <family val="2"/>
          </rPr>
          <t>Annuaire statistique de la France, 1961, Institut National de la Statistique et des Études Économiques, Paris, 1962, vol66, no8, p. 145</t>
        </r>
      </text>
    </comment>
    <comment ref="B5" authorId="0" shapeId="0" xr:uid="{29B804DD-1BCF-48BE-83E2-E21EB35E03F8}">
      <text>
        <r>
          <rPr>
            <sz val="9"/>
            <color indexed="81"/>
            <rFont val="Tahoma"/>
            <family val="2"/>
          </rPr>
          <t>Annuaire statistique de la France, 1961, Institut National de la Statistique et des Études Économiques, Paris, 1962, vol66, no8, p. 145</t>
        </r>
      </text>
    </comment>
    <comment ref="B6" authorId="0" shapeId="0" xr:uid="{B75D1CE4-787F-445E-9B66-93A1A421D96E}">
      <text>
        <r>
          <rPr>
            <sz val="9"/>
            <color indexed="81"/>
            <rFont val="Tahoma"/>
            <family val="2"/>
          </rPr>
          <t>Annuaire statistique de la France, 1961, Institut National de la Statistique et des Études Économiques, Paris, 1962, vol66, no8, p. 145</t>
        </r>
      </text>
    </comment>
    <comment ref="B7" authorId="0" shapeId="0" xr:uid="{E6ADE2F2-68BD-482F-A8E1-ACA6EE01C524}">
      <text>
        <r>
          <rPr>
            <sz val="9"/>
            <color indexed="81"/>
            <rFont val="Tahoma"/>
            <family val="2"/>
          </rPr>
          <t>Annuaire statistique de la France, 1961, Institut National de la Statistique et des Études Économiques, Paris, 1962, vol66, no8, p. 145</t>
        </r>
      </text>
    </comment>
    <comment ref="F7" authorId="0" shapeId="0" xr:uid="{7E997057-D121-4152-8A33-3F7E928F2AFF}">
      <text>
        <r>
          <rPr>
            <sz val="9"/>
            <color indexed="81"/>
            <rFont val="Tahoma"/>
            <family val="2"/>
          </rPr>
          <t>L'industrie du verre, Fédération des chambres syndicales de l'industrie du verre, 1954, p.39</t>
        </r>
      </text>
    </comment>
    <comment ref="H7" authorId="0" shapeId="0" xr:uid="{AFD212C6-563A-4D98-B6DD-879A9EC3EB8C}">
      <text>
        <r>
          <rPr>
            <sz val="9"/>
            <color indexed="81"/>
            <rFont val="Tahoma"/>
            <family val="2"/>
          </rPr>
          <t>L'industrie du verre, Fédération des chambres syndicales de l'industrie du verre, 1954, p.39</t>
        </r>
      </text>
    </comment>
    <comment ref="J7" authorId="0" shapeId="0" xr:uid="{BF09010B-6EF9-4391-8944-274B839D64BD}">
      <text>
        <r>
          <rPr>
            <sz val="9"/>
            <color indexed="81"/>
            <rFont val="Tahoma"/>
            <family val="2"/>
          </rPr>
          <t>L'industrie du verre, Fédération des chambres syndicales de l'industrie du verre, 1954, p.39</t>
        </r>
      </text>
    </comment>
    <comment ref="B8" authorId="0" shapeId="0" xr:uid="{01BCA292-7A89-4620-B5D8-8BAA059D9302}">
      <text>
        <r>
          <rPr>
            <sz val="9"/>
            <color indexed="81"/>
            <rFont val="Tahoma"/>
            <family val="2"/>
          </rPr>
          <t>Annuaire statistique de la France, 1961, Institut National de la Statistique et des Études Économiques, Paris, 1962, vol66, no8, p. 145</t>
        </r>
      </text>
    </comment>
    <comment ref="F8" authorId="0" shapeId="0" xr:uid="{9A966A45-318B-4373-A578-2CCEECC5725B}">
      <text>
        <r>
          <rPr>
            <sz val="9"/>
            <color indexed="81"/>
            <rFont val="Tahoma"/>
            <family val="2"/>
          </rPr>
          <t>L'industrie du verre, Fédération des chambres syndicales de l'industrie du verre, 1954, p.39</t>
        </r>
      </text>
    </comment>
    <comment ref="H8" authorId="0" shapeId="0" xr:uid="{C92F7886-57AC-4FAE-90C6-D46030201D5F}">
      <text>
        <r>
          <rPr>
            <sz val="9"/>
            <color indexed="81"/>
            <rFont val="Tahoma"/>
            <family val="2"/>
          </rPr>
          <t>L'industrie du verre, Fédération des chambres syndicales de l'industrie du verre, 1954, p.39</t>
        </r>
      </text>
    </comment>
    <comment ref="J8" authorId="0" shapeId="0" xr:uid="{A0D9D7B3-AD61-4EDC-ADF9-CD7D7BE82538}">
      <text>
        <r>
          <rPr>
            <sz val="9"/>
            <color indexed="81"/>
            <rFont val="Tahoma"/>
            <family val="2"/>
          </rPr>
          <t>L'industrie du verre, Fédération des chambres syndicales de l'industrie du verre, 1954, p.39</t>
        </r>
      </text>
    </comment>
    <comment ref="B9" authorId="0" shapeId="0" xr:uid="{2D1B8900-3282-4172-86B2-B956B7EF221D}">
      <text>
        <r>
          <rPr>
            <sz val="9"/>
            <color indexed="81"/>
            <rFont val="Tahoma"/>
            <family val="2"/>
          </rPr>
          <t>Annuaire statistique de la France, 1961, Institut National de la Statistique et des Études Économiques, Paris, 1962, vol66, no8, p. 145</t>
        </r>
      </text>
    </comment>
    <comment ref="C9" authorId="0" shapeId="0" xr:uid="{EBB9D692-4923-4214-9874-766BC3384EAB}">
      <text>
        <r>
          <rPr>
            <sz val="9"/>
            <color indexed="81"/>
            <rFont val="Tahoma"/>
            <family val="2"/>
          </rPr>
          <t>Annuaire statistique de la France, 1953, Institut National de la Statistique et des Études Économiques, Paris, 1954. p. 156-9</t>
        </r>
      </text>
    </comment>
    <comment ref="F9" authorId="0" shapeId="0" xr:uid="{EF5D5772-6230-4561-B6C5-71CD80A25010}">
      <text>
        <r>
          <rPr>
            <sz val="9"/>
            <color indexed="81"/>
            <rFont val="Tahoma"/>
            <family val="2"/>
          </rPr>
          <t>Annuaire statistique de la France, 1953, Institut National de la Statistique et des Études Économiques, Paris, 1954. p. 156-9</t>
        </r>
      </text>
    </comment>
    <comment ref="H9" authorId="0" shapeId="0" xr:uid="{0A7972E7-E47B-43DF-96FC-D8DF546B80B2}">
      <text>
        <r>
          <rPr>
            <sz val="9"/>
            <color indexed="81"/>
            <rFont val="Tahoma"/>
            <family val="2"/>
          </rPr>
          <t>Annuaire statistique de la France, 1953, Institut National de la Statistique et des Études Économiques, Paris, 1954. p. 156-9</t>
        </r>
      </text>
    </comment>
    <comment ref="J9" authorId="0" shapeId="0" xr:uid="{1E8672AE-9087-4DA6-AA19-35F0393AC967}">
      <text>
        <r>
          <rPr>
            <sz val="9"/>
            <color indexed="81"/>
            <rFont val="Tahoma"/>
            <family val="2"/>
          </rPr>
          <t>Annuaire statistique de la France, 1953, Institut National de la Statistique et des Études Économiques, Paris, 1954. p. 156-9</t>
        </r>
      </text>
    </comment>
    <comment ref="L9" authorId="0" shapeId="0" xr:uid="{4D368F62-462A-42DB-B54B-2B18AC8A1668}">
      <text>
        <r>
          <rPr>
            <sz val="9"/>
            <color indexed="81"/>
            <rFont val="Tahoma"/>
            <family val="2"/>
          </rPr>
          <t>Annuaire statistique de la France, 1953, Institut National de la Statistique et des Études Économiques, Paris, 1954. p. 156-9</t>
        </r>
      </text>
    </comment>
    <comment ref="B10" authorId="0" shapeId="0" xr:uid="{4F594CE4-F201-4C54-885B-04705B497FC9}">
      <text>
        <r>
          <rPr>
            <sz val="9"/>
            <color indexed="81"/>
            <rFont val="Tahoma"/>
            <family val="2"/>
          </rPr>
          <t>Annuaire statistique de la France, 1961, Institut National de la Statistique et des Études Économiques, Paris, 1962, vol66, no8, p. 145</t>
        </r>
      </text>
    </comment>
    <comment ref="F10" authorId="0" shapeId="0" xr:uid="{42002089-E4DF-4182-A31B-8FCE1C94E530}">
      <text>
        <r>
          <rPr>
            <sz val="9"/>
            <color indexed="81"/>
            <rFont val="Tahoma"/>
            <family val="2"/>
          </rPr>
          <t>Annuaire statistique de la France, 1953, Institut National de la Statistique et des Études Économiques, Paris, 1954. p. 156-9</t>
        </r>
      </text>
    </comment>
    <comment ref="H10" authorId="0" shapeId="0" xr:uid="{3821DC5F-F599-44C6-ACAF-3E27FA00B82D}">
      <text>
        <r>
          <rPr>
            <sz val="9"/>
            <color indexed="81"/>
            <rFont val="Tahoma"/>
            <family val="2"/>
          </rPr>
          <t>Annuaire statistique de la France, 1953, Institut National de la Statistique et des Études Économiques, Paris, 1954. p. 156-9</t>
        </r>
      </text>
    </comment>
    <comment ref="J10" authorId="0" shapeId="0" xr:uid="{DC529555-A6E3-4E51-AB2D-832533269304}">
      <text>
        <r>
          <rPr>
            <sz val="9"/>
            <color indexed="81"/>
            <rFont val="Tahoma"/>
            <family val="2"/>
          </rPr>
          <t>Annuaire statistique de la France, 1953, Institut National de la Statistique et des Études Économiques, Paris, 1954. p. 156-9</t>
        </r>
      </text>
    </comment>
    <comment ref="L10" authorId="0" shapeId="0" xr:uid="{6473094A-E0C4-454A-900C-8E3E8B3F5250}">
      <text>
        <r>
          <rPr>
            <sz val="9"/>
            <color indexed="81"/>
            <rFont val="Tahoma"/>
            <family val="2"/>
          </rPr>
          <t>Annuaire statistique de la France, 1953, Institut National de la Statistique et des Études Économiques, Paris, 1954. p. 156-9</t>
        </r>
      </text>
    </comment>
    <comment ref="B11" authorId="0" shapeId="0" xr:uid="{AAFBCA23-B7FB-46AB-AB53-08190AC1EB99}">
      <text>
        <r>
          <rPr>
            <sz val="9"/>
            <color indexed="81"/>
            <rFont val="Tahoma"/>
            <family val="2"/>
          </rPr>
          <t>Annuaire statistique de la France, 1961, Institut National de la Statistique et des Études Économiques, Paris, 1962, vol66, no8, p. 145</t>
        </r>
      </text>
    </comment>
    <comment ref="F11" authorId="0" shapeId="0" xr:uid="{C9BE838C-59F6-4F32-B2A1-695EEC70C15D}">
      <text>
        <r>
          <rPr>
            <sz val="9"/>
            <color indexed="81"/>
            <rFont val="Tahoma"/>
            <family val="2"/>
          </rPr>
          <t>Annuaire statistique de la France, 1954, Institut National de la Statistique et des Études Économiques, Paris, 1955. p. 132-3</t>
        </r>
      </text>
    </comment>
    <comment ref="H11" authorId="0" shapeId="0" xr:uid="{2B678E5F-6FF9-4D5B-A93F-151421382499}">
      <text>
        <r>
          <rPr>
            <sz val="9"/>
            <color indexed="81"/>
            <rFont val="Tahoma"/>
            <family val="2"/>
          </rPr>
          <t>Annuaire statistique de la France, 1954, Institut National de la Statistique et des Études Économiques, Paris, 1955. p. 132-3</t>
        </r>
      </text>
    </comment>
    <comment ref="J11" authorId="0" shapeId="0" xr:uid="{D7D7E024-6D33-4EC1-8CE5-B4D9A13F8DCD}">
      <text>
        <r>
          <rPr>
            <sz val="9"/>
            <color indexed="81"/>
            <rFont val="Tahoma"/>
            <family val="2"/>
          </rPr>
          <t>Annuaire statistique de la France, 1954, Institut National de la Statistique et des Études Économiques, Paris, 1955. p. 132-3</t>
        </r>
      </text>
    </comment>
    <comment ref="L11" authorId="0" shapeId="0" xr:uid="{CC3C20DE-5FD1-4255-A1AA-08D6277F5589}">
      <text>
        <r>
          <rPr>
            <sz val="9"/>
            <color indexed="81"/>
            <rFont val="Tahoma"/>
            <family val="2"/>
          </rPr>
          <t>Annuaire statistique de la France, 1954, Institut National de la Statistique et des Études Économiques, Paris, 1955. p. 132-3</t>
        </r>
      </text>
    </comment>
    <comment ref="B12" authorId="0" shapeId="0" xr:uid="{149C08F9-62CF-41B8-9C7A-C903C4CBD37F}">
      <text>
        <r>
          <rPr>
            <sz val="9"/>
            <color indexed="81"/>
            <rFont val="Tahoma"/>
            <family val="2"/>
          </rPr>
          <t>Annuaire statistique de la France, 1961, Institut National de la Statistique et des Études Économiques, Paris, 1962, vol66, no8, p. 145</t>
        </r>
      </text>
    </comment>
    <comment ref="D12" authorId="0" shapeId="0" xr:uid="{3690CE9E-D22A-4B79-B40F-3BFD4594DE57}">
      <text>
        <r>
          <rPr>
            <sz val="9"/>
            <color indexed="81"/>
            <rFont val="Tahoma"/>
            <family val="2"/>
          </rPr>
          <t>100.000 insulating glass units intalled in Europe in the year 1955. We suppose an average window area of 1.5x1.5m². It represents 2% of the annual production of the year 1970. We generalise this ratio to France and Belgium.</t>
        </r>
      </text>
    </comment>
    <comment ref="F12" authorId="0" shapeId="0" xr:uid="{7D97A9DE-79FC-4646-B96D-33AA13627AAF}">
      <text>
        <r>
          <rPr>
            <sz val="9"/>
            <color indexed="81"/>
            <rFont val="Tahoma"/>
            <family val="2"/>
          </rPr>
          <t>Annuaire statistique de la France, 1956, Institut National de la Statistique et des Études Économiques, Paris, 1957. p. 165-6</t>
        </r>
      </text>
    </comment>
    <comment ref="H12" authorId="0" shapeId="0" xr:uid="{91EB56A3-3E12-42C2-B2B8-23ADB58A3ED5}">
      <text>
        <r>
          <rPr>
            <sz val="9"/>
            <color indexed="81"/>
            <rFont val="Tahoma"/>
            <family val="2"/>
          </rPr>
          <t>Annuaire statistique de la France, 1956, Institut National de la Statistique et des Études Économiques, Paris, 1957. p. 165-6</t>
        </r>
      </text>
    </comment>
    <comment ref="J12" authorId="0" shapeId="0" xr:uid="{33E103DD-2E29-41C2-8ACC-FF00F48BBBB5}">
      <text>
        <r>
          <rPr>
            <sz val="9"/>
            <color indexed="81"/>
            <rFont val="Tahoma"/>
            <family val="2"/>
          </rPr>
          <t>Annuaire statistique de la France, 1956, Institut National de la Statistique et des Études Économiques, Paris, 1957. p. 165-6</t>
        </r>
      </text>
    </comment>
    <comment ref="L12" authorId="0" shapeId="0" xr:uid="{A92CCBFC-3B6B-4927-90AD-A50D1D9EA615}">
      <text>
        <r>
          <rPr>
            <sz val="9"/>
            <color indexed="81"/>
            <rFont val="Tahoma"/>
            <family val="2"/>
          </rPr>
          <t>Annuaire statistique de la France, 1956, Institut National de la Statistique et des Études Économiques, Paris, 1957. p. 165-6</t>
        </r>
      </text>
    </comment>
    <comment ref="B13" authorId="0" shapeId="0" xr:uid="{284D7D64-DF4D-4630-A493-1651D5E9709F}">
      <text>
        <r>
          <rPr>
            <sz val="9"/>
            <color indexed="81"/>
            <rFont val="Tahoma"/>
            <family val="2"/>
          </rPr>
          <t>Annuaire statistique de la France, 1961, Institut National de la Statistique et des Études Économiques, Paris, 1962, vol66, no8, p. 145</t>
        </r>
      </text>
    </comment>
    <comment ref="F13" authorId="0" shapeId="0" xr:uid="{039058EC-1960-41BA-B084-5F13D4C75D0A}">
      <text>
        <r>
          <rPr>
            <sz val="9"/>
            <color indexed="81"/>
            <rFont val="Tahoma"/>
            <family val="2"/>
          </rPr>
          <t>Annuaire statistique de la France, 1957, Institut National de la Statistique et des Études Économiques, Paris, 1958. p. 147-8</t>
        </r>
      </text>
    </comment>
    <comment ref="H13" authorId="0" shapeId="0" xr:uid="{65F0593A-2435-46DC-8172-A008A5687B9E}">
      <text>
        <r>
          <rPr>
            <sz val="9"/>
            <color indexed="81"/>
            <rFont val="Tahoma"/>
            <family val="2"/>
          </rPr>
          <t>Annuaire statistique de la France, 1957, Institut National de la Statistique et des Études Économiques, Paris, 1958. p. 147-8</t>
        </r>
      </text>
    </comment>
    <comment ref="J13" authorId="0" shapeId="0" xr:uid="{959AA8D3-9143-47D8-9024-FEE9557597BB}">
      <text>
        <r>
          <rPr>
            <sz val="9"/>
            <color indexed="81"/>
            <rFont val="Tahoma"/>
            <family val="2"/>
          </rPr>
          <t>Annuaire statistique de la France, 1957, Institut National de la Statistique et des Études Économiques, Paris, 1958. p. 147-8</t>
        </r>
      </text>
    </comment>
    <comment ref="L13" authorId="0" shapeId="0" xr:uid="{B7481281-933E-40DA-9CB4-4BB7F68FCF6D}">
      <text>
        <r>
          <rPr>
            <sz val="9"/>
            <color indexed="81"/>
            <rFont val="Tahoma"/>
            <family val="2"/>
          </rPr>
          <t>Annuaire statistique de la France, 1957, Institut National de la Statistique et des Études Économiques, Paris, 1958. p. 147-8</t>
        </r>
      </text>
    </comment>
    <comment ref="B14" authorId="0" shapeId="0" xr:uid="{6F5388DB-648B-433D-AB70-5982CFD270C8}">
      <text>
        <r>
          <rPr>
            <sz val="9"/>
            <color indexed="81"/>
            <rFont val="Tahoma"/>
            <family val="2"/>
          </rPr>
          <t>Annuaire statistique de la France, 1961, Institut National de la Statistique et des Études Économiques, Paris, 1962, vol66, no8, p. 145</t>
        </r>
      </text>
    </comment>
    <comment ref="F14" authorId="0" shapeId="0" xr:uid="{F841408C-54D3-40D9-8985-4F84A4A077FF}">
      <text>
        <r>
          <rPr>
            <sz val="9"/>
            <color indexed="81"/>
            <rFont val="Tahoma"/>
            <family val="2"/>
          </rPr>
          <t>Annuaire statistique de la France, 1958, Institut National de la Statistique et des Études Économiques, Paris, 1959. p. 158-9</t>
        </r>
      </text>
    </comment>
    <comment ref="H14" authorId="0" shapeId="0" xr:uid="{70B88FAD-309C-4783-98F3-323BCD0719AE}">
      <text>
        <r>
          <rPr>
            <sz val="9"/>
            <color indexed="81"/>
            <rFont val="Tahoma"/>
            <family val="2"/>
          </rPr>
          <t>Annuaire statistique de la France, 1958, Institut National de la Statistique et des Études Économiques, Paris, 1959. p. 158-9</t>
        </r>
      </text>
    </comment>
    <comment ref="J14" authorId="0" shapeId="0" xr:uid="{717B3FCA-B8F3-4B60-A304-52AE9ABD8961}">
      <text>
        <r>
          <rPr>
            <sz val="9"/>
            <color indexed="81"/>
            <rFont val="Tahoma"/>
            <family val="2"/>
          </rPr>
          <t>Annuaire statistique de la France, 1958, Institut National de la Statistique et des Études Économiques, Paris, 1959. p. 158-9</t>
        </r>
      </text>
    </comment>
    <comment ref="L14" authorId="0" shapeId="0" xr:uid="{A37F426E-94D2-467F-A7FF-C44313A2347D}">
      <text>
        <r>
          <rPr>
            <sz val="9"/>
            <color indexed="81"/>
            <rFont val="Tahoma"/>
            <family val="2"/>
          </rPr>
          <t>Annuaire statistique de la France, 1958, Institut National de la Statistique et des Études Économiques, Paris, 1959. p. 158-9</t>
        </r>
      </text>
    </comment>
    <comment ref="B15" authorId="0" shapeId="0" xr:uid="{D554A3CD-4A07-45B9-AB21-753AE08DD90C}">
      <text>
        <r>
          <rPr>
            <sz val="9"/>
            <color indexed="81"/>
            <rFont val="Tahoma"/>
            <family val="2"/>
          </rPr>
          <t>Annuaire statistique de la France, 1961, Institut National de la Statistique et des Études Économiques, Paris, 1962, vol66, no8, p. 145</t>
        </r>
      </text>
    </comment>
    <comment ref="F15" authorId="0" shapeId="0" xr:uid="{C4B0AE22-2062-4292-B61B-EB4AD727B91C}">
      <text>
        <r>
          <rPr>
            <sz val="9"/>
            <color indexed="81"/>
            <rFont val="Tahoma"/>
            <family val="2"/>
          </rPr>
          <t>Annuaire statistique de la France, 1959, Institut National de la Statistique et des Études Économiques, Paris, 1960. p. 158-9</t>
        </r>
      </text>
    </comment>
    <comment ref="H15" authorId="0" shapeId="0" xr:uid="{03CB2E39-FAA6-4208-A6F4-520D6D1FB5BC}">
      <text>
        <r>
          <rPr>
            <sz val="9"/>
            <color indexed="81"/>
            <rFont val="Tahoma"/>
            <family val="2"/>
          </rPr>
          <t>Annuaire statistique de la France, 1959, Institut National de la Statistique et des Études Économiques, Paris, 1960. p. 158-9</t>
        </r>
      </text>
    </comment>
    <comment ref="J15" authorId="0" shapeId="0" xr:uid="{A3E3ACE3-4BCC-4920-8DD3-C6119FB80D2D}">
      <text>
        <r>
          <rPr>
            <sz val="9"/>
            <color indexed="81"/>
            <rFont val="Tahoma"/>
            <family val="2"/>
          </rPr>
          <t>Annuaire statistique de la France, 1959, Institut National de la Statistique et des Études Économiques, Paris, 1960. p. 158-9</t>
        </r>
      </text>
    </comment>
    <comment ref="L15" authorId="0" shapeId="0" xr:uid="{989DA287-84C8-4B60-A76C-9771BF50D6BF}">
      <text>
        <r>
          <rPr>
            <sz val="9"/>
            <color indexed="81"/>
            <rFont val="Tahoma"/>
            <family val="2"/>
          </rPr>
          <t>Annuaire statistique de la France, 1959, Institut National de la Statistique et des Études Économiques, Paris, 1960. p. 158-9</t>
        </r>
      </text>
    </comment>
    <comment ref="B16" authorId="0" shapeId="0" xr:uid="{9BF5E17D-8D4E-47E7-AED6-7024225CA169}">
      <text>
        <r>
          <rPr>
            <sz val="9"/>
            <color indexed="81"/>
            <rFont val="Tahoma"/>
            <family val="2"/>
          </rPr>
          <t>Annuaire statistique de la France, 1961, Institut National de la Statistique et des Études Économiques, Paris, 1962, vol66, no8, p. 145</t>
        </r>
      </text>
    </comment>
    <comment ref="F16" authorId="0" shapeId="0" xr:uid="{85BE53E1-6D44-4ECF-8056-949897DC5DCA}">
      <text>
        <r>
          <rPr>
            <sz val="9"/>
            <color indexed="81"/>
            <rFont val="Tahoma"/>
            <family val="2"/>
          </rPr>
          <t>Annuaire statistique de la France, 1961, Institut National de la Statistique et des Études Économiques, Paris, 1962. p. 213-4</t>
        </r>
      </text>
    </comment>
    <comment ref="H16" authorId="0" shapeId="0" xr:uid="{F051B246-00D2-42B1-9C4B-9AB86A549094}">
      <text>
        <r>
          <rPr>
            <sz val="9"/>
            <color indexed="81"/>
            <rFont val="Tahoma"/>
            <family val="2"/>
          </rPr>
          <t>Annuaire statistique de la France, 1961, Institut National de la Statistique et des Études Économiques, Paris, 1962. p. 213-4</t>
        </r>
      </text>
    </comment>
    <comment ref="J16" authorId="0" shapeId="0" xr:uid="{0E919600-C7CC-414E-911C-476D431DD660}">
      <text>
        <r>
          <rPr>
            <sz val="9"/>
            <color indexed="81"/>
            <rFont val="Tahoma"/>
            <family val="2"/>
          </rPr>
          <t>Annuaire statistique de la France, 1961, Institut National de la Statistique et des Études Économiques, Paris, 1962. p. 213-4</t>
        </r>
      </text>
    </comment>
    <comment ref="L16" authorId="0" shapeId="0" xr:uid="{ABA9F58C-2EC0-4CB9-9E82-3689B43817B2}">
      <text>
        <r>
          <rPr>
            <sz val="9"/>
            <color indexed="81"/>
            <rFont val="Tahoma"/>
            <family val="2"/>
          </rPr>
          <t>Annuaire statistique de la France, 1961, Institut National de la Statistique et des Études Économiques, Paris, 1962. p. 213-4</t>
        </r>
      </text>
    </comment>
    <comment ref="B17" authorId="0" shapeId="0" xr:uid="{8300B13F-3F3D-41CA-A3DA-D35AE736B21F}">
      <text>
        <r>
          <rPr>
            <sz val="9"/>
            <color indexed="81"/>
            <rFont val="Tahoma"/>
            <family val="2"/>
          </rPr>
          <t>Annuaire statistique de la France, 1961, Institut National de la Statistique et des Études Économiques, Paris, 1962. p. 213-4</t>
        </r>
      </text>
    </comment>
    <comment ref="F17" authorId="0" shapeId="0" xr:uid="{60D59861-51B6-487A-9D5E-449360F96A7F}">
      <text>
        <r>
          <rPr>
            <sz val="9"/>
            <color indexed="81"/>
            <rFont val="Tahoma"/>
            <family val="2"/>
          </rPr>
          <t>Annuaire statistique de la France, 1961, Institut National de la Statistique et des Études Économiques, Paris, 1962. p. 213-4</t>
        </r>
      </text>
    </comment>
    <comment ref="H17" authorId="0" shapeId="0" xr:uid="{595E3C06-74D0-458A-A63C-E84E1A936733}">
      <text>
        <r>
          <rPr>
            <sz val="9"/>
            <color indexed="81"/>
            <rFont val="Tahoma"/>
            <family val="2"/>
          </rPr>
          <t>Annuaire statistique de la France, 1961, Institut National de la Statistique et des Études Économiques, Paris, 1962. p. 213-4</t>
        </r>
      </text>
    </comment>
    <comment ref="J17" authorId="0" shapeId="0" xr:uid="{C11D6904-1381-4941-BBEF-34AC261B27AA}">
      <text>
        <r>
          <rPr>
            <sz val="9"/>
            <color indexed="81"/>
            <rFont val="Tahoma"/>
            <family val="2"/>
          </rPr>
          <t>Annuaire statistique de la France, 1961, Institut National de la Statistique et des Études Économiques, Paris, 1962. p. 213-4</t>
        </r>
      </text>
    </comment>
    <comment ref="B18" authorId="0" shapeId="0" xr:uid="{0AE51CF8-7BE6-4F9F-8938-A4A3BEACAC01}">
      <text>
        <r>
          <rPr>
            <sz val="9"/>
            <color indexed="81"/>
            <rFont val="Tahoma"/>
            <family val="2"/>
          </rPr>
          <t>Annuaire statistique de la France, 1962, Institut National de la Statistique et des Études Économiques, Paris, 1963. p. 176-7</t>
        </r>
      </text>
    </comment>
    <comment ref="F18" authorId="0" shapeId="0" xr:uid="{81618106-3EEE-4D05-905A-1B2C1A182D26}">
      <text>
        <r>
          <rPr>
            <sz val="9"/>
            <color indexed="81"/>
            <rFont val="Tahoma"/>
            <family val="2"/>
          </rPr>
          <t>Annuaire statistique de la France, 1962, Institut National de la Statistique et des Études Économiques, Paris, 1963. p. 176-7</t>
        </r>
      </text>
    </comment>
    <comment ref="H18" authorId="0" shapeId="0" xr:uid="{310991AD-7006-4B62-8C4F-719B88A8F91F}">
      <text>
        <r>
          <rPr>
            <sz val="9"/>
            <color indexed="81"/>
            <rFont val="Tahoma"/>
            <family val="2"/>
          </rPr>
          <t>Annuaire statistique de la France, 1962, Institut National de la Statistique et des Études Économiques, Paris, 1963. p. 176-7</t>
        </r>
      </text>
    </comment>
    <comment ref="J18" authorId="0" shapeId="0" xr:uid="{39109713-6E0D-4B6A-9E4C-6F41F964C55F}">
      <text>
        <r>
          <rPr>
            <sz val="9"/>
            <color indexed="81"/>
            <rFont val="Tahoma"/>
            <family val="2"/>
          </rPr>
          <t>Annuaire statistique de la France, 1962, Institut National de la Statistique et des Études Économiques, Paris, 1963. p. 176-7</t>
        </r>
      </text>
    </comment>
    <comment ref="L18" authorId="0" shapeId="0" xr:uid="{3A40F4FD-1F08-49FC-BA10-D1FB119BD41A}">
      <text>
        <r>
          <rPr>
            <sz val="9"/>
            <color indexed="81"/>
            <rFont val="Tahoma"/>
            <family val="2"/>
          </rPr>
          <t>Annuaire statistique de la France, 1962, Institut National de la Statistique et des Études Économiques, Paris, 1963. p. 176-7</t>
        </r>
      </text>
    </comment>
    <comment ref="B19" authorId="0" shapeId="0" xr:uid="{7F310D06-73D3-45A2-BCF4-EB5BC35DCF43}">
      <text>
        <r>
          <rPr>
            <sz val="9"/>
            <color indexed="81"/>
            <rFont val="Tahoma"/>
            <family val="2"/>
          </rPr>
          <t>Annuaire statistique de la France, 1965, Institut National de la Statistique et des Études Économiques, Paris, 1966. p. 266</t>
        </r>
      </text>
    </comment>
    <comment ref="C19" authorId="0" shapeId="0" xr:uid="{058A2F66-5183-42FA-9B61-5F6F59E085F0}">
      <text>
        <r>
          <rPr>
            <sz val="9"/>
            <color indexed="81"/>
            <rFont val="Tahoma"/>
            <family val="2"/>
          </rPr>
          <t>(Boaglio, 1990: 120)</t>
        </r>
      </text>
    </comment>
    <comment ref="F19" authorId="0" shapeId="0" xr:uid="{5F75AABD-2233-467B-AF56-264EA10CB883}">
      <text>
        <r>
          <rPr>
            <sz val="9"/>
            <color indexed="81"/>
            <rFont val="Tahoma"/>
            <family val="2"/>
          </rPr>
          <t>Annuaire statistique de la France, 1963, Institut National de la Statistique et des Études Économiques, Paris, 1964. p. 185-6</t>
        </r>
      </text>
    </comment>
    <comment ref="H19" authorId="0" shapeId="0" xr:uid="{B05D689D-ACFC-40B3-AAF5-58877BB6FE9E}">
      <text>
        <r>
          <rPr>
            <sz val="9"/>
            <color indexed="81"/>
            <rFont val="Tahoma"/>
            <family val="2"/>
          </rPr>
          <t>Annuaire statistique de la France, 1963, Institut National de la Statistique et des Études Économiques, Paris, 1964. p. 185-6</t>
        </r>
      </text>
    </comment>
    <comment ref="J19" authorId="0" shapeId="0" xr:uid="{5A029BD5-12BE-4A9A-AC53-CEC411C08E14}">
      <text>
        <r>
          <rPr>
            <sz val="9"/>
            <color indexed="81"/>
            <rFont val="Tahoma"/>
            <family val="2"/>
          </rPr>
          <t>Annuaire statistique de la France, 1963, Institut National de la Statistique et des Études Économiques, Paris, 1964. p. 185-6</t>
        </r>
      </text>
    </comment>
    <comment ref="L19" authorId="0" shapeId="0" xr:uid="{110BF336-C056-411F-A80E-82CF01ECE991}">
      <text>
        <r>
          <rPr>
            <sz val="9"/>
            <color indexed="81"/>
            <rFont val="Tahoma"/>
            <family val="2"/>
          </rPr>
          <t>Annuaire statistique de la France, 1963, Institut National de la Statistique et des Études Économiques, Paris, 1964. p. 185-6</t>
        </r>
      </text>
    </comment>
    <comment ref="B20" authorId="0" shapeId="0" xr:uid="{5602B503-78D9-4CD1-AFD3-893738E3A60D}">
      <text>
        <r>
          <rPr>
            <sz val="9"/>
            <color indexed="81"/>
            <rFont val="Tahoma"/>
            <family val="2"/>
          </rPr>
          <t>Annuaire statistique de la France, 1965, Institut National de la Statistique et des Études Économiques, Paris, 1966. p. 266</t>
        </r>
      </text>
    </comment>
    <comment ref="F20" authorId="0" shapeId="0" xr:uid="{4FC7B21E-3B51-4488-87F2-08BB02A7D0F3}">
      <text>
        <r>
          <rPr>
            <sz val="9"/>
            <color indexed="81"/>
            <rFont val="Tahoma"/>
            <family val="2"/>
          </rPr>
          <t>Annuaire statistique de la France, 1964, Institut National de la Statistique et des Études Économiques, Paris, 1965. p. 230</t>
        </r>
      </text>
    </comment>
    <comment ref="H20" authorId="0" shapeId="0" xr:uid="{7A20AF52-8C2C-4503-BC69-206607AE4FF5}">
      <text>
        <r>
          <rPr>
            <sz val="9"/>
            <color indexed="81"/>
            <rFont val="Tahoma"/>
            <family val="2"/>
          </rPr>
          <t>Annuaire statistique de la France, 1964, Institut National de la Statistique et des Études Économiques, Paris, 1965. p. 230</t>
        </r>
      </text>
    </comment>
    <comment ref="J20" authorId="0" shapeId="0" xr:uid="{2DCDBC71-9100-40D3-BD29-347BE31C6386}">
      <text>
        <r>
          <rPr>
            <sz val="9"/>
            <color indexed="81"/>
            <rFont val="Tahoma"/>
            <family val="2"/>
          </rPr>
          <t>Annuaire statistique de la France, 1964, Institut National de la Statistique et des Études Économiques, Paris, 1965. p. 230</t>
        </r>
      </text>
    </comment>
    <comment ref="L20" authorId="0" shapeId="0" xr:uid="{3CD5385B-1DF1-44F4-A94E-F3608AC8F14E}">
      <text>
        <r>
          <rPr>
            <sz val="9"/>
            <color indexed="81"/>
            <rFont val="Tahoma"/>
            <family val="2"/>
          </rPr>
          <t>Annuaire statistique de la France, 1964, Institut National de la Statistique et des Études Économiques, Paris, 1965. p. 230</t>
        </r>
      </text>
    </comment>
    <comment ref="B21" authorId="0" shapeId="0" xr:uid="{2FF7E9F5-5763-4402-8F95-432667FECFAB}">
      <text>
        <r>
          <rPr>
            <sz val="9"/>
            <color indexed="81"/>
            <rFont val="Tahoma"/>
            <family val="2"/>
          </rPr>
          <t>Annuaire statistique de la France, 1967, Institut National de la Statistique et des Études Économiques, Paris, 1968. p. 372</t>
        </r>
      </text>
    </comment>
    <comment ref="F21" authorId="0" shapeId="0" xr:uid="{978B9C7D-C7AE-46BA-B521-7A0BED1DF790}">
      <text>
        <r>
          <rPr>
            <sz val="9"/>
            <color indexed="81"/>
            <rFont val="Tahoma"/>
            <family val="2"/>
          </rPr>
          <t>Annuaire statistique de la France, 1965, Institut National de la Statistique et des Études Économiques, Paris, 1966. p. 266</t>
        </r>
      </text>
    </comment>
    <comment ref="H21" authorId="0" shapeId="0" xr:uid="{7BD7BB3B-948A-4A9B-A71F-5A7F2E9842CB}">
      <text>
        <r>
          <rPr>
            <sz val="9"/>
            <color indexed="81"/>
            <rFont val="Tahoma"/>
            <family val="2"/>
          </rPr>
          <t>Annuaire statistique de la France, 1965, Institut National de la Statistique et des Études Économiques, Paris, 1966. p. 266</t>
        </r>
      </text>
    </comment>
    <comment ref="J21" authorId="0" shapeId="0" xr:uid="{FEA3F18C-74BA-4DD7-A776-8964DB0BD0AC}">
      <text>
        <r>
          <rPr>
            <sz val="9"/>
            <color indexed="81"/>
            <rFont val="Tahoma"/>
            <family val="2"/>
          </rPr>
          <t>Annuaire statistique de la France, 1965, Institut National de la Statistique et des Études Économiques, Paris, 1966. p. 266</t>
        </r>
      </text>
    </comment>
    <comment ref="L21" authorId="0" shapeId="0" xr:uid="{FD6BCD97-FB85-4C1D-9AE7-B9AAC9C8167D}">
      <text>
        <r>
          <rPr>
            <sz val="9"/>
            <color indexed="81"/>
            <rFont val="Tahoma"/>
            <family val="2"/>
          </rPr>
          <t>Annuaire statistique de la France, 1965, Institut National de la Statistique et des Études Économiques, Paris, 1966. p. 266</t>
        </r>
      </text>
    </comment>
    <comment ref="B22" authorId="0" shapeId="0" xr:uid="{65EE3820-33EB-4BDC-9D49-B6D9ABA707FC}">
      <text>
        <r>
          <rPr>
            <sz val="9"/>
            <color indexed="81"/>
            <rFont val="Tahoma"/>
            <family val="2"/>
          </rPr>
          <t>Annuaire statistique de la France, 1967, Institut National de la Statistique et des Études Économiques, Paris, 1968. p. 372</t>
        </r>
      </text>
    </comment>
    <comment ref="F22" authorId="0" shapeId="0" xr:uid="{354C2C77-4C76-42C4-A137-C7707A158764}">
      <text>
        <r>
          <rPr>
            <sz val="9"/>
            <color indexed="81"/>
            <rFont val="Tahoma"/>
            <family val="2"/>
          </rPr>
          <t>Annuaire statistique de la France, 1967, Institut National de la Statistique et des Études Économiques, Paris, 1968. p. 372</t>
        </r>
      </text>
    </comment>
    <comment ref="H22" authorId="0" shapeId="0" xr:uid="{758E1BAC-D16C-4914-9AC0-EECFA79C5E3F}">
      <text>
        <r>
          <rPr>
            <sz val="9"/>
            <color indexed="81"/>
            <rFont val="Tahoma"/>
            <family val="2"/>
          </rPr>
          <t>Annuaire statistique de la France, 1967, Institut National de la Statistique et des Études Économiques, Paris, 1968. p. 372</t>
        </r>
      </text>
    </comment>
    <comment ref="J22" authorId="0" shapeId="0" xr:uid="{FC06EA09-BCE5-4DE1-9C7F-F61BF8437E65}">
      <text>
        <r>
          <rPr>
            <sz val="9"/>
            <color indexed="81"/>
            <rFont val="Tahoma"/>
            <family val="2"/>
          </rPr>
          <t>Annuaire statistique de la France, 1967, Institut National de la Statistique et des Études Économiques, Paris, 1968. p. 372</t>
        </r>
      </text>
    </comment>
    <comment ref="B23" authorId="0" shapeId="0" xr:uid="{C1A7DCDA-8D77-47B1-B3F4-6C4C6BD3DBF7}">
      <text>
        <r>
          <rPr>
            <sz val="9"/>
            <color indexed="81"/>
            <rFont val="Tahoma"/>
            <family val="2"/>
          </rPr>
          <t>Annuaire statistique de la France, 1967, Institut National de la Statistique et des Études Économiques, Paris, 1968. p. 372</t>
        </r>
      </text>
    </comment>
    <comment ref="F23" authorId="0" shapeId="0" xr:uid="{097219E9-0EF2-4F78-A86E-E048CE14D245}">
      <text>
        <r>
          <rPr>
            <sz val="9"/>
            <color indexed="81"/>
            <rFont val="Tahoma"/>
            <family val="2"/>
          </rPr>
          <t>Annuaire statistique de la France, 1967, Institut National de la Statistique et des Études Économiques, Paris, 1968. p. 372</t>
        </r>
      </text>
    </comment>
    <comment ref="H23" authorId="0" shapeId="0" xr:uid="{F64E64C7-C3FA-4413-B42E-D26E0D53C11E}">
      <text>
        <r>
          <rPr>
            <sz val="9"/>
            <color indexed="81"/>
            <rFont val="Tahoma"/>
            <family val="2"/>
          </rPr>
          <t>Annuaire statistique de la France, 1967, Institut National de la Statistique et des Études Économiques, Paris, 1968. p. 372</t>
        </r>
      </text>
    </comment>
    <comment ref="J23" authorId="0" shapeId="0" xr:uid="{089D4F32-C542-49D8-8936-D9DB8002633D}">
      <text>
        <r>
          <rPr>
            <sz val="9"/>
            <color indexed="81"/>
            <rFont val="Tahoma"/>
            <family val="2"/>
          </rPr>
          <t>Annuaire statistique de la France, 1967, Institut National de la Statistique et des Études Économiques, Paris, 1968. p. 372</t>
        </r>
      </text>
    </comment>
    <comment ref="L23" authorId="0" shapeId="0" xr:uid="{7629A7E5-361B-40FB-8180-66089255898F}">
      <text>
        <r>
          <rPr>
            <sz val="9"/>
            <color indexed="81"/>
            <rFont val="Tahoma"/>
            <family val="2"/>
          </rPr>
          <t>Annuaire statistique de la France, 1967, Institut National de la Statistique et des Études Économiques, Paris, 1968. p. 372</t>
        </r>
      </text>
    </comment>
    <comment ref="B24" authorId="0" shapeId="0" xr:uid="{F749F91A-41CA-4D3D-BCD3-C9EA880BB669}">
      <text>
        <r>
          <rPr>
            <sz val="9"/>
            <color indexed="81"/>
            <rFont val="Tahoma"/>
            <family val="2"/>
          </rPr>
          <t>Annuaire statistique de la France, 1978, Institut National de la Statistique et des Études Économiques, Paris, 1979. p. 311-3</t>
        </r>
      </text>
    </comment>
    <comment ref="F24" authorId="0" shapeId="0" xr:uid="{B3A3FAEF-AF50-492C-943A-BEDF142EE565}">
      <text>
        <r>
          <rPr>
            <sz val="9"/>
            <color indexed="81"/>
            <rFont val="Tahoma"/>
            <family val="2"/>
          </rPr>
          <t>Annuaire statistique de la France, 1978, Institut National de la Statistique et des Études Économiques, Paris, 1979. p. 311-3</t>
        </r>
      </text>
    </comment>
    <comment ref="H24" authorId="0" shapeId="0" xr:uid="{7C35FE72-FDFB-4984-A1F1-29453A365552}">
      <text>
        <r>
          <rPr>
            <sz val="9"/>
            <color indexed="81"/>
            <rFont val="Tahoma"/>
            <family val="2"/>
          </rPr>
          <t>Annuaire statistique de la France, 1978, Institut National de la Statistique et des Études Économiques, Paris, 1979. p. 311-3</t>
        </r>
      </text>
    </comment>
    <comment ref="J24" authorId="0" shapeId="0" xr:uid="{26EC1405-2FA9-4562-9F80-BEE0CBBDDA49}">
      <text>
        <r>
          <rPr>
            <sz val="9"/>
            <color indexed="81"/>
            <rFont val="Tahoma"/>
            <family val="2"/>
          </rPr>
          <t>Annuaire statistique de la France, 1978, Institut National de la Statistique et des Études Économiques, Paris, 1979. p. 311-3</t>
        </r>
      </text>
    </comment>
    <comment ref="B25" authorId="0" shapeId="0" xr:uid="{F4953A3F-DE85-45F2-B994-51431B093BF9}">
      <text>
        <r>
          <rPr>
            <sz val="9"/>
            <color indexed="81"/>
            <rFont val="Tahoma"/>
            <family val="2"/>
          </rPr>
          <t>Annuaire statistique de la France, 1978, Institut National de la Statistique et des Études Économiques, Paris, 1979. p. 311-3</t>
        </r>
      </text>
    </comment>
    <comment ref="C25" authorId="0" shapeId="0" xr:uid="{D1497B17-1D37-4369-99C3-3EEEACFD788B}">
      <text>
        <r>
          <rPr>
            <sz val="9"/>
            <color indexed="81"/>
            <rFont val="Tahoma"/>
            <family val="2"/>
          </rPr>
          <t>Industries du verre, CNPF and INSEE, 1971, Monographies de l'industrie et du commerce en France, n° 1, p. 114</t>
        </r>
      </text>
    </comment>
    <comment ref="F25" authorId="0" shapeId="0" xr:uid="{F4E98670-5772-4A7F-97DF-04325ED81A96}">
      <text>
        <r>
          <rPr>
            <sz val="9"/>
            <color indexed="81"/>
            <rFont val="Tahoma"/>
            <family val="2"/>
          </rPr>
          <t>Annuaire statistique de la France, 1978, Institut National de la Statistique et des Études Économiques, Paris, 1979. p. 311-3</t>
        </r>
      </text>
    </comment>
    <comment ref="H25" authorId="0" shapeId="0" xr:uid="{42F87CEB-6077-426B-ACBE-A95ECA7427EE}">
      <text>
        <r>
          <rPr>
            <sz val="9"/>
            <color indexed="81"/>
            <rFont val="Tahoma"/>
            <family val="2"/>
          </rPr>
          <t>Annuaire statistique de la France, 1978, Institut National de la Statistique et des Études Économiques, Paris, 1979. p. 311-3</t>
        </r>
      </text>
    </comment>
    <comment ref="J25" authorId="0" shapeId="0" xr:uid="{A8F1B119-7D28-4CD0-BEAF-FAC721E56AAA}">
      <text>
        <r>
          <rPr>
            <sz val="9"/>
            <color indexed="81"/>
            <rFont val="Tahoma"/>
            <family val="2"/>
          </rPr>
          <t>Annuaire statistique de la France, 1978, Institut National de la Statistique et des Études Économiques, Paris, 1979. p. 311-3</t>
        </r>
      </text>
    </comment>
    <comment ref="B26" authorId="0" shapeId="0" xr:uid="{42747A8B-A5E1-49F7-99E3-DA9B6638831E}">
      <text>
        <r>
          <rPr>
            <sz val="9"/>
            <color indexed="81"/>
            <rFont val="Tahoma"/>
            <family val="2"/>
          </rPr>
          <t>Annuaire statistique de la France, 1978, Institut National de la Statistique et des Études Économiques, Paris, 1979. p. 311-3</t>
        </r>
      </text>
    </comment>
    <comment ref="F26" authorId="0" shapeId="0" xr:uid="{1871E4CC-6BF0-434B-BCB9-216F2346A76B}">
      <text>
        <r>
          <rPr>
            <sz val="9"/>
            <color indexed="81"/>
            <rFont val="Tahoma"/>
            <family val="2"/>
          </rPr>
          <t>Annuaire statistique de la France, 1978, Institut National de la Statistique et des Études Économiques, Paris, 1979. p. 311-3</t>
        </r>
      </text>
    </comment>
    <comment ref="H26" authorId="0" shapeId="0" xr:uid="{C26D21D7-E07A-475D-98C9-28C9946D0032}">
      <text>
        <r>
          <rPr>
            <sz val="9"/>
            <color indexed="81"/>
            <rFont val="Tahoma"/>
            <family val="2"/>
          </rPr>
          <t>Annuaire statistique de la France, 1978, Institut National de la Statistique et des Études Économiques, Paris, 1979. p. 311-3</t>
        </r>
      </text>
    </comment>
    <comment ref="J26" authorId="0" shapeId="0" xr:uid="{1519DAA5-9B34-40DD-9EE2-CFDE4F699EB1}">
      <text>
        <r>
          <rPr>
            <sz val="9"/>
            <color indexed="81"/>
            <rFont val="Tahoma"/>
            <family val="2"/>
          </rPr>
          <t>Annuaire statistique de la France, 1978, Institut National de la Statistique et des Études Économiques, Paris, 1979. p. 311-3</t>
        </r>
      </text>
    </comment>
    <comment ref="B27" authorId="0" shapeId="0" xr:uid="{C8FFF30C-D91A-42DA-8F5D-F4373AE5593D}">
      <text>
        <r>
          <rPr>
            <sz val="9"/>
            <color indexed="81"/>
            <rFont val="Tahoma"/>
            <family val="2"/>
          </rPr>
          <t>Annuaire statistique de la France, 1978, Institut National de la Statistique et des Études Économiques, Paris, 1979. p. 311-3</t>
        </r>
      </text>
    </comment>
    <comment ref="F27" authorId="0" shapeId="0" xr:uid="{14C7333E-6A08-4E9C-9C06-AB0EE3A79ECD}">
      <text>
        <r>
          <rPr>
            <sz val="9"/>
            <color indexed="81"/>
            <rFont val="Tahoma"/>
            <family val="2"/>
          </rPr>
          <t>Annuaire statistique de la France, 1978, Institut National de la Statistique et des Études Économiques, Paris, 1979. p. 311-3</t>
        </r>
      </text>
    </comment>
    <comment ref="H27" authorId="0" shapeId="0" xr:uid="{E9FE23A5-8B97-4ED6-9E78-9868811D3D0C}">
      <text>
        <r>
          <rPr>
            <sz val="9"/>
            <color indexed="81"/>
            <rFont val="Tahoma"/>
            <family val="2"/>
          </rPr>
          <t>Annuaire statistique de la France, 1978, Institut National de la Statistique et des Études Économiques, Paris, 1979. p. 311-3</t>
        </r>
      </text>
    </comment>
    <comment ref="J27" authorId="0" shapeId="0" xr:uid="{D824496F-3453-4220-B355-7AF5F6B407E6}">
      <text>
        <r>
          <rPr>
            <sz val="9"/>
            <color indexed="81"/>
            <rFont val="Tahoma"/>
            <family val="2"/>
          </rPr>
          <t>Annuaire statistique de la France, 1978, Institut National de la Statistique et des Études Économiques, Paris, 1979. p. 311-3</t>
        </r>
      </text>
    </comment>
    <comment ref="B28" authorId="0" shapeId="0" xr:uid="{CE146CE1-CBFC-4CF6-B16B-7BAB54CE6EA3}">
      <text>
        <r>
          <rPr>
            <sz val="9"/>
            <color indexed="81"/>
            <rFont val="Tahoma"/>
            <family val="2"/>
          </rPr>
          <t>Annuaire statistique de la France, 1978, Institut National de la Statistique et des Études Économiques, Paris, 1979. p. 311-3</t>
        </r>
      </text>
    </comment>
    <comment ref="F28" authorId="0" shapeId="0" xr:uid="{84E12A52-4F3E-4A86-A917-C3FA5BD871BA}">
      <text>
        <r>
          <rPr>
            <sz val="9"/>
            <color indexed="81"/>
            <rFont val="Tahoma"/>
            <family val="2"/>
          </rPr>
          <t>Annuaire statistique de la France, 1978, Institut National de la Statistique et des Études Économiques, Paris, 1979. p. 311-3</t>
        </r>
      </text>
    </comment>
    <comment ref="H28" authorId="0" shapeId="0" xr:uid="{29FABEB5-433C-4302-B45D-250142EFE549}">
      <text>
        <r>
          <rPr>
            <sz val="9"/>
            <color indexed="81"/>
            <rFont val="Tahoma"/>
            <family val="2"/>
          </rPr>
          <t>Annuaire statistique de la France, 1978, Institut National de la Statistique et des Études Économiques, Paris, 1979. p. 311-3</t>
        </r>
      </text>
    </comment>
    <comment ref="J28" authorId="0" shapeId="0" xr:uid="{9D201F89-359B-4ECB-9687-3E61932E06F6}">
      <text>
        <r>
          <rPr>
            <sz val="9"/>
            <color indexed="81"/>
            <rFont val="Tahoma"/>
            <family val="2"/>
          </rPr>
          <t>Annuaire statistique de la France, 1978, Institut National de la Statistique et des Études Économiques, Paris, 1979. p. 311-3</t>
        </r>
      </text>
    </comment>
    <comment ref="B29" authorId="0" shapeId="0" xr:uid="{F5F2CDD0-4806-4D9B-85FF-E09F842C606D}">
      <text>
        <r>
          <rPr>
            <sz val="9"/>
            <color indexed="81"/>
            <rFont val="Tahoma"/>
            <family val="2"/>
          </rPr>
          <t>Annuaire statistique de la France, 1978, Institut National de la Statistique et des Études Économiques, Paris, 1979. p. 311-3</t>
        </r>
      </text>
    </comment>
    <comment ref="F29" authorId="0" shapeId="0" xr:uid="{B028F262-5C16-43A9-9644-252626353205}">
      <text>
        <r>
          <rPr>
            <sz val="9"/>
            <color indexed="81"/>
            <rFont val="Tahoma"/>
            <family val="2"/>
          </rPr>
          <t>Annuaire statistique de la France, 1978, Institut National de la Statistique et des Études Économiques, Paris, 1979. p. 311-3</t>
        </r>
      </text>
    </comment>
    <comment ref="H29" authorId="0" shapeId="0" xr:uid="{03804745-AE62-48E8-8768-BE35FB39C10B}">
      <text>
        <r>
          <rPr>
            <sz val="9"/>
            <color indexed="81"/>
            <rFont val="Tahoma"/>
            <family val="2"/>
          </rPr>
          <t>Annuaire statistique de la France, 1978, Institut National de la Statistique et des Études Économiques, Paris, 1979. p. 311-3</t>
        </r>
      </text>
    </comment>
    <comment ref="J29" authorId="0" shapeId="0" xr:uid="{9B8AA2BA-CCCD-4AD9-B537-2B2C3F968068}">
      <text>
        <r>
          <rPr>
            <sz val="9"/>
            <color indexed="81"/>
            <rFont val="Tahoma"/>
            <family val="2"/>
          </rPr>
          <t>Annuaire statistique de la France, 1978, Institut National de la Statistique et des Études Économiques, Paris, 1979. p. 311-3</t>
        </r>
      </text>
    </comment>
    <comment ref="B30" authorId="0" shapeId="0" xr:uid="{72927B4C-DA20-408B-816A-A13AE0516803}">
      <text>
        <r>
          <rPr>
            <sz val="9"/>
            <color indexed="81"/>
            <rFont val="Tahoma"/>
            <family val="2"/>
          </rPr>
          <t>Annuaire statistique de la France, 1978, Institut National de la Statistique et des Études Économiques, Paris, 1979. p. 311-3</t>
        </r>
      </text>
    </comment>
    <comment ref="F30" authorId="0" shapeId="0" xr:uid="{3C751121-2C20-4E7A-AB1D-7BB8EFC391D5}">
      <text>
        <r>
          <rPr>
            <sz val="9"/>
            <color indexed="81"/>
            <rFont val="Tahoma"/>
            <family val="2"/>
          </rPr>
          <t>Annuaire statistique de la France, 1978, Institut National de la Statistique et des Études Économiques, Paris, 1979. p. 311-3</t>
        </r>
      </text>
    </comment>
    <comment ref="H30" authorId="0" shapeId="0" xr:uid="{FB77A041-2969-4579-8A37-49BB10FB6106}">
      <text>
        <r>
          <rPr>
            <sz val="9"/>
            <color indexed="81"/>
            <rFont val="Tahoma"/>
            <family val="2"/>
          </rPr>
          <t>Annuaire statistique de la France, 1978, Institut National de la Statistique et des Études Économiques, Paris, 1979. p. 311-3</t>
        </r>
      </text>
    </comment>
    <comment ref="J30" authorId="0" shapeId="0" xr:uid="{BFE0429D-34C7-4552-B51A-CB1CCAD32672}">
      <text>
        <r>
          <rPr>
            <sz val="9"/>
            <color indexed="81"/>
            <rFont val="Tahoma"/>
            <family val="2"/>
          </rPr>
          <t>Annuaire statistique de la France, 1978, Institut National de la Statistique et des Études Économiques, Paris, 1979. p. 311-3</t>
        </r>
      </text>
    </comment>
    <comment ref="B31" authorId="0" shapeId="0" xr:uid="{E03D0B22-7E13-4718-BA71-1131ABF1BA5B}">
      <text>
        <r>
          <rPr>
            <sz val="9"/>
            <color indexed="81"/>
            <rFont val="Tahoma"/>
            <family val="2"/>
          </rPr>
          <t>Annuaire statistique de la France, 1978, Institut National de la Statistique et des Études Économiques, Paris, 1979. p. 311-3</t>
        </r>
      </text>
    </comment>
    <comment ref="F31" authorId="0" shapeId="0" xr:uid="{44C5D01F-FEE4-4FC8-B65D-C3201F905D10}">
      <text>
        <r>
          <rPr>
            <sz val="9"/>
            <color indexed="81"/>
            <rFont val="Tahoma"/>
            <family val="2"/>
          </rPr>
          <t>Annuaire statistique de la France, 1978, Institut National de la Statistique et des Études Économiques, Paris, 1979. p. 311-3</t>
        </r>
      </text>
    </comment>
    <comment ref="H31" authorId="0" shapeId="0" xr:uid="{6C29E4A4-C79C-4963-B5B2-B3229B38F655}">
      <text>
        <r>
          <rPr>
            <sz val="9"/>
            <color indexed="81"/>
            <rFont val="Tahoma"/>
            <family val="2"/>
          </rPr>
          <t>Annuaire statistique de la France, 1978, Institut National de la Statistique et des Études Économiques, Paris, 1979. p. 311-3</t>
        </r>
      </text>
    </comment>
    <comment ref="J31" authorId="0" shapeId="0" xr:uid="{AAEBB776-F22E-439D-B2CA-4028BC40808D}">
      <text>
        <r>
          <rPr>
            <sz val="9"/>
            <color indexed="81"/>
            <rFont val="Tahoma"/>
            <family val="2"/>
          </rPr>
          <t>Annuaire statistique de la France, 1978, Institut National de la Statistique et des Études Économiques, Paris, 1979. p. 311-3</t>
        </r>
      </text>
    </comment>
    <comment ref="B32" authorId="0" shapeId="0" xr:uid="{542D3B38-DCB2-4CED-ACF2-733DA2424DF4}">
      <text>
        <r>
          <rPr>
            <sz val="9"/>
            <color indexed="81"/>
            <rFont val="Tahoma"/>
            <family val="2"/>
          </rPr>
          <t>Annuaire statistique de la France, 1978, Institut National de la Statistique et des Études Économiques, Paris, 1979. p. 311-3</t>
        </r>
      </text>
    </comment>
    <comment ref="F32" authorId="0" shapeId="0" xr:uid="{64154DD0-2C23-4955-B5A1-0D9AAEDD0DFF}">
      <text>
        <r>
          <rPr>
            <sz val="9"/>
            <color indexed="81"/>
            <rFont val="Tahoma"/>
            <family val="2"/>
          </rPr>
          <t>Annuaire statistique de la France, 1978, Institut National de la Statistique et des Études Économiques, Paris, 1979. p. 311-3</t>
        </r>
      </text>
    </comment>
    <comment ref="H32" authorId="0" shapeId="0" xr:uid="{3344969B-F5AF-4842-BEF5-78A32E5E59B8}">
      <text>
        <r>
          <rPr>
            <sz val="9"/>
            <color indexed="81"/>
            <rFont val="Tahoma"/>
            <family val="2"/>
          </rPr>
          <t>Annuaire statistique de la France, 1978, Institut National de la Statistique et des Études Économiques, Paris, 1979. p. 311-3</t>
        </r>
      </text>
    </comment>
    <comment ref="J32" authorId="0" shapeId="0" xr:uid="{2460209E-AC8A-4DDF-B0E0-FB91B8E13DEC}">
      <text>
        <r>
          <rPr>
            <sz val="9"/>
            <color indexed="81"/>
            <rFont val="Tahoma"/>
            <family val="2"/>
          </rPr>
          <t>Annuaire statistique de la France, 1978, Institut National de la Statistique et des Études Économiques, Paris, 1979. p. 311-3</t>
        </r>
      </text>
    </comment>
    <comment ref="B33" authorId="0" shapeId="0" xr:uid="{582B3E7A-8B80-47E1-B2B0-A704D19644EB}">
      <text>
        <r>
          <rPr>
            <sz val="9"/>
            <color indexed="81"/>
            <rFont val="Tahoma"/>
            <family val="2"/>
          </rPr>
          <t>Annuaire statistique de la France, 1978, Institut National de la Statistique et des Études Économiques, Paris, 1979. p. 311-3</t>
        </r>
      </text>
    </comment>
    <comment ref="F33" authorId="0" shapeId="0" xr:uid="{23EC5074-6004-49A7-9BB5-D5B90879F4E4}">
      <text>
        <r>
          <rPr>
            <sz val="9"/>
            <color indexed="81"/>
            <rFont val="Tahoma"/>
            <family val="2"/>
          </rPr>
          <t>Annuaire statistique de la France, 1978, Institut National de la Statistique et des Études Économiques, Paris, 1979. p. 311-3</t>
        </r>
      </text>
    </comment>
    <comment ref="H33" authorId="0" shapeId="0" xr:uid="{2386695A-5A41-4AC2-A779-155DDEEC3E5D}">
      <text>
        <r>
          <rPr>
            <sz val="9"/>
            <color indexed="81"/>
            <rFont val="Tahoma"/>
            <family val="2"/>
          </rPr>
          <t>Annuaire statistique de la France, 1978, Institut National de la Statistique et des Études Économiques, Paris, 1979. p. 311-3</t>
        </r>
      </text>
    </comment>
    <comment ref="J33" authorId="0" shapeId="0" xr:uid="{5DB0C258-B97B-44A1-A469-71B1B06C2087}">
      <text>
        <r>
          <rPr>
            <sz val="9"/>
            <color indexed="81"/>
            <rFont val="Tahoma"/>
            <family val="2"/>
          </rPr>
          <t>Annuaire statistique de la France, 1978, Institut National de la Statistique et des Études Économiques, Paris, 1979. p. 311-3</t>
        </r>
      </text>
    </comment>
    <comment ref="B34" authorId="0" shapeId="0" xr:uid="{7FC08080-D361-4A5C-B2F7-D1E53C42F235}">
      <text>
        <r>
          <rPr>
            <sz val="9"/>
            <color indexed="81"/>
            <rFont val="Tahoma"/>
            <family val="2"/>
          </rPr>
          <t>Annuaire statistique de la France, 1985, Institut National de la Statistique et des Études Économiques, Paris, 1986. p. 553</t>
        </r>
      </text>
    </comment>
    <comment ref="F34" authorId="0" shapeId="0" xr:uid="{D3EBCC58-12CF-47BF-8978-700306CA4F5A}">
      <text>
        <r>
          <rPr>
            <sz val="9"/>
            <color indexed="81"/>
            <rFont val="Tahoma"/>
            <family val="2"/>
          </rPr>
          <t>Annuaire statistique de la France, 1978, Institut National de la Statistique et des Études Économiques, Paris, 1979. p. 311-3</t>
        </r>
      </text>
    </comment>
    <comment ref="H34" authorId="0" shapeId="0" xr:uid="{4A34F515-290C-477A-A0E4-93EA8D5BCDF0}">
      <text>
        <r>
          <rPr>
            <sz val="9"/>
            <color indexed="81"/>
            <rFont val="Tahoma"/>
            <family val="2"/>
          </rPr>
          <t>Annuaire statistique de la France, 1978, Institut National de la Statistique et des Études Économiques, Paris, 1979. p. 311-3</t>
        </r>
      </text>
    </comment>
    <comment ref="J34" authorId="0" shapeId="0" xr:uid="{EEBB081A-9F42-4235-AD58-93F2BB2B96FA}">
      <text>
        <r>
          <rPr>
            <sz val="9"/>
            <color indexed="81"/>
            <rFont val="Tahoma"/>
            <family val="2"/>
          </rPr>
          <t>Annuaire statistique de la France, 1978, Institut National de la Statistique et des Études Économiques, Paris, 1979. p. 311-3</t>
        </r>
      </text>
    </comment>
    <comment ref="B35" authorId="0" shapeId="0" xr:uid="{54ACB3A1-30A5-48A5-97E6-6D4545F70556}">
      <text>
        <r>
          <rPr>
            <sz val="9"/>
            <color indexed="81"/>
            <rFont val="Tahoma"/>
            <family val="2"/>
          </rPr>
          <t>Annuaire statistique de la France, 1985, Institut National de la Statistique et des Études Économiques, Paris, 1986. p. 553</t>
        </r>
      </text>
    </comment>
    <comment ref="D35" authorId="0" shapeId="0" xr:uid="{904A0A8E-6743-4BB3-A97A-870D44A630FE}">
      <text>
        <r>
          <rPr>
            <sz val="9"/>
            <color indexed="81"/>
            <rFont val="Tahoma"/>
            <family val="2"/>
          </rPr>
          <t xml:space="preserve">The glass industry in the European Economic Community, Commission of the European Communities, 1984, (p. 122) </t>
        </r>
      </text>
    </comment>
    <comment ref="J35" authorId="0" shapeId="0" xr:uid="{8DBF029A-800C-41A3-9DA7-CB2593B5244F}">
      <text>
        <r>
          <rPr>
            <sz val="9"/>
            <color indexed="81"/>
            <rFont val="Tahoma"/>
            <family val="2"/>
          </rPr>
          <t>Annuaire statistique de la France, 1979, Institut National de la Statistique et des Études Économiques, Paris, 1980. p. 311-3</t>
        </r>
      </text>
    </comment>
    <comment ref="B36" authorId="0" shapeId="0" xr:uid="{03209BF8-7AA4-4DE3-8711-34D7206C15A9}">
      <text>
        <r>
          <rPr>
            <sz val="9"/>
            <color indexed="81"/>
            <rFont val="Tahoma"/>
            <family val="2"/>
          </rPr>
          <t>Annuaire statistique de la France, 1985, Institut National de la Statistique et des Études Économiques, Paris, 1986. p. 553</t>
        </r>
      </text>
    </comment>
    <comment ref="J36" authorId="0" shapeId="0" xr:uid="{F589666E-4568-4417-9734-98AF91EA5E7F}">
      <text>
        <r>
          <rPr>
            <sz val="9"/>
            <color indexed="81"/>
            <rFont val="Tahoma"/>
            <family val="2"/>
          </rPr>
          <t>Annuaire statistique de la France, 1981, Institut National de la Statistique et des Études Économiques, Paris, 1982. p. 421</t>
        </r>
      </text>
    </comment>
    <comment ref="B37" authorId="0" shapeId="0" xr:uid="{11011547-CF97-4D28-B1F3-871CCCCB8E10}">
      <text>
        <r>
          <rPr>
            <sz val="9"/>
            <color indexed="81"/>
            <rFont val="Tahoma"/>
            <family val="2"/>
          </rPr>
          <t>Annuaire statistique de la France, 1985, Institut National de la Statistique et des Études Économiques, Paris, 1986. p. 553</t>
        </r>
      </text>
    </comment>
    <comment ref="C37" authorId="0" shapeId="0" xr:uid="{23984497-B620-4D57-97F6-AD1724BE74A7}">
      <text>
        <r>
          <rPr>
            <sz val="9"/>
            <color indexed="81"/>
            <rFont val="Tahoma"/>
            <family val="2"/>
          </rPr>
          <t>Les Comptes de l'industrie : la situation de l' industrie française en 1980, INSEE, 1981, p. 71</t>
        </r>
      </text>
    </comment>
    <comment ref="J37" authorId="0" shapeId="0" xr:uid="{8ED819D9-1F3B-4C30-8CF9-D9B036E04A27}">
      <text>
        <r>
          <rPr>
            <sz val="9"/>
            <color indexed="81"/>
            <rFont val="Tahoma"/>
            <family val="2"/>
          </rPr>
          <t>Annuaire statistique de la France, 1981, Institut National de la Statistique et des Études Économiques, Paris, 1982. p. 421</t>
        </r>
      </text>
    </comment>
    <comment ref="B38" authorId="0" shapeId="0" xr:uid="{ED22E35A-4108-4380-81A7-1CC4B5DADAB0}">
      <text>
        <r>
          <rPr>
            <sz val="9"/>
            <color indexed="81"/>
            <rFont val="Tahoma"/>
            <family val="2"/>
          </rPr>
          <t>Annuaire statistique de la France, 1985, Institut National de la Statistique et des Études Économiques, Paris, 1986. p. 553</t>
        </r>
      </text>
    </comment>
    <comment ref="J38" authorId="0" shapeId="0" xr:uid="{96FC7EA7-8015-47BF-9AB2-5263C328801B}">
      <text>
        <r>
          <rPr>
            <sz val="9"/>
            <color indexed="81"/>
            <rFont val="Tahoma"/>
            <family val="2"/>
          </rPr>
          <t>Annuaire statistique de la France, 1982, Institut National de la Statistique et des Études Économiques, Paris, 1983. p. 497</t>
        </r>
      </text>
    </comment>
    <comment ref="B39" authorId="0" shapeId="0" xr:uid="{A5D48374-0D33-4BF9-B374-4F27B17F2183}">
      <text>
        <r>
          <rPr>
            <sz val="9"/>
            <color indexed="81"/>
            <rFont val="Tahoma"/>
            <family val="2"/>
          </rPr>
          <t>Annuaire statistique de la France, 1985, Institut National de la Statistique et des Études Économiques, Paris, 1986. p. 553</t>
        </r>
      </text>
    </comment>
    <comment ref="D39" authorId="0" shapeId="0" xr:uid="{8E029744-6B6C-46AE-A174-D28D9212EB30}">
      <text>
        <r>
          <rPr>
            <sz val="9"/>
            <color indexed="81"/>
            <rFont val="Tahoma"/>
            <family val="2"/>
          </rPr>
          <t>Annuaire statistique de la France, 1987, Institut National de la Statistique et des Études Économiques, Paris, 1988. p. 591</t>
        </r>
      </text>
    </comment>
    <comment ref="J39" authorId="0" shapeId="0" xr:uid="{F1F6C9DB-6BB0-491F-ADBC-DE27DDFA7417}">
      <text>
        <r>
          <rPr>
            <sz val="9"/>
            <color indexed="81"/>
            <rFont val="Tahoma"/>
            <family val="2"/>
          </rPr>
          <t>Annuaire statistique de la France, 1983, Institut National de la Statistique et des Études Économiques, Paris, 1984. p. 419</t>
        </r>
      </text>
    </comment>
    <comment ref="B40" authorId="0" shapeId="0" xr:uid="{C27B908D-5784-4AF9-A9EF-9015E2450687}">
      <text>
        <r>
          <rPr>
            <sz val="9"/>
            <color indexed="81"/>
            <rFont val="Tahoma"/>
            <family val="2"/>
          </rPr>
          <t>Annuaire statistique de la France, 1985, Institut National de la Statistique et des Études Économiques, Paris, 1986. p. 553</t>
        </r>
      </text>
    </comment>
    <comment ref="D40" authorId="0" shapeId="0" xr:uid="{932E61AE-DA44-4586-A410-6B7A5731BAB0}">
      <text>
        <r>
          <rPr>
            <sz val="9"/>
            <color indexed="81"/>
            <rFont val="Tahoma"/>
            <family val="2"/>
          </rPr>
          <t>Annuaire statistique de la France, 1987, Institut National de la Statistique et des Études Économiques, Paris, 1988. p. 591</t>
        </r>
      </text>
    </comment>
    <comment ref="B41" authorId="0" shapeId="0" xr:uid="{73807AE7-2482-4D39-8477-100A62653B69}">
      <text>
        <r>
          <rPr>
            <sz val="9"/>
            <color indexed="81"/>
            <rFont val="Tahoma"/>
            <family val="2"/>
          </rPr>
          <t>Annuaire statistique de la France, 1985, Institut National de la Statistique et des Études Économiques, Paris, 1986. p. 553</t>
        </r>
      </text>
    </comment>
    <comment ref="D41" authorId="0" shapeId="0" xr:uid="{FF4B41DA-2449-48DF-8C30-4EB4D6DD2516}">
      <text>
        <r>
          <rPr>
            <sz val="9"/>
            <color indexed="81"/>
            <rFont val="Tahoma"/>
            <family val="2"/>
          </rPr>
          <t>Annuaire statistique de la France, 1989, Institut National de la Statistique et des Études Économiques, Paris, 1990. p. 573</t>
        </r>
      </text>
    </comment>
    <comment ref="B42" authorId="0" shapeId="0" xr:uid="{4805F26C-BBDC-4A2A-9502-7B23024B91ED}">
      <text>
        <r>
          <rPr>
            <sz val="9"/>
            <color indexed="81"/>
            <rFont val="Tahoma"/>
            <family val="2"/>
          </rPr>
          <t>"L'industrie du verre en France", Verre, vol 1, no. 4, July-August 1995, p. 34-35</t>
        </r>
      </text>
    </comment>
    <comment ref="D42" authorId="0" shapeId="0" xr:uid="{A1E7234B-6C12-48A5-BC57-E489980F9F2A}">
      <text>
        <r>
          <rPr>
            <sz val="9"/>
            <color indexed="81"/>
            <rFont val="Tahoma"/>
            <family val="2"/>
          </rPr>
          <t>Annuaire statistique de la France, 1989, Institut National de la Statistique et des Études Économiques, Paris, 1990. p. 573</t>
        </r>
      </text>
    </comment>
    <comment ref="B43" authorId="0" shapeId="0" xr:uid="{3297D85D-62C0-4DF8-86F6-37A9D46632D5}">
      <text>
        <r>
          <rPr>
            <sz val="9"/>
            <color indexed="81"/>
            <rFont val="Tahoma"/>
            <family val="2"/>
          </rPr>
          <t>"L'industrie du verre en France", Verre, vol 1, no. 4, July-August 1995, p. 34-35</t>
        </r>
      </text>
    </comment>
    <comment ref="D43" authorId="0" shapeId="0" xr:uid="{0CDA5522-30BD-481E-91EE-9F67288676DC}">
      <text>
        <r>
          <rPr>
            <sz val="9"/>
            <color indexed="81"/>
            <rFont val="Tahoma"/>
            <family val="2"/>
          </rPr>
          <t>Annuaire statistique de la France, 1991-92, Institut National de la Statistique et des Études Économiques, Paris, 1993. p. 551</t>
        </r>
      </text>
    </comment>
    <comment ref="B44" authorId="0" shapeId="0" xr:uid="{6CC7F956-4D64-45CC-8689-07F85755E9C8}">
      <text>
        <r>
          <rPr>
            <sz val="9"/>
            <color indexed="81"/>
            <rFont val="Tahoma"/>
            <family val="2"/>
          </rPr>
          <t>"L'industrie du verre en France", Verre, vol 1, no. 4, July-August 1995, p. 34-35</t>
        </r>
      </text>
    </comment>
    <comment ref="D44" authorId="0" shapeId="0" xr:uid="{517D0C5E-AC3E-4397-86EE-7BB104372444}">
      <text>
        <r>
          <rPr>
            <sz val="9"/>
            <color indexed="81"/>
            <rFont val="Tahoma"/>
            <family val="2"/>
          </rPr>
          <t>Annuaire statistique de la France, 1991-92, Institut National de la Statistique et des Études Économiques, Paris, 1993. p. 551</t>
        </r>
      </text>
    </comment>
    <comment ref="B45" authorId="0" shapeId="0" xr:uid="{2BA8AE0B-4227-4C1B-9F0C-ADF074AD9641}">
      <text>
        <r>
          <rPr>
            <sz val="9"/>
            <color indexed="81"/>
            <rFont val="Tahoma"/>
            <family val="2"/>
          </rPr>
          <t>"L'industrie du verre en France", Verre, vol 1, no. 4, July-August 1995, p. 34-35</t>
        </r>
      </text>
    </comment>
    <comment ref="D45" authorId="0" shapeId="0" xr:uid="{02F77506-D543-4198-A601-DAB15B93D8BE}">
      <text>
        <r>
          <rPr>
            <sz val="9"/>
            <color indexed="81"/>
            <rFont val="Tahoma"/>
            <family val="2"/>
          </rPr>
          <t>Annuaire statistique de la France, 1991-92, Institut National de la Statistique et des Études Économiques, Paris, 1993. p. 551</t>
        </r>
      </text>
    </comment>
    <comment ref="B46" authorId="0" shapeId="0" xr:uid="{59AB9BC8-F330-4069-8893-C7A33920532A}">
      <text>
        <r>
          <rPr>
            <sz val="9"/>
            <color indexed="81"/>
            <rFont val="Tahoma"/>
            <family val="2"/>
          </rPr>
          <t>"L'industrie du verre en France", Verre, vol 1, no. 4, July-August 1995, p. 34-35</t>
        </r>
      </text>
    </comment>
    <comment ref="D46" authorId="0" shapeId="0" xr:uid="{9FEEF4FE-8655-4664-8F18-1D5A93F1FB42}">
      <text>
        <r>
          <rPr>
            <sz val="9"/>
            <color indexed="81"/>
            <rFont val="Tahoma"/>
            <family val="2"/>
          </rPr>
          <t>Annuaire statistique de la France, 1991-92, Institut National de la Statistique et des Études Économiques, Paris, 1993. p. 551</t>
        </r>
      </text>
    </comment>
    <comment ref="B47" authorId="0" shapeId="0" xr:uid="{B5404496-9EAD-42D6-919D-87DC457ABF3A}">
      <text>
        <r>
          <rPr>
            <sz val="9"/>
            <color indexed="81"/>
            <rFont val="Tahoma"/>
            <family val="2"/>
          </rPr>
          <t>"L'industrie du verre en France", Verre, vol 1, no. 4, July-August 1995, p. 34-35</t>
        </r>
      </text>
    </comment>
    <comment ref="D47" authorId="0" shapeId="0" xr:uid="{F4175C34-5B56-48FE-8EEB-12E08997EE57}">
      <text>
        <r>
          <rPr>
            <sz val="9"/>
            <color indexed="81"/>
            <rFont val="Tahoma"/>
            <family val="2"/>
          </rPr>
          <t>Annuaire statistique de la France, 1991-92, Institut National de la Statistique et des Études Économiques, Paris, 1993. p. 551</t>
        </r>
      </text>
    </comment>
    <comment ref="B48" authorId="0" shapeId="0" xr:uid="{F399DEAC-776D-4290-8F05-4879B0C6DC68}">
      <text>
        <r>
          <rPr>
            <sz val="9"/>
            <color indexed="81"/>
            <rFont val="Tahoma"/>
            <family val="2"/>
          </rPr>
          <t>"L'industrie du verre en France", Verre, vol 1, no. 4, July-August 1995, p. 34-35</t>
        </r>
      </text>
    </comment>
    <comment ref="D48" authorId="0" shapeId="0" xr:uid="{825D18E8-6F12-428A-A94D-8EB62024A992}">
      <text>
        <r>
          <rPr>
            <sz val="9"/>
            <color indexed="81"/>
            <rFont val="Tahoma"/>
            <family val="2"/>
          </rPr>
          <t>Annuaire statistique de la France, 1993, Institut National de la Statistique et des Études Économiques, Paris, 1994. p. 551</t>
        </r>
      </text>
    </comment>
    <comment ref="B49" authorId="0" shapeId="0" xr:uid="{6BB6E72D-ED3C-41CA-B02B-69A4A4E3ABD6}">
      <text>
        <r>
          <rPr>
            <sz val="9"/>
            <color indexed="81"/>
            <rFont val="Tahoma"/>
            <family val="2"/>
          </rPr>
          <t xml:space="preserve">"Statistiques de l'industrie du verre", </t>
        </r>
        <r>
          <rPr>
            <i/>
            <sz val="9"/>
            <color indexed="81"/>
            <rFont val="Tahoma"/>
            <family val="2"/>
          </rPr>
          <t>Verre</t>
        </r>
        <r>
          <rPr>
            <sz val="9"/>
            <color indexed="81"/>
            <rFont val="Tahoma"/>
            <family val="2"/>
          </rPr>
          <t>, vol. 8, n°2, March-April 1994, p. 109</t>
        </r>
      </text>
    </comment>
    <comment ref="D49" authorId="0" shapeId="0" xr:uid="{5F2511C6-4C72-400A-A0CE-0B88410C9848}">
      <text>
        <r>
          <rPr>
            <sz val="9"/>
            <color indexed="81"/>
            <rFont val="Tahoma"/>
            <family val="2"/>
          </rPr>
          <t>Annuaire statistique de la France, 1994, Institut National de la Statistique et des Études Économiques, Paris, 1995. p. 593</t>
        </r>
      </text>
    </comment>
    <comment ref="B50" authorId="0" shapeId="0" xr:uid="{C2C62BD6-DB80-41CC-B3B0-1DFD4A17F472}">
      <text>
        <r>
          <rPr>
            <sz val="9"/>
            <color indexed="81"/>
            <rFont val="Tahoma"/>
            <family val="2"/>
          </rPr>
          <t>"Statistiques de l'industrie du verre", Verre, vol. 8, n°2, March-April 1994, p. 109</t>
        </r>
      </text>
    </comment>
    <comment ref="D50" authorId="0" shapeId="0" xr:uid="{BE4E09DC-B2B7-4B34-BC91-355BAFB1A703}">
      <text>
        <r>
          <rPr>
            <sz val="9"/>
            <color indexed="81"/>
            <rFont val="Tahoma"/>
            <family val="2"/>
          </rPr>
          <t>Annuaire statistique de la France, 1994, Institut National de la Statistique et des Études Économiques, Paris, 1995. p. 593</t>
        </r>
      </text>
    </comment>
    <comment ref="G50" authorId="0" shapeId="0" xr:uid="{F6699223-E52A-4608-B5BB-9F82E9C85A42}">
      <text>
        <r>
          <rPr>
            <sz val="9"/>
            <color indexed="81"/>
            <rFont val="Tahoma"/>
            <family val="2"/>
          </rPr>
          <t>(SESSI, 1995)</t>
        </r>
      </text>
    </comment>
    <comment ref="I50" authorId="0" shapeId="0" xr:uid="{862581AF-79FF-42C7-92EE-45CEB1BD23FB}">
      <text>
        <r>
          <rPr>
            <sz val="9"/>
            <color indexed="81"/>
            <rFont val="Tahoma"/>
            <family val="2"/>
          </rPr>
          <t>(SESSI, 1995)</t>
        </r>
      </text>
    </comment>
    <comment ref="K50" authorId="0" shapeId="0" xr:uid="{83AA359E-099C-4582-B521-873ACBBA0603}">
      <text>
        <r>
          <rPr>
            <sz val="9"/>
            <color indexed="81"/>
            <rFont val="Tahoma"/>
            <family val="2"/>
          </rPr>
          <t>(SESSI, 1995)</t>
        </r>
      </text>
    </comment>
    <comment ref="B51" authorId="0" shapeId="0" xr:uid="{CA88BFE8-50A6-427D-85B8-F2EF00C134FE}">
      <text>
        <r>
          <rPr>
            <sz val="9"/>
            <color indexed="81"/>
            <rFont val="Tahoma"/>
            <family val="2"/>
          </rPr>
          <t>"Statistiques de l'industrie verrière française en 1994", Verre, vol. 1, n°2, March-April 1995, p. 26-7</t>
        </r>
      </text>
    </comment>
    <comment ref="C51" authorId="0" shapeId="0" xr:uid="{108D1411-E8FE-49FC-81A4-337C6874655A}">
      <text>
        <r>
          <rPr>
            <sz val="9"/>
            <color indexed="81"/>
            <rFont val="Tahoma"/>
            <family val="2"/>
          </rPr>
          <t>"L'industrie du verre en France", Verre, vol 1, no. 4, July-August 1995, p. 34-35</t>
        </r>
      </text>
    </comment>
    <comment ref="D51" authorId="0" shapeId="0" xr:uid="{DDD23B62-A7AE-4E9E-9392-0FDE9FECD422}">
      <text>
        <r>
          <rPr>
            <sz val="9"/>
            <color indexed="81"/>
            <rFont val="Tahoma"/>
            <family val="2"/>
          </rPr>
          <t>Annuaire statistique de la France, 1997, Institut National de la Statistique et des Études Économiques, Paris, 1998. p. 691</t>
        </r>
      </text>
    </comment>
    <comment ref="B52" authorId="0" shapeId="0" xr:uid="{9A6DE3C5-F443-4B87-9F08-89230F7F7482}">
      <text>
        <r>
          <rPr>
            <sz val="9"/>
            <color indexed="81"/>
            <rFont val="Tahoma"/>
            <family val="2"/>
          </rPr>
          <t>"Le verre plat européen: stragies et réalités", Verre, vol. 2, n° 5, septembre-octobre 1996, p. 40-6</t>
        </r>
      </text>
    </comment>
    <comment ref="D52" authorId="0" shapeId="0" xr:uid="{54DD236D-EBB8-4BB5-81E3-9ACECD7FB205}">
      <text>
        <r>
          <rPr>
            <sz val="9"/>
            <color indexed="81"/>
            <rFont val="Tahoma"/>
            <family val="2"/>
          </rPr>
          <t>Annuaire statistique de la France, 1997, Institut National de la Statistique et des Études Économiques, Paris, 1998. p. 691</t>
        </r>
      </text>
    </comment>
    <comment ref="B53" authorId="0" shapeId="0" xr:uid="{FD30F92E-BC62-4C5B-A354-7429E72190D5}">
      <text>
        <r>
          <rPr>
            <sz val="9"/>
            <color indexed="81"/>
            <rFont val="Tahoma"/>
            <family val="2"/>
          </rPr>
          <t>"Statistiques de l'industrie verrière fançaise en 1996", Verre, vol. 3, n° 2, mars-avril 1997, p. 32-33</t>
        </r>
      </text>
    </comment>
    <comment ref="D53" authorId="0" shapeId="0" xr:uid="{5CFA633E-C255-42C4-BEB1-6E3CBEC44F47}">
      <text>
        <r>
          <rPr>
            <sz val="9"/>
            <color indexed="81"/>
            <rFont val="Tahoma"/>
            <family val="2"/>
          </rPr>
          <t>Annuaire statistique de la France, 1997, Institut National de la Statistique et des Études Économiques, Paris, 1998. p. 691</t>
        </r>
      </text>
    </comment>
    <comment ref="B54" authorId="0" shapeId="0" xr:uid="{22E0FCEF-B881-49C0-B7D2-E6845E5A7101}">
      <text>
        <r>
          <rPr>
            <sz val="9"/>
            <color indexed="81"/>
            <rFont val="Tahoma"/>
            <family val="2"/>
          </rPr>
          <t>"Statistiques de l'industrie verrière en 1997", Verre, vol. 4, n°2, March-April 1998, p. 58-9</t>
        </r>
      </text>
    </comment>
    <comment ref="B55" authorId="0" shapeId="0" xr:uid="{4811262D-538F-46E6-BC99-539216137CB2}">
      <text>
        <r>
          <rPr>
            <sz val="9"/>
            <color indexed="81"/>
            <rFont val="Tahoma"/>
            <family val="2"/>
          </rPr>
          <t>"L'industrie verrière française en 2003", Verre, vol. 10, n° 5, October 2004, p. 52-6</t>
        </r>
      </text>
    </comment>
    <comment ref="D55" authorId="0" shapeId="0" xr:uid="{BD693CD3-0DB4-4B0D-974A-1ACF4B7D23E5}">
      <text>
        <r>
          <rPr>
            <sz val="9"/>
            <color indexed="81"/>
            <rFont val="Tahoma"/>
            <family val="2"/>
          </rPr>
          <t xml:space="preserve">PRODCOM, Eurostat, 2020
Code: 23121330
Label: Multiple-walled insulating units of glass </t>
        </r>
      </text>
    </comment>
    <comment ref="B56" authorId="0" shapeId="0" xr:uid="{F46C0D4B-E8F3-4810-8718-913BC43B8B4A}">
      <text>
        <r>
          <rPr>
            <sz val="9"/>
            <color indexed="81"/>
            <rFont val="Tahoma"/>
            <family val="2"/>
          </rPr>
          <t>"L'industrie verrière française en 2003", Verre, vol. 10 n°5 octobre 2004, 52-56</t>
        </r>
      </text>
    </comment>
    <comment ref="D56" authorId="0" shapeId="0" xr:uid="{BAB244C9-B46F-4C1C-B39E-8A9EDD00A709}">
      <text>
        <r>
          <rPr>
            <sz val="9"/>
            <color indexed="81"/>
            <rFont val="Tahoma"/>
            <family val="2"/>
          </rPr>
          <t xml:space="preserve">PRODCOM, Eurostat, 2020
Code: 23121330
Label: Multiple-walled insulating units of glass </t>
        </r>
      </text>
    </comment>
    <comment ref="B57" authorId="0" shapeId="0" xr:uid="{4D33A3D7-BB36-419D-8223-01AA51ECAF99}">
      <text>
        <r>
          <rPr>
            <sz val="9"/>
            <color indexed="81"/>
            <rFont val="Tahoma"/>
            <family val="2"/>
          </rPr>
          <t>"L'industrie verrière française en 2003", Verre, vol. 10 n°5 octobre 2004, 52-56</t>
        </r>
      </text>
    </comment>
    <comment ref="D57" authorId="0" shapeId="0" xr:uid="{199C7D39-0E25-4898-A6C2-0AACBA614FA9}">
      <text>
        <r>
          <rPr>
            <sz val="9"/>
            <color indexed="81"/>
            <rFont val="Tahoma"/>
            <family val="2"/>
          </rPr>
          <t xml:space="preserve">PRODCOM, Eurostat, 2020
Code: 23121330
Label: Multiple-walled insulating units of glass </t>
        </r>
      </text>
    </comment>
    <comment ref="B58" authorId="0" shapeId="0" xr:uid="{CD6420F0-E628-44E1-BEA5-B933D098E632}">
      <text>
        <r>
          <rPr>
            <sz val="9"/>
            <color indexed="81"/>
            <rFont val="Tahoma"/>
            <family val="2"/>
          </rPr>
          <t>"L'industrie verrière française en 2003", Verre, vol. 10 n°5 octobre 2004, 52-56</t>
        </r>
      </text>
    </comment>
    <comment ref="D58" authorId="0" shapeId="0" xr:uid="{28A45039-8DBE-4519-AB99-D04EC8A396B3}">
      <text>
        <r>
          <rPr>
            <sz val="9"/>
            <color indexed="81"/>
            <rFont val="Tahoma"/>
            <family val="2"/>
          </rPr>
          <t xml:space="preserve">PRODCOM, Eurostat, 2020
Code: 23121330
Label: Multiple-walled insulating units of glass </t>
        </r>
      </text>
    </comment>
    <comment ref="B59" authorId="0" shapeId="0" xr:uid="{C9FA6131-4EC5-4C17-A4F9-30FE42F9B5CD}">
      <text>
        <r>
          <rPr>
            <sz val="9"/>
            <color indexed="81"/>
            <rFont val="Tahoma"/>
            <family val="2"/>
          </rPr>
          <t>"L'industrie française du verre", Verre, vol. 11 n°3 Juin 2005, 68_72</t>
        </r>
      </text>
    </comment>
    <comment ref="C59" authorId="0" shapeId="0" xr:uid="{0DF707E3-761D-409C-99C9-3C1CD0AC0C13}">
      <text>
        <r>
          <rPr>
            <sz val="9"/>
            <color indexed="81"/>
            <rFont val="Tahoma"/>
            <family val="2"/>
          </rPr>
          <t>Verre Online, portail de l’industrie du verre française,
http://www.verreonline.fr/junior/indu00.php
(accessed  October 6 2019)</t>
        </r>
      </text>
    </comment>
    <comment ref="B60" authorId="0" shapeId="0" xr:uid="{17D9D6D3-AACE-4F44-AF33-6D0E9D6470B8}">
      <text>
        <r>
          <rPr>
            <sz val="9"/>
            <color indexed="81"/>
            <rFont val="Tahoma"/>
            <family val="2"/>
          </rPr>
          <t>"L'industrie française du verre en 2003", Verre, vol. 10 n°5, October 2004, 52-6</t>
        </r>
      </text>
    </comment>
    <comment ref="D60" authorId="0" shapeId="0" xr:uid="{3B4D5377-BE45-4AF0-B42F-E5573453EC1B}">
      <text>
        <r>
          <rPr>
            <sz val="9"/>
            <color indexed="81"/>
            <rFont val="Tahoma"/>
            <family val="2"/>
          </rPr>
          <t xml:space="preserve">PRODCOM, Eurostat, 2020
Code: 23121330
Label: Multiple-walled insulating units of glass </t>
        </r>
      </text>
    </comment>
    <comment ref="B61" authorId="0" shapeId="0" xr:uid="{5FAC6FFF-C7AB-4273-9D89-4B05758AC22A}">
      <text>
        <r>
          <rPr>
            <sz val="9"/>
            <color indexed="81"/>
            <rFont val="Tahoma"/>
            <family val="2"/>
          </rPr>
          <t>"L'industrie française du verre", Verre, vol. 11 n°3 Juin 2005, p. 68-72</t>
        </r>
      </text>
    </comment>
    <comment ref="C61" authorId="0" shapeId="0" xr:uid="{EB883FF0-5EDF-4C25-AD66-35988533AFA8}">
      <text>
        <r>
          <rPr>
            <sz val="9"/>
            <color indexed="81"/>
            <rFont val="Tahoma"/>
            <family val="2"/>
          </rPr>
          <t>"L'industrie verrière française en 2003", Verre, vol. 10 n°5 octobre 2004, 52-56</t>
        </r>
      </text>
    </comment>
    <comment ref="D61" authorId="0" shapeId="0" xr:uid="{145076F5-E385-4A79-B0D2-2BF31DE0EB5F}">
      <text>
        <r>
          <rPr>
            <sz val="9"/>
            <color indexed="81"/>
            <rFont val="Tahoma"/>
            <family val="2"/>
          </rPr>
          <t xml:space="preserve">PRODCOM, Eurostat, 2020
Code: 23121330
Label: Multiple-walled insulating units of glass </t>
        </r>
      </text>
    </comment>
    <comment ref="B62" authorId="0" shapeId="0" xr:uid="{6DB0907B-B883-4E55-9ED1-7F713128AF7A}">
      <text>
        <r>
          <rPr>
            <sz val="9"/>
            <color indexed="81"/>
            <rFont val="Tahoma"/>
            <family val="2"/>
          </rPr>
          <t>"L'industrie française du verre", Verre, vol. 11 n°3 Juin 2005, 68_72</t>
        </r>
      </text>
    </comment>
    <comment ref="D62" authorId="0" shapeId="0" xr:uid="{C7E96746-251F-48F9-8851-7AD9938CDFCB}">
      <text>
        <r>
          <rPr>
            <sz val="9"/>
            <color indexed="81"/>
            <rFont val="Tahoma"/>
            <family val="2"/>
          </rPr>
          <t xml:space="preserve">PRODCOM, Eurostat, 2020
Code: 23121330
Label: Multiple-walled insulating units of glass </t>
        </r>
      </text>
    </comment>
    <comment ref="B63" authorId="0" shapeId="0" xr:uid="{05C99B5A-7242-4DF3-B576-A575ADDACFD1}">
      <text>
        <r>
          <rPr>
            <sz val="9"/>
            <color indexed="81"/>
            <rFont val="Tahoma"/>
            <family val="2"/>
          </rPr>
          <t>"Lindustrie verrière française en 2006", Verre, vol.13, no. 6, dec 2007, 66-9</t>
        </r>
      </text>
    </comment>
    <comment ref="D63" authorId="0" shapeId="0" xr:uid="{7DC4F8D9-2090-480C-8299-BF7429CBF7C5}">
      <text>
        <r>
          <rPr>
            <sz val="9"/>
            <color indexed="81"/>
            <rFont val="Tahoma"/>
            <family val="2"/>
          </rPr>
          <t xml:space="preserve">PRODCOM, Eurostat, 2020
Code: 23121330
Label: Multiple-walled insulating units of glass </t>
        </r>
      </text>
    </comment>
    <comment ref="B64" authorId="0" shapeId="0" xr:uid="{EA201989-7BD6-4CB6-9108-A9DD8FF988D9}">
      <text>
        <r>
          <rPr>
            <sz val="9"/>
            <color indexed="81"/>
            <rFont val="Tahoma"/>
            <family val="2"/>
          </rPr>
          <t>"L'industrie verrière française en 2007", Verre, vol. 14, n°4, august 2008, p. 10-3</t>
        </r>
      </text>
    </comment>
    <comment ref="D64" authorId="0" shapeId="0" xr:uid="{ADA85C24-1557-485C-AF31-A94B48DB06FF}">
      <text>
        <r>
          <rPr>
            <sz val="9"/>
            <color indexed="81"/>
            <rFont val="Tahoma"/>
            <family val="2"/>
          </rPr>
          <t xml:space="preserve">PRODCOM, Eurostat, 2020
Code: 23121330
Label: Multiple-walled insulating units of glass </t>
        </r>
      </text>
    </comment>
    <comment ref="B65" authorId="0" shapeId="0" xr:uid="{A4DA013E-AC30-415E-A5C3-7028F2850EE1}">
      <text>
        <r>
          <rPr>
            <sz val="9"/>
            <color indexed="81"/>
            <rFont val="Tahoma"/>
            <family val="2"/>
          </rPr>
          <t>"L'évolution générale de l'industrie du verre en 2008", Verre, vol. 15, n°5, nov. 2009, p. 37-9</t>
        </r>
      </text>
    </comment>
    <comment ref="D65" authorId="0" shapeId="0" xr:uid="{0DF39D50-D738-4EF9-815C-50194703B939}">
      <text>
        <r>
          <rPr>
            <sz val="9"/>
            <color indexed="81"/>
            <rFont val="Tahoma"/>
            <family val="2"/>
          </rPr>
          <t xml:space="preserve">PRODCOM, Eurostat, 2020
Code: 23121330
Label: Multiple-walled insulating units of glass </t>
        </r>
      </text>
    </comment>
    <comment ref="B66" authorId="0" shapeId="0" xr:uid="{B9167F23-4557-441E-B2F1-E6FC9117206F}">
      <text>
        <r>
          <rPr>
            <sz val="9"/>
            <color indexed="81"/>
            <rFont val="Tahoma"/>
            <family val="2"/>
          </rPr>
          <t>Rapport d'activité 2013, Fédération des industries du verre.
http://www.verre-avenir.fr/Espace-Communication/Espace-Presse/Communiques-de-presse</t>
        </r>
      </text>
    </comment>
    <comment ref="C66" authorId="0" shapeId="0" xr:uid="{2BC06CB8-090E-40D1-942E-641BE1335177}">
      <text>
        <r>
          <rPr>
            <sz val="9"/>
            <color indexed="81"/>
            <rFont val="Tahoma"/>
            <family val="2"/>
          </rPr>
          <t>Calculated according to Eurostat data</t>
        </r>
      </text>
    </comment>
    <comment ref="D66" authorId="0" shapeId="0" xr:uid="{FE55B507-78BF-4278-A0C5-45284538797D}">
      <text>
        <r>
          <rPr>
            <sz val="9"/>
            <color indexed="81"/>
            <rFont val="Tahoma"/>
            <family val="2"/>
          </rPr>
          <t xml:space="preserve">PRODCOM, Eurostat, 2020
Code: 23121330
Label: Multiple-walled insulating units of glass </t>
        </r>
      </text>
    </comment>
    <comment ref="B67" authorId="0" shapeId="0" xr:uid="{608A7745-0C78-45B1-833C-6C0D36CA011B}">
      <text>
        <r>
          <rPr>
            <sz val="9"/>
            <color indexed="81"/>
            <rFont val="Tahoma"/>
            <family val="2"/>
          </rPr>
          <t>Rapport d'activité 2013, Fédération des industries du verre.
http://www.verre-avenir.fr/Espace-Communication/Espace-Presse/Communiques-de-presse</t>
        </r>
      </text>
    </comment>
    <comment ref="C67" authorId="0" shapeId="0" xr:uid="{8C9FA715-74C3-49AC-A665-E08DF31DA031}">
      <text>
        <r>
          <rPr>
            <sz val="9"/>
            <color indexed="81"/>
            <rFont val="Tahoma"/>
            <family val="2"/>
          </rPr>
          <t>Calculated according to Eurostat data</t>
        </r>
      </text>
    </comment>
    <comment ref="D67" authorId="0" shapeId="0" xr:uid="{93229A4D-7E79-406E-BD03-5C92323E8069}">
      <text>
        <r>
          <rPr>
            <sz val="9"/>
            <color indexed="81"/>
            <rFont val="Tahoma"/>
            <family val="2"/>
          </rPr>
          <t xml:space="preserve">PRODCOM, Eurostat, 2020
Code: 23121330
Label: Multiple-walled insulating units of glass </t>
        </r>
      </text>
    </comment>
    <comment ref="B68" authorId="0" shapeId="0" xr:uid="{FC3C3D2F-67B1-4D19-A39D-9BD6077DD7CE}">
      <text>
        <r>
          <rPr>
            <sz val="9"/>
            <color indexed="81"/>
            <rFont val="Tahoma"/>
            <family val="2"/>
          </rPr>
          <t>Rapport d'activité 2013, Fédération des industries du verre.
http://www.verre-avenir.fr/Espace-Communication/Espace-Presse/Communiques-de-presse</t>
        </r>
      </text>
    </comment>
    <comment ref="C68" authorId="0" shapeId="0" xr:uid="{0D8CBC13-E529-4521-A3E0-5D915D0A39CF}">
      <text>
        <r>
          <rPr>
            <sz val="9"/>
            <color indexed="81"/>
            <rFont val="Tahoma"/>
            <family val="2"/>
          </rPr>
          <t>Calculated according to Eurostat data</t>
        </r>
      </text>
    </comment>
    <comment ref="D68" authorId="0" shapeId="0" xr:uid="{FF852DF5-7BB7-4F3C-9408-6262DAE93E18}">
      <text>
        <r>
          <rPr>
            <sz val="9"/>
            <color indexed="81"/>
            <rFont val="Tahoma"/>
            <family val="2"/>
          </rPr>
          <t xml:space="preserve">PRODCOM, Eurostat, 2020
Code: 23121330
Label: Multiple-walled insulating units of glass </t>
        </r>
      </text>
    </comment>
    <comment ref="B69" authorId="0" shapeId="0" xr:uid="{E3811405-77BA-4DD8-AC23-4AA09F95ABB0}">
      <text>
        <r>
          <rPr>
            <sz val="9"/>
            <color indexed="81"/>
            <rFont val="Tahoma"/>
            <family val="2"/>
          </rPr>
          <t>Rapport d'activité 2013, Fédération des industries du verre.
http://www.verre-avenir.fr/Espace-Communication/Espace-Presse/Communiques-de-presse</t>
        </r>
      </text>
    </comment>
    <comment ref="C69" authorId="0" shapeId="0" xr:uid="{ABAB1322-DFE1-407B-86C1-F46A428B5FBC}">
      <text>
        <r>
          <rPr>
            <sz val="9"/>
            <color indexed="81"/>
            <rFont val="Tahoma"/>
            <family val="2"/>
          </rPr>
          <t>Calculated according to Eurostat data</t>
        </r>
      </text>
    </comment>
    <comment ref="D69" authorId="0" shapeId="0" xr:uid="{2FC7E9B1-B0F6-489E-94A3-FE212771E569}">
      <text>
        <r>
          <rPr>
            <sz val="9"/>
            <color indexed="81"/>
            <rFont val="Tahoma"/>
            <family val="2"/>
          </rPr>
          <t xml:space="preserve">PRODCOM, Eurostat, 2020
Code: 23121330
Label: Multiple-walled insulating units of glass </t>
        </r>
      </text>
    </comment>
    <comment ref="B70" authorId="0" shapeId="0" xr:uid="{19A382A2-03F2-4AB8-9018-C64E8C1DBD0F}">
      <text>
        <r>
          <rPr>
            <sz val="9"/>
            <color indexed="81"/>
            <rFont val="Tahoma"/>
            <family val="2"/>
          </rPr>
          <t>Rapport d'activité 2013, Fédération des industries du verre.
http://www.verre-avenir.fr/Espace-Communication/Espace-Presse/Communiques-de-presse</t>
        </r>
      </text>
    </comment>
    <comment ref="C70" authorId="0" shapeId="0" xr:uid="{75B00EA6-1A46-4429-9662-4BA9012F0EBA}">
      <text>
        <r>
          <rPr>
            <sz val="9"/>
            <color indexed="81"/>
            <rFont val="Tahoma"/>
            <family val="2"/>
          </rPr>
          <t>Calculated according to Eurostat data</t>
        </r>
      </text>
    </comment>
    <comment ref="D70" authorId="0" shapeId="0" xr:uid="{63806239-DE57-4805-B1E0-0612E861110E}">
      <text>
        <r>
          <rPr>
            <sz val="9"/>
            <color indexed="81"/>
            <rFont val="Tahoma"/>
            <family val="2"/>
          </rPr>
          <t xml:space="preserve">PRODCOM, Eurostat, 2020
Code: 23121330
Label: Multiple-walled insulating units of glass </t>
        </r>
      </text>
    </comment>
    <comment ref="D71" authorId="0" shapeId="0" xr:uid="{7C5CE02C-012B-46BE-B10B-D789EC129E05}">
      <text>
        <r>
          <rPr>
            <sz val="9"/>
            <color indexed="81"/>
            <rFont val="Tahoma"/>
            <family val="2"/>
          </rPr>
          <t xml:space="preserve">PRODCOM, Eurostat, 2020
Code: 23121330
Label: Multiple-walled insulating units of glass </t>
        </r>
      </text>
    </comment>
    <comment ref="D72" authorId="0" shapeId="0" xr:uid="{FDCBA571-0FF9-43C8-A200-5E01F00DFE98}">
      <text>
        <r>
          <rPr>
            <sz val="9"/>
            <color indexed="81"/>
            <rFont val="Tahoma"/>
            <family val="2"/>
          </rPr>
          <t xml:space="preserve">PRODCOM, Eurostat, 2020
Code: 23121330
Label: Multiple-walled insulating units of glass </t>
        </r>
      </text>
    </comment>
    <comment ref="D73" authorId="0" shapeId="0" xr:uid="{4EEC977C-F516-4E7F-A7FB-AB2603609DBA}">
      <text>
        <r>
          <rPr>
            <sz val="9"/>
            <color indexed="81"/>
            <rFont val="Tahoma"/>
            <family val="2"/>
          </rPr>
          <t xml:space="preserve">PRODCOM, Eurostat, 2020
Code: 23121330
Label: Multiple-walled insulating units of glass </t>
        </r>
      </text>
    </comment>
    <comment ref="D74" authorId="0" shapeId="0" xr:uid="{2261C341-93AA-4BE1-BF53-48B958980633}">
      <text>
        <r>
          <rPr>
            <sz val="9"/>
            <color indexed="81"/>
            <rFont val="Tahoma"/>
            <family val="2"/>
          </rPr>
          <t xml:space="preserve">PRODCOM, Eurostat, 2020
Code: 23121330
Label: Multiple-walled insulating units of glass </t>
        </r>
      </text>
    </comment>
    <comment ref="D75" authorId="0" shapeId="0" xr:uid="{B049187A-49B0-48AD-8E4D-55539A4B3CBA}">
      <text>
        <r>
          <rPr>
            <sz val="9"/>
            <color indexed="81"/>
            <rFont val="Tahoma"/>
            <family val="2"/>
          </rPr>
          <t xml:space="preserve">PRODCOM, Eurostat, 2020
Code: 23121330
Label: Multiple-walled insulating units of glass </t>
        </r>
      </text>
    </comment>
    <comment ref="D76" authorId="0" shapeId="0" xr:uid="{C144DA42-CDB6-4968-AFEF-5BD6E43195B5}">
      <text>
        <r>
          <rPr>
            <sz val="9"/>
            <color indexed="81"/>
            <rFont val="Tahoma"/>
            <family val="2"/>
          </rPr>
          <t xml:space="preserve">PRODCOM, Eurostat, 2020
Code: 23121330
Label: Multiple-walled insulating units of glass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C0D3187C-153D-4037-A087-EEFF64AB0835}">
      <text>
        <r>
          <rPr>
            <sz val="9"/>
            <color indexed="81"/>
            <rFont val="Tahoma"/>
            <family val="2"/>
          </rPr>
          <t>Unless otherwise indicated in a note attached to the cell, all data collected in this column comes from: 
PRODCOM, Eurostat, 2020
Hypothesis: glass thickness = 4mm
Calculation: sum of data corresponding to codes (see Eurostat website):
23111110
23111150
23111212
23111214
23111217
23111230
23111290
23121210
23121230
23121250
23121270
23121330</t>
        </r>
      </text>
    </comment>
    <comment ref="C1" authorId="0" shapeId="0" xr:uid="{092B2D38-F203-45B3-89B0-CD046436BD54}">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D1" authorId="0" shapeId="0" xr:uid="{B7C43B70-D38D-4D7F-A810-B23A7BF3039A}">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9" authorId="0" shapeId="0" xr:uid="{2DF514A6-5E8B-436F-ADF2-0D0695889742}">
      <text>
        <r>
          <rPr>
            <sz val="9"/>
            <color indexed="81"/>
            <rFont val="Tahoma"/>
            <family val="2"/>
          </rPr>
          <t>Annuaire statistique de la France, 1953, Institut National de la Statistique et des Études Économiques, Paris, 1954. p. 156-9</t>
        </r>
      </text>
    </comment>
    <comment ref="B10" authorId="0" shapeId="0" xr:uid="{F94E0364-CAC2-44C2-A66E-A0C60BA8BEFC}">
      <text>
        <r>
          <rPr>
            <sz val="9"/>
            <color indexed="81"/>
            <rFont val="Tahoma"/>
            <family val="2"/>
          </rPr>
          <t>Annuaire statistique de la France, 1954, Institut National de la Statistique et des Études Économiques, Paris, 1955. p. 132-3</t>
        </r>
      </text>
    </comment>
    <comment ref="B11" authorId="0" shapeId="0" xr:uid="{046A0660-29B0-4C07-99B8-005943D42BE5}">
      <text>
        <r>
          <rPr>
            <sz val="9"/>
            <color indexed="81"/>
            <rFont val="Tahoma"/>
            <family val="2"/>
          </rPr>
          <t>Annuaire statistique de la France, 1954, Institut National de la Statistique et des Études Économiques, Paris, 1955. p. 132-3</t>
        </r>
      </text>
    </comment>
    <comment ref="B12" authorId="0" shapeId="0" xr:uid="{98729811-D31C-454E-973C-37BE03FB219B}">
      <text>
        <r>
          <rPr>
            <sz val="9"/>
            <color indexed="81"/>
            <rFont val="Tahoma"/>
            <family val="2"/>
          </rPr>
          <t>Annuaire statistique de la France, 1956, Institut National de la Statistique et des Études Économiques, Paris, 1957. p. 165-6</t>
        </r>
      </text>
    </comment>
    <comment ref="B19" authorId="0" shapeId="0" xr:uid="{DB8F1835-5BF0-4756-AC3F-E33848EFFB5E}">
      <text>
        <r>
          <rPr>
            <sz val="9"/>
            <color indexed="81"/>
            <rFont val="Tahoma"/>
            <family val="2"/>
          </rPr>
          <t>Industries du verre, CNPF and INSEE, 1971, Monographies de l'industrie et du commerce en France, n° 1</t>
        </r>
      </text>
    </comment>
    <comment ref="B23" authorId="0" shapeId="0" xr:uid="{C23F68EF-FBF6-4B03-959B-B7C4F903455E}">
      <text>
        <r>
          <rPr>
            <sz val="9"/>
            <color indexed="81"/>
            <rFont val="Tahoma"/>
            <family val="2"/>
          </rPr>
          <t>Industries du verre, CNPF and INSEE, 1971, Monographies de l'industrie et du commerce en France, n° 1</t>
        </r>
      </text>
    </comment>
    <comment ref="B25" authorId="0" shapeId="0" xr:uid="{586393C6-8DA2-4C5F-8295-1CE2223B5438}">
      <text>
        <r>
          <rPr>
            <sz val="9"/>
            <color indexed="81"/>
            <rFont val="Tahoma"/>
            <family val="2"/>
          </rPr>
          <t>Industries du verre, CNPF and INSEE, 1971, Monographies de l'industrie et du commerce en France, n° 1</t>
        </r>
      </text>
    </comment>
    <comment ref="B27" authorId="0" shapeId="0" xr:uid="{463F2206-09BA-4340-ADAE-30EC436D8235}">
      <text>
        <r>
          <rPr>
            <sz val="9"/>
            <color indexed="81"/>
            <rFont val="Tahoma"/>
            <family val="2"/>
          </rPr>
          <t>Les comptes de l'industrie. La situation de l'industrie française en 1987. Institut National de la Statistique et des Études Économiques, Les collections de l'Insee. 1988</t>
        </r>
      </text>
    </comment>
    <comment ref="B28" authorId="0" shapeId="0" xr:uid="{26217AEE-1990-4E06-A6C9-4C562BA3D3A2}">
      <text>
        <r>
          <rPr>
            <sz val="9"/>
            <color indexed="81"/>
            <rFont val="Tahoma"/>
            <family val="2"/>
          </rPr>
          <t>Les comptes de l'industrie. La situation de l'industrie française en 1987. Institut National de la Statistique et des Études Économiques, Les collections de l'Insee. 1988</t>
        </r>
      </text>
    </comment>
    <comment ref="B29" authorId="0" shapeId="0" xr:uid="{7B09F40E-6E63-4A55-8719-D5E26CE30F2B}">
      <text>
        <r>
          <rPr>
            <sz val="9"/>
            <color indexed="81"/>
            <rFont val="Tahoma"/>
            <family val="2"/>
          </rPr>
          <t>Les comptes de l'industrie. La situation de l'industrie française en 1987. Institut National de la Statistique et des Études Économiques, Les collections de l'Insee. 1988</t>
        </r>
      </text>
    </comment>
    <comment ref="B30" authorId="0" shapeId="0" xr:uid="{A5FF646E-0162-4DFE-8613-78D9ABBC241B}">
      <text>
        <r>
          <rPr>
            <sz val="9"/>
            <color indexed="81"/>
            <rFont val="Tahoma"/>
            <family val="2"/>
          </rPr>
          <t>Les comptes de l'industrie. La situation de l'industrie française en 1987. Institut National de la Statistique et des Études Économiques, Les collections de l'Insee. 1988</t>
        </r>
      </text>
    </comment>
    <comment ref="B31" authorId="0" shapeId="0" xr:uid="{E227A5ED-ABB0-4325-9B7E-ED85608BC78C}">
      <text>
        <r>
          <rPr>
            <sz val="9"/>
            <color indexed="81"/>
            <rFont val="Tahoma"/>
            <family val="2"/>
          </rPr>
          <t>Les comptes de l'industrie. La situation de l'industrie française en 1987. Institut National de la Statistique et des Études Économiques, Les collections de l'Insee. 1988</t>
        </r>
      </text>
    </comment>
    <comment ref="B32" authorId="0" shapeId="0" xr:uid="{96DB4C83-BE0A-4F4A-BB9B-83F43A16AF9E}">
      <text>
        <r>
          <rPr>
            <sz val="9"/>
            <color indexed="81"/>
            <rFont val="Tahoma"/>
            <family val="2"/>
          </rPr>
          <t>Les comptes de l'industrie. La situation de l'industrie française en 1987. Institut National de la Statistique et des Études Économiques, Les collections de l'Insee. 1988</t>
        </r>
      </text>
    </comment>
    <comment ref="B33" authorId="0" shapeId="0" xr:uid="{5974FCAF-5AFC-4DBA-B50F-8A9DB18AFA1B}">
      <text>
        <r>
          <rPr>
            <sz val="9"/>
            <color indexed="81"/>
            <rFont val="Tahoma"/>
            <family val="2"/>
          </rPr>
          <t>Les comptes de l'industrie. La situation de l'industrie française en 1987. Institut National de la Statistique et des Études Économiques, Les collections de l'Insee. 1988</t>
        </r>
      </text>
    </comment>
    <comment ref="B34" authorId="0" shapeId="0" xr:uid="{4740DC44-0339-4F89-905B-BF636540375F}">
      <text>
        <r>
          <rPr>
            <sz val="9"/>
            <color indexed="81"/>
            <rFont val="Tahoma"/>
            <family val="2"/>
          </rPr>
          <t>Les comptes de l'industrie. La situation de l'industrie française en 1987. Institut National de la Statistique et des Études Économiques, Les collections de l'Insee. 1988</t>
        </r>
      </text>
    </comment>
    <comment ref="B35" authorId="0" shapeId="0" xr:uid="{74745E2A-5399-4A26-92DC-BBDB7B6ADAE7}">
      <text>
        <r>
          <rPr>
            <sz val="9"/>
            <color indexed="81"/>
            <rFont val="Tahoma"/>
            <family val="2"/>
          </rPr>
          <t>Les comptes de l'industrie. La situation de l'industrie française en 1987. Institut National de la Statistique et des Études Économiques, Les collections de l'Insee. 1988</t>
        </r>
      </text>
    </comment>
    <comment ref="B36" authorId="0" shapeId="0" xr:uid="{4351ADCE-9FD8-45C9-8561-F934ADC0B6ED}">
      <text>
        <r>
          <rPr>
            <sz val="9"/>
            <color indexed="81"/>
            <rFont val="Tahoma"/>
            <family val="2"/>
          </rPr>
          <t>Les comptes de l'industrie. La situation de l'industrie française en 1987. Institut National de la Statistique et des Études Économiques, Les collections de l'Insee. 1988</t>
        </r>
      </text>
    </comment>
    <comment ref="B37" authorId="0" shapeId="0" xr:uid="{3B5C9ADD-AB23-472D-8E4C-1B4261424A48}">
      <text>
        <r>
          <rPr>
            <sz val="9"/>
            <color indexed="81"/>
            <rFont val="Tahoma"/>
            <family val="2"/>
          </rPr>
          <t>Les comptes de l'industrie. La situation de l'industrie française en 1987. Institut National de la Statistique et des Études Économiques, Les collections de l'Insee. 1988</t>
        </r>
      </text>
    </comment>
    <comment ref="B38" authorId="0" shapeId="0" xr:uid="{D16B0EC9-483B-4BB2-91D0-9ADFDBC782A3}">
      <text>
        <r>
          <rPr>
            <sz val="9"/>
            <color indexed="81"/>
            <rFont val="Tahoma"/>
            <family val="2"/>
          </rPr>
          <t>Les comptes de l'industrie. La situation de l'industrie française en 1987. Institut National de la Statistique et des Études Économiques, Les collections de l'Insee. 1988</t>
        </r>
      </text>
    </comment>
    <comment ref="B39" authorId="0" shapeId="0" xr:uid="{E0F553F5-039D-4937-B612-8B3FF93A2365}">
      <text>
        <r>
          <rPr>
            <sz val="9"/>
            <color indexed="81"/>
            <rFont val="Tahoma"/>
            <family val="2"/>
          </rPr>
          <t>Les comptes de l'industrie. La situation de l'industrie française en 1987. Institut National de la Statistique et des Études Économiques, Les collections de l'Insee. 1988</t>
        </r>
      </text>
    </comment>
    <comment ref="B40" authorId="0" shapeId="0" xr:uid="{5BC3F267-3426-4222-B963-C2C74957DF1F}">
      <text>
        <r>
          <rPr>
            <sz val="9"/>
            <color indexed="81"/>
            <rFont val="Tahoma"/>
            <family val="2"/>
          </rPr>
          <t>Les comptes de l'industrie. La situation de l'industrie française en 1987. Institut National de la Statistique et des Études Économiques, Les collections de l'Insee. 1988</t>
        </r>
      </text>
    </comment>
    <comment ref="B41" authorId="0" shapeId="0" xr:uid="{BAE1710F-7B32-45B2-BAFD-7CED807674BB}">
      <text>
        <r>
          <rPr>
            <sz val="9"/>
            <color indexed="81"/>
            <rFont val="Tahoma"/>
            <family val="2"/>
          </rPr>
          <t>Les comptes de l'industrie. La situation de l'industrie française en 1987. Institut National de la Statistique et des Études Économiques, Les collections de l'Insee. 1988</t>
        </r>
      </text>
    </comment>
    <comment ref="B42" authorId="0" shapeId="0" xr:uid="{431ED04B-9FF7-47DB-9182-81594F79EAEE}">
      <text>
        <r>
          <rPr>
            <sz val="9"/>
            <color indexed="81"/>
            <rFont val="Tahoma"/>
            <family val="2"/>
          </rPr>
          <t>Les comptes de l'industrie. La situation de l'industrie française en 1987. Institut National de la Statistique et des Études Économiques, Les collections de l'Insee. 1988</t>
        </r>
      </text>
    </comment>
    <comment ref="B43" authorId="0" shapeId="0" xr:uid="{790238AE-ADF6-47ED-B2DD-81A5B7A424CE}">
      <text>
        <r>
          <rPr>
            <sz val="9"/>
            <color indexed="81"/>
            <rFont val="Tahoma"/>
            <family val="2"/>
          </rPr>
          <t>Les comptes de l'industrie. La situation de l'industrie française en 1987. Institut National de la Statistique et des Études Économiques, Les collections de l'Insee. 1988</t>
        </r>
      </text>
    </comment>
    <comment ref="B44" authorId="0" shapeId="0" xr:uid="{8262D1EF-BF89-48A3-B4FC-5E78E353AA9A}">
      <text>
        <r>
          <rPr>
            <sz val="9"/>
            <color indexed="81"/>
            <rFont val="Tahoma"/>
            <family val="2"/>
          </rPr>
          <t>Les comptes de l'industrie. La situation de l'industrie française en 1987. Institut National de la Statistique et des Études Économiques, Les collections de l'Insee. 1988</t>
        </r>
      </text>
    </comment>
    <comment ref="B54" authorId="0" shapeId="0" xr:uid="{88059B8D-D182-4613-B5AD-C1CABAA8770F}">
      <text>
        <r>
          <rPr>
            <sz val="9"/>
            <color indexed="81"/>
            <rFont val="Tahoma"/>
            <family val="2"/>
          </rPr>
          <t>Estimated according to PRODCOM data, Eurostat, 2020</t>
        </r>
      </text>
    </comment>
    <comment ref="B55" authorId="0" shapeId="0" xr:uid="{97CFC6AD-A551-4074-8B1B-8CB9CA16740C}">
      <text>
        <r>
          <rPr>
            <sz val="9"/>
            <color indexed="81"/>
            <rFont val="Tahoma"/>
            <family val="2"/>
          </rPr>
          <t>Estimated according to PRODCOM data, Eurostat, 2020</t>
        </r>
      </text>
    </comment>
    <comment ref="B56" authorId="0" shapeId="0" xr:uid="{98BB1E62-ED7E-4567-A93D-3983B64D96FE}">
      <text>
        <r>
          <rPr>
            <sz val="9"/>
            <color indexed="81"/>
            <rFont val="Tahoma"/>
            <family val="2"/>
          </rPr>
          <t>Estimated according to PRODCOM data, Eurostat, 2020</t>
        </r>
      </text>
    </comment>
    <comment ref="B57" authorId="0" shapeId="0" xr:uid="{968AFE4B-A2E8-4CD7-92AE-AC6A11CC30BC}">
      <text>
        <r>
          <rPr>
            <sz val="9"/>
            <color indexed="81"/>
            <rFont val="Tahoma"/>
            <family val="2"/>
          </rPr>
          <t>Estimated according to PRODCOM data, Eurostat, 2020</t>
        </r>
      </text>
    </comment>
    <comment ref="B58" authorId="0" shapeId="0" xr:uid="{D9BC17E7-2AC9-4A05-9F01-10205FB34F25}">
      <text>
        <r>
          <rPr>
            <sz val="9"/>
            <color indexed="81"/>
            <rFont val="Tahoma"/>
            <family val="2"/>
          </rPr>
          <t>Estimated according to PRODCOM data, Eurostat, 2020</t>
        </r>
      </text>
    </comment>
    <comment ref="B59" authorId="0" shapeId="0" xr:uid="{3DF13541-3235-41E7-9DA4-37080AA8548A}">
      <text>
        <r>
          <rPr>
            <sz val="9"/>
            <color indexed="81"/>
            <rFont val="Tahoma"/>
            <family val="2"/>
          </rPr>
          <t>Estimated according to PRODCOM data, Eurostat, 2020</t>
        </r>
      </text>
    </comment>
    <comment ref="B60" authorId="0" shapeId="0" xr:uid="{9FA0E494-F493-408C-B6C1-A49C584B27EC}">
      <text>
        <r>
          <rPr>
            <sz val="9"/>
            <color indexed="81"/>
            <rFont val="Tahoma"/>
            <family val="2"/>
          </rPr>
          <t>Estimated according to PRODCOM data, Eurostat, 2020</t>
        </r>
      </text>
    </comment>
    <comment ref="B61" authorId="0" shapeId="0" xr:uid="{008CEE82-A97D-49D0-8346-BDFEDF276A03}">
      <text>
        <r>
          <rPr>
            <sz val="9"/>
            <color indexed="81"/>
            <rFont val="Tahoma"/>
            <family val="2"/>
          </rPr>
          <t>Estimated according to PRODCOM data, Eurostat, 2020</t>
        </r>
      </text>
    </comment>
    <comment ref="B62" authorId="0" shapeId="0" xr:uid="{C857BA9B-3C15-4B57-BF03-18C14641CF07}">
      <text>
        <r>
          <rPr>
            <sz val="9"/>
            <color indexed="81"/>
            <rFont val="Tahoma"/>
            <family val="2"/>
          </rPr>
          <t>Estimated according to PRODCOM data, Eurostat, 2020</t>
        </r>
      </text>
    </comment>
    <comment ref="B63" authorId="0" shapeId="0" xr:uid="{8CE3331E-C196-4FF0-9EC2-73C10C78F94D}">
      <text>
        <r>
          <rPr>
            <sz val="9"/>
            <color indexed="81"/>
            <rFont val="Tahoma"/>
            <family val="2"/>
          </rPr>
          <t>Estimated according to PRODCOM data, Eurostat, 2020</t>
        </r>
      </text>
    </comment>
    <comment ref="B64" authorId="0" shapeId="0" xr:uid="{73C12B66-911C-4DC3-9CDC-8A7AF2B61999}">
      <text>
        <r>
          <rPr>
            <sz val="9"/>
            <color indexed="81"/>
            <rFont val="Tahoma"/>
            <family val="2"/>
          </rPr>
          <t>Estimated according to PRODCOM data, Eurostat, 2020</t>
        </r>
      </text>
    </comment>
    <comment ref="B65" authorId="0" shapeId="0" xr:uid="{1BC5724C-D790-42F9-86CD-6AFAB1AA3B77}">
      <text>
        <r>
          <rPr>
            <sz val="9"/>
            <color indexed="81"/>
            <rFont val="Tahoma"/>
            <family val="2"/>
          </rPr>
          <t>Estimated according to PRODCOM data, Eurostat, 2020</t>
        </r>
      </text>
    </comment>
    <comment ref="B66" authorId="0" shapeId="0" xr:uid="{8728395A-A4CB-43D9-ADC3-4377E06C8ED9}">
      <text>
        <r>
          <rPr>
            <sz val="9"/>
            <color indexed="81"/>
            <rFont val="Tahoma"/>
            <family val="2"/>
          </rPr>
          <t>Estimated according to PRODCOM data, Eurostat, 2020</t>
        </r>
      </text>
    </comment>
    <comment ref="B67" authorId="0" shapeId="0" xr:uid="{41453F47-5E7D-4E52-83E9-8A19F775A3D0}">
      <text>
        <r>
          <rPr>
            <sz val="9"/>
            <color indexed="81"/>
            <rFont val="Tahoma"/>
            <family val="2"/>
          </rPr>
          <t>Estimated according to PRODCOM data, Eurostat, 2020</t>
        </r>
      </text>
    </comment>
    <comment ref="B68" authorId="0" shapeId="0" xr:uid="{7F15893F-29B4-416E-94A4-B4D4413303AF}">
      <text>
        <r>
          <rPr>
            <sz val="9"/>
            <color indexed="81"/>
            <rFont val="Tahoma"/>
            <family val="2"/>
          </rPr>
          <t>Estimated according to PRODCOM data, Eurostat, 2020</t>
        </r>
      </text>
    </comment>
    <comment ref="B69" authorId="0" shapeId="0" xr:uid="{0C500F11-6A7A-4B23-807B-6B22282B2547}">
      <text>
        <r>
          <rPr>
            <sz val="9"/>
            <color indexed="81"/>
            <rFont val="Tahoma"/>
            <family val="2"/>
          </rPr>
          <t>Estimated according to PRODCOM data, Eurostat, 2020</t>
        </r>
      </text>
    </comment>
    <comment ref="B70" authorId="0" shapeId="0" xr:uid="{690F4194-C9FC-48CA-9778-3629FDFA8E72}">
      <text>
        <r>
          <rPr>
            <sz val="9"/>
            <color indexed="81"/>
            <rFont val="Tahoma"/>
            <family val="2"/>
          </rPr>
          <t>Estimated according to PRODCOM data, Eurostat, 2020</t>
        </r>
      </text>
    </comment>
    <comment ref="B71" authorId="0" shapeId="0" xr:uid="{731E164E-7635-472F-9819-83992381DEAA}">
      <text>
        <r>
          <rPr>
            <sz val="9"/>
            <color indexed="81"/>
            <rFont val="Tahoma"/>
            <family val="2"/>
          </rPr>
          <t>Estimated according to PRODCOM data, Eurostat, 2020</t>
        </r>
      </text>
    </comment>
    <comment ref="B72" authorId="0" shapeId="0" xr:uid="{E4BFDABF-8EED-4BCC-918A-E2B8BC63F1EB}">
      <text>
        <r>
          <rPr>
            <sz val="9"/>
            <color indexed="81"/>
            <rFont val="Tahoma"/>
            <family val="2"/>
          </rPr>
          <t>Estimated according to PRODCOM data, Eurostat, 2020</t>
        </r>
      </text>
    </comment>
    <comment ref="B73" authorId="0" shapeId="0" xr:uid="{6481B426-CDB4-4A03-BFE5-EB050F63A3D5}">
      <text>
        <r>
          <rPr>
            <sz val="9"/>
            <color indexed="81"/>
            <rFont val="Tahoma"/>
            <family val="2"/>
          </rPr>
          <t>Estimated according to PRODCOM data, Eurostat, 2020</t>
        </r>
      </text>
    </comment>
    <comment ref="B74" authorId="0" shapeId="0" xr:uid="{6C2D490D-3535-47D9-88F8-4AE26253DF59}">
      <text>
        <r>
          <rPr>
            <sz val="9"/>
            <color indexed="81"/>
            <rFont val="Tahoma"/>
            <family val="2"/>
          </rPr>
          <t>Estimated according to PRODCOM data, Eurostat, 2020</t>
        </r>
      </text>
    </comment>
    <comment ref="B75" authorId="0" shapeId="0" xr:uid="{1349B0A6-F655-4144-9FAA-9AD31D9D5108}">
      <text>
        <r>
          <rPr>
            <sz val="9"/>
            <color indexed="81"/>
            <rFont val="Tahoma"/>
            <family val="2"/>
          </rPr>
          <t>Estimated according to PRODCOM data, Eurostat, 2020</t>
        </r>
      </text>
    </comment>
    <comment ref="B76" authorId="0" shapeId="0" xr:uid="{DAE9935D-BB20-41D8-A5D5-B3F3FA309C98}">
      <text>
        <r>
          <rPr>
            <sz val="9"/>
            <color indexed="81"/>
            <rFont val="Tahoma"/>
            <family val="2"/>
          </rPr>
          <t>Estimated according to PRODCOM data, Eurostat, 2020</t>
        </r>
      </text>
    </comment>
    <comment ref="B77" authorId="0" shapeId="0" xr:uid="{EE8DE986-431F-42DD-9B75-575A42F7F10E}">
      <text>
        <r>
          <rPr>
            <sz val="9"/>
            <color indexed="81"/>
            <rFont val="Tahoma"/>
            <family val="2"/>
          </rPr>
          <t>Estimated according to PRODCOM data, Eurostat, 2020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DED84609-F5DE-4EE6-ADC7-7892F3135651}">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D1" authorId="0" shapeId="0" xr:uid="{E3C4BC39-5BBA-475A-A079-6EAF228F41F5}">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9" authorId="0" shapeId="0" xr:uid="{FAB4F540-1E97-45DC-9849-D2DB30BEA9AC}">
      <text>
        <r>
          <rPr>
            <sz val="9"/>
            <color indexed="81"/>
            <rFont val="Tahoma"/>
            <family val="2"/>
          </rPr>
          <t>Annuaire statistique de la France, 1953, Institut National de la Statistique et des Études Économiques, Paris, 1954. p. 156-9</t>
        </r>
      </text>
    </comment>
    <comment ref="B10" authorId="0" shapeId="0" xr:uid="{3AC6C416-463E-44D6-864B-C7ED45416FD1}">
      <text>
        <r>
          <rPr>
            <sz val="9"/>
            <color indexed="81"/>
            <rFont val="Tahoma"/>
            <family val="2"/>
          </rPr>
          <t>Annuaire statistique de la France, 1954, Institut National de la Statistique et des Études Économiques, Paris, 1955. p. 132-3</t>
        </r>
      </text>
    </comment>
    <comment ref="B11" authorId="0" shapeId="0" xr:uid="{67FDA520-A061-4FFB-9AF7-7C9AE902F565}">
      <text>
        <r>
          <rPr>
            <sz val="9"/>
            <color indexed="81"/>
            <rFont val="Tahoma"/>
            <family val="2"/>
          </rPr>
          <t>Annuaire statistique de la France, 1954, Institut National de la Statistique et des Études Économiques, Paris, 1955. p. 132-3</t>
        </r>
      </text>
    </comment>
    <comment ref="B12" authorId="0" shapeId="0" xr:uid="{E74397E0-5A3A-4220-80EC-2B0FC9CC68BD}">
      <text>
        <r>
          <rPr>
            <sz val="9"/>
            <color indexed="81"/>
            <rFont val="Tahoma"/>
            <family val="2"/>
          </rPr>
          <t>Annuaire statistique de la France, 1956, Institut National de la Statistique et des Études Économiques, Paris, 1957. p. 165-6</t>
        </r>
      </text>
    </comment>
    <comment ref="B14" authorId="0" shapeId="0" xr:uid="{77B91AB7-BB89-4D64-B407-24C50A93C82C}">
      <text>
        <r>
          <rPr>
            <sz val="9"/>
            <color indexed="81"/>
            <rFont val="Tahoma"/>
            <family val="2"/>
          </rPr>
          <t>"L'industrie du verre plat dans le Nord de la France", Glaces et verres, 157, August 1958, p. 34-36</t>
        </r>
      </text>
    </comment>
    <comment ref="B19" authorId="0" shapeId="0" xr:uid="{A563BD98-5826-49EB-B31B-B3BA3418AF3E}">
      <text>
        <r>
          <rPr>
            <sz val="9"/>
            <color indexed="81"/>
            <rFont val="Tahoma"/>
            <family val="2"/>
          </rPr>
          <t>Industries du verre, CNPF and INSEE, 1971, Monographies de l'industrie et du commerce en France, n° 1</t>
        </r>
      </text>
    </comment>
    <comment ref="B23" authorId="0" shapeId="0" xr:uid="{8B819C02-0893-4A2B-9E77-E1BED0F3154C}">
      <text>
        <r>
          <rPr>
            <sz val="9"/>
            <color indexed="81"/>
            <rFont val="Tahoma"/>
            <family val="2"/>
          </rPr>
          <t>Industries du verre, CNPF and INSEE, 1971, Monographies de l'industrie et du commerce en France, n° 1</t>
        </r>
      </text>
    </comment>
    <comment ref="B25" authorId="0" shapeId="0" xr:uid="{50171343-9E1B-4197-B425-C204D111AAAB}">
      <text>
        <r>
          <rPr>
            <sz val="9"/>
            <color indexed="81"/>
            <rFont val="Tahoma"/>
            <family val="2"/>
          </rPr>
          <t>Industries du verre, CNPF and INSEE, 1971, Monographies de l'industrie et du commerce en France, n° 1</t>
        </r>
      </text>
    </comment>
    <comment ref="B27" authorId="0" shapeId="0" xr:uid="{2ED5D1D3-75C4-4870-B432-BE46D610995C}">
      <text>
        <r>
          <rPr>
            <sz val="9"/>
            <color indexed="81"/>
            <rFont val="Tahoma"/>
            <family val="2"/>
          </rPr>
          <t>Les comptes de l'industrie. La situation de l'industrie française en 1987. Institut National de la Statistique et des Études Économiques, Les collections de l'Insee. 1988</t>
        </r>
      </text>
    </comment>
    <comment ref="B28" authorId="0" shapeId="0" xr:uid="{022312E6-8B95-4328-8918-8EC1A2555CB1}">
      <text>
        <r>
          <rPr>
            <sz val="9"/>
            <color indexed="81"/>
            <rFont val="Tahoma"/>
            <family val="2"/>
          </rPr>
          <t>Les comptes de l'industrie. La situation de l'industrie française en 1987. Institut National de la Statistique et des Études Économiques, Les collections de l'Insee. 1988</t>
        </r>
      </text>
    </comment>
    <comment ref="B29" authorId="0" shapeId="0" xr:uid="{87FDDD88-3BD6-4371-994B-87017CC98252}">
      <text>
        <r>
          <rPr>
            <sz val="9"/>
            <color indexed="81"/>
            <rFont val="Tahoma"/>
            <family val="2"/>
          </rPr>
          <t>Les comptes de l'industrie. La situation de l'industrie française en 1987. Institut National de la Statistique et des Études Économiques, Les collections de l'Insee. 1988</t>
        </r>
      </text>
    </comment>
    <comment ref="B30" authorId="0" shapeId="0" xr:uid="{6414609C-7959-4CEF-994C-3B5DBC26A9D2}">
      <text>
        <r>
          <rPr>
            <sz val="9"/>
            <color indexed="81"/>
            <rFont val="Tahoma"/>
            <family val="2"/>
          </rPr>
          <t>Les comptes de l'industrie. La situation de l'industrie française en 1987. Institut National de la Statistique et des Études Économiques, Les collections de l'Insee. 1988</t>
        </r>
      </text>
    </comment>
    <comment ref="B31" authorId="0" shapeId="0" xr:uid="{0F721BC6-C268-4BC2-9FE4-6FDF2596F3CC}">
      <text>
        <r>
          <rPr>
            <sz val="9"/>
            <color indexed="81"/>
            <rFont val="Tahoma"/>
            <family val="2"/>
          </rPr>
          <t>Les comptes de l'industrie. La situation de l'industrie française en 1987. Institut National de la Statistique et des Études Économiques, Les collections de l'Insee. 1988</t>
        </r>
      </text>
    </comment>
    <comment ref="B32" authorId="0" shapeId="0" xr:uid="{B59D8BD3-7643-4C6F-8343-955200D45D66}">
      <text>
        <r>
          <rPr>
            <sz val="9"/>
            <color indexed="81"/>
            <rFont val="Tahoma"/>
            <family val="2"/>
          </rPr>
          <t>Les comptes de l'industrie. La situation de l'industrie française en 1987. Institut National de la Statistique et des Études Économiques, Les collections de l'Insee. 1988</t>
        </r>
      </text>
    </comment>
    <comment ref="B33" authorId="0" shapeId="0" xr:uid="{9D1501F8-CE86-4E0D-9805-658D5C2E2C03}">
      <text>
        <r>
          <rPr>
            <sz val="9"/>
            <color indexed="81"/>
            <rFont val="Tahoma"/>
            <family val="2"/>
          </rPr>
          <t>Les comptes de l'industrie. La situation de l'industrie française en 1987. Institut National de la Statistique et des Études Économiques, Les collections de l'Insee. 1988</t>
        </r>
      </text>
    </comment>
    <comment ref="B34" authorId="0" shapeId="0" xr:uid="{1D85C2D6-ADA0-4774-8996-01B8D9F5B962}">
      <text>
        <r>
          <rPr>
            <sz val="9"/>
            <color indexed="81"/>
            <rFont val="Tahoma"/>
            <family val="2"/>
          </rPr>
          <t>Les comptes de l'industrie. La situation de l'industrie française en 1987. Institut National de la Statistique et des Études Économiques, Les collections de l'Insee. 1988</t>
        </r>
      </text>
    </comment>
    <comment ref="B35" authorId="0" shapeId="0" xr:uid="{57F71DAD-0963-4168-8BAB-565A1CF8868A}">
      <text>
        <r>
          <rPr>
            <sz val="9"/>
            <color indexed="81"/>
            <rFont val="Tahoma"/>
            <family val="2"/>
          </rPr>
          <t>Les comptes de l'industrie. La situation de l'industrie française en 1987. Institut National de la Statistique et des Études Économiques, Les collections de l'Insee. 1988</t>
        </r>
      </text>
    </comment>
    <comment ref="B36" authorId="0" shapeId="0" xr:uid="{9A7725CB-F062-4257-B08D-3EB89AB3497B}">
      <text>
        <r>
          <rPr>
            <sz val="9"/>
            <color indexed="81"/>
            <rFont val="Tahoma"/>
            <family val="2"/>
          </rPr>
          <t>Les comptes de l'industrie. La situation de l'industrie française en 1987. Institut National de la Statistique et des Études Économiques, Les collections de l'Insee. 1988</t>
        </r>
      </text>
    </comment>
    <comment ref="B37" authorId="0" shapeId="0" xr:uid="{4A6FD9D5-1AAE-4DC0-BAD0-E480019C6E99}">
      <text>
        <r>
          <rPr>
            <sz val="9"/>
            <color indexed="81"/>
            <rFont val="Tahoma"/>
            <family val="2"/>
          </rPr>
          <t>Les comptes de l'industrie. La situation de l'industrie française en 1987. Institut National de la Statistique et des Études Économiques, Les collections de l'Insee. 1988</t>
        </r>
      </text>
    </comment>
    <comment ref="B38" authorId="0" shapeId="0" xr:uid="{6350D03C-E68F-4303-8C27-DDA4E0A47C61}">
      <text>
        <r>
          <rPr>
            <sz val="9"/>
            <color indexed="81"/>
            <rFont val="Tahoma"/>
            <family val="2"/>
          </rPr>
          <t>Les comptes de l'industrie. La situation de l'industrie française en 1987. Institut National de la Statistique et des Études Économiques, Les collections de l'Insee. 1988</t>
        </r>
      </text>
    </comment>
    <comment ref="B39" authorId="0" shapeId="0" xr:uid="{6948964C-5F1D-4573-8219-9DA5A8BEEB25}">
      <text>
        <r>
          <rPr>
            <sz val="9"/>
            <color indexed="81"/>
            <rFont val="Tahoma"/>
            <family val="2"/>
          </rPr>
          <t>Les comptes de l'industrie. La situation de l'industrie française en 1987. Institut National de la Statistique et des Études Économiques, Les collections de l'Insee. 1988</t>
        </r>
      </text>
    </comment>
    <comment ref="B40" authorId="0" shapeId="0" xr:uid="{3AB5E39B-1526-4756-8E84-F887AE9B549F}">
      <text>
        <r>
          <rPr>
            <sz val="9"/>
            <color indexed="81"/>
            <rFont val="Tahoma"/>
            <family val="2"/>
          </rPr>
          <t>Les comptes de l'industrie. La situation de l'industrie française en 1987. Institut National de la Statistique et des Études Économiques, Les collections de l'Insee. 1988</t>
        </r>
      </text>
    </comment>
    <comment ref="B41" authorId="0" shapeId="0" xr:uid="{E35DA413-1FB9-45B3-B2D4-F48C8F649672}">
      <text>
        <r>
          <rPr>
            <sz val="9"/>
            <color indexed="81"/>
            <rFont val="Tahoma"/>
            <family val="2"/>
          </rPr>
          <t>Les comptes de l'industrie. La situation de l'industrie française en 1987. Institut National de la Statistique et des Études Économiques, Les collections de l'Insee. 1988</t>
        </r>
      </text>
    </comment>
    <comment ref="B42" authorId="0" shapeId="0" xr:uid="{FB1A0F7C-9A23-416A-8C25-B7C005488AB1}">
      <text>
        <r>
          <rPr>
            <sz val="9"/>
            <color indexed="81"/>
            <rFont val="Tahoma"/>
            <family val="2"/>
          </rPr>
          <t>Les comptes de l'industrie. La situation de l'industrie française en 1987. Institut National de la Statistique et des Études Économiques, Les collections de l'Insee. 1988</t>
        </r>
      </text>
    </comment>
    <comment ref="B43" authorId="0" shapeId="0" xr:uid="{6A0A928C-5205-473F-9A7D-9A8F60F1533A}">
      <text>
        <r>
          <rPr>
            <sz val="9"/>
            <color indexed="81"/>
            <rFont val="Tahoma"/>
            <family val="2"/>
          </rPr>
          <t>Les comptes de l'industrie. La situation de l'industrie française en 1987. Institut National de la Statistique et des Études Économiques, Les collections de l'Insee. 1988</t>
        </r>
      </text>
    </comment>
    <comment ref="B44" authorId="0" shapeId="0" xr:uid="{F9193610-B54F-4F5C-928E-017225B0136B}">
      <text>
        <r>
          <rPr>
            <sz val="9"/>
            <color indexed="81"/>
            <rFont val="Tahoma"/>
            <family val="2"/>
          </rPr>
          <t>Les comptes de l'industrie. La situation de l'industrie française en 1987. Institut National de la Statistique et des Études Économiques, Les collections de l'Insee. 1988</t>
        </r>
      </text>
    </comment>
    <comment ref="B46" authorId="0" shapeId="0" xr:uid="{EAC04459-F684-4FE8-BD25-E3418E4DC974}">
      <text>
        <r>
          <rPr>
            <sz val="9"/>
            <color indexed="81"/>
            <rFont val="Tahoma"/>
            <family val="2"/>
          </rPr>
          <t>Production industrielle: industrie du verre, Service des études et des statistiques industrielles</t>
        </r>
      </text>
    </comment>
    <comment ref="C46" authorId="0" shapeId="0" xr:uid="{516FDB64-E6E6-437C-BE19-0F84123477E8}">
      <text>
        <r>
          <rPr>
            <sz val="9"/>
            <color indexed="81"/>
            <rFont val="Tahoma"/>
            <family val="2"/>
          </rPr>
          <t>Production industrielle: industrie du verre, Service des études et des statistiques industrielles</t>
        </r>
      </text>
    </comment>
    <comment ref="C47" authorId="0" shapeId="0" xr:uid="{5AFAB1EF-A477-4384-9DC2-488F8906D1B0}">
      <text>
        <r>
          <rPr>
            <sz val="9"/>
            <color indexed="81"/>
            <rFont val="Tahoma"/>
            <family val="2"/>
          </rPr>
          <t>Production industrielle: industrie du verre, Service des études et des statistiques industrielles</t>
        </r>
      </text>
    </comment>
    <comment ref="C48" authorId="0" shapeId="0" xr:uid="{AD40C842-AD8D-4E6B-845B-BC9211B52AA8}">
      <text>
        <r>
          <rPr>
            <sz val="9"/>
            <color indexed="81"/>
            <rFont val="Tahoma"/>
            <family val="2"/>
          </rPr>
          <t>Production industrielle: industrie du verre, Service des études et des statistiques industrielles</t>
        </r>
      </text>
    </comment>
    <comment ref="C49" authorId="0" shapeId="0" xr:uid="{F9AF2EF0-8C4C-4135-B58E-0A03212FE5B6}">
      <text>
        <r>
          <rPr>
            <sz val="9"/>
            <color indexed="81"/>
            <rFont val="Tahoma"/>
            <family val="2"/>
          </rPr>
          <t>Production industrielle: industrie du verre, Service des études et des statistiques industrielles</t>
        </r>
      </text>
    </comment>
    <comment ref="C50" authorId="0" shapeId="0" xr:uid="{B9ADD180-AD61-413E-9212-0B32B77557E4}">
      <text>
        <r>
          <rPr>
            <sz val="9"/>
            <color indexed="81"/>
            <rFont val="Tahoma"/>
            <family val="2"/>
          </rPr>
          <t>Production industrielle: industrie du verre, Service des études et des statistiques industrielles</t>
        </r>
      </text>
    </comment>
    <comment ref="B51" authorId="0" shapeId="0" xr:uid="{EE050906-C044-42B6-A5A9-9F6BAD4E15F1}">
      <text>
        <r>
          <rPr>
            <b/>
            <sz val="9"/>
            <color indexed="81"/>
            <rFont val="Tahoma"/>
            <family val="2"/>
          </rPr>
          <t>Verre, vol 1, no. 4, juill-aout 1995:
p 36
Importation = 28.1%*9,513millionsF
Exportation = 19.1%*14,348millionsF</t>
        </r>
      </text>
    </comment>
    <comment ref="B52" authorId="0" shapeId="0" xr:uid="{FD805E87-F3D0-493E-B0D3-F358758143B0}">
      <text>
        <r>
          <rPr>
            <sz val="9"/>
            <color indexed="81"/>
            <rFont val="Tahoma"/>
            <family val="2"/>
          </rPr>
          <t>Estimated according to PRODCOM data, Eurostat, 2020</t>
        </r>
      </text>
    </comment>
    <comment ref="B53" authorId="0" shapeId="0" xr:uid="{BFF85948-E92F-41E9-9DBB-9354B7BA8ECD}">
      <text>
        <r>
          <rPr>
            <sz val="9"/>
            <color indexed="81"/>
            <rFont val="Tahoma"/>
            <family val="2"/>
          </rPr>
          <t>Estimated according to PRODCOM data, Eurostat, 2020</t>
        </r>
      </text>
    </comment>
    <comment ref="B54" authorId="0" shapeId="0" xr:uid="{558E1A4E-FE67-4B20-B27E-BD39A160A03F}">
      <text>
        <r>
          <rPr>
            <sz val="9"/>
            <color indexed="81"/>
            <rFont val="Tahoma"/>
            <family val="2"/>
          </rPr>
          <t>Estimated according to PRODCOM data, Eurostat, 2020</t>
        </r>
      </text>
    </comment>
    <comment ref="B55" authorId="0" shapeId="0" xr:uid="{4FCE0368-9DA1-4DE0-A2EB-9C909784F315}">
      <text>
        <r>
          <rPr>
            <sz val="9"/>
            <color indexed="81"/>
            <rFont val="Tahoma"/>
            <family val="2"/>
          </rPr>
          <t>Estimated according to PRODCOM data, Eurostat, 2020</t>
        </r>
      </text>
    </comment>
    <comment ref="B56" authorId="0" shapeId="0" xr:uid="{45574A3A-F235-4BBC-A332-261757038607}">
      <text>
        <r>
          <rPr>
            <sz val="9"/>
            <color indexed="81"/>
            <rFont val="Tahoma"/>
            <family val="2"/>
          </rPr>
          <t>Estimated according to PRODCOM data, Eurostat, 2020</t>
        </r>
      </text>
    </comment>
    <comment ref="B57" authorId="0" shapeId="0" xr:uid="{092588A9-2AFC-4753-BBAB-2D1E3721A964}">
      <text>
        <r>
          <rPr>
            <sz val="9"/>
            <color indexed="81"/>
            <rFont val="Tahoma"/>
            <family val="2"/>
          </rPr>
          <t>Estimated according to PRODCOM data, Eurostat, 2020</t>
        </r>
      </text>
    </comment>
    <comment ref="B58" authorId="0" shapeId="0" xr:uid="{8D4CCCFA-3E30-482F-8328-776E6D907B09}">
      <text>
        <r>
          <rPr>
            <sz val="9"/>
            <color indexed="81"/>
            <rFont val="Tahoma"/>
            <family val="2"/>
          </rPr>
          <t>Estimated according to PRODCOM data, Eurostat, 2020</t>
        </r>
      </text>
    </comment>
    <comment ref="B59" authorId="0" shapeId="0" xr:uid="{E74DF53E-B4BF-47A4-94A2-9BC074DE418E}">
      <text>
        <r>
          <rPr>
            <sz val="9"/>
            <color indexed="81"/>
            <rFont val="Tahoma"/>
            <family val="2"/>
          </rPr>
          <t>Estimated according to PRODCOM data, Eurostat, 2020</t>
        </r>
      </text>
    </comment>
    <comment ref="B60" authorId="0" shapeId="0" xr:uid="{9C8087EA-38B0-42B7-ADBE-47AC3090B2B9}">
      <text>
        <r>
          <rPr>
            <sz val="9"/>
            <color indexed="81"/>
            <rFont val="Tahoma"/>
            <family val="2"/>
          </rPr>
          <t>"L'industrie française du verre en 2003", Verre, vol. 10 n°5, October 2004, 52-6</t>
        </r>
      </text>
    </comment>
    <comment ref="B61" authorId="0" shapeId="0" xr:uid="{3B7FF87A-0F49-43C7-BE5A-DEC1DAB597A7}">
      <text>
        <r>
          <rPr>
            <sz val="9"/>
            <color indexed="81"/>
            <rFont val="Tahoma"/>
            <family val="2"/>
          </rPr>
          <t>"L'industrie française du verre", Verre, vol. 11 n°3 Juin 2005, 68-72</t>
        </r>
      </text>
    </comment>
    <comment ref="B62" authorId="0" shapeId="0" xr:uid="{0508A8BB-EA3F-4E77-B8DB-EFCA53FFB282}">
      <text>
        <r>
          <rPr>
            <sz val="9"/>
            <color indexed="81"/>
            <rFont val="Tahoma"/>
            <family val="2"/>
          </rPr>
          <t>Estimated according to PRODCOM data, Eurostat, 2020</t>
        </r>
      </text>
    </comment>
    <comment ref="B63" authorId="0" shapeId="0" xr:uid="{F503E485-E538-48E9-914E-0DC2A0FC8297}">
      <text>
        <r>
          <rPr>
            <sz val="9"/>
            <color indexed="81"/>
            <rFont val="Tahoma"/>
            <family val="2"/>
          </rPr>
          <t>"Lindustrie verrière française en 2006", Verre, vol.13, no. 6, dec 2007, 66-9
32% of total prod</t>
        </r>
      </text>
    </comment>
    <comment ref="B64" authorId="0" shapeId="0" xr:uid="{463DE32E-43A0-4861-80CC-635467A77C08}">
      <text>
        <r>
          <rPr>
            <sz val="9"/>
            <color indexed="81"/>
            <rFont val="Tahoma"/>
            <family val="2"/>
          </rPr>
          <t>"L'industrie verrière française en 2007", Verre, vol. 14, n°4, august 2008, p. 10-3
28% of total prod</t>
        </r>
      </text>
    </comment>
    <comment ref="B65" authorId="0" shapeId="0" xr:uid="{A84BA6F9-810F-49FA-BF6D-6D95E7375918}">
      <text>
        <r>
          <rPr>
            <sz val="9"/>
            <color indexed="81"/>
            <rFont val="Tahoma"/>
            <family val="2"/>
          </rPr>
          <t>"L'évolution générale de l'industrie du verre en 2008", Verre, vol. 15, n°5, nov. 2009, p. 37-9
36% of total prod</t>
        </r>
      </text>
    </comment>
    <comment ref="B66" authorId="0" shapeId="0" xr:uid="{5FD09EEB-22BA-4737-A711-A6B13F315DCB}">
      <text>
        <r>
          <rPr>
            <sz val="9"/>
            <color indexed="81"/>
            <rFont val="Tahoma"/>
            <family val="2"/>
          </rPr>
          <t>Estimated according to PRODCOM data, Eurostat, 2020</t>
        </r>
      </text>
    </comment>
    <comment ref="B67" authorId="0" shapeId="0" xr:uid="{72E12E4C-0291-4019-94E3-6F774E2F2138}">
      <text>
        <r>
          <rPr>
            <sz val="9"/>
            <color indexed="81"/>
            <rFont val="Tahoma"/>
            <family val="2"/>
          </rPr>
          <t>Estimated according to PRODCOM data, Eurostat, 2020</t>
        </r>
      </text>
    </comment>
    <comment ref="B68" authorId="0" shapeId="0" xr:uid="{F84C44C0-3163-45FA-AF1E-BC289AFDF3BF}">
      <text>
        <r>
          <rPr>
            <sz val="9"/>
            <color indexed="81"/>
            <rFont val="Tahoma"/>
            <family val="2"/>
          </rPr>
          <t>Estimated according to PRODCOM data, Eurostat, 2020</t>
        </r>
      </text>
    </comment>
    <comment ref="B69" authorId="0" shapeId="0" xr:uid="{FF17CB94-9ADD-43BE-8DCE-C01B5E871937}">
      <text>
        <r>
          <rPr>
            <sz val="9"/>
            <color indexed="81"/>
            <rFont val="Tahoma"/>
            <family val="2"/>
          </rPr>
          <t>Estimated according to PRODCOM data, Eurostat, 2020</t>
        </r>
      </text>
    </comment>
    <comment ref="B70" authorId="0" shapeId="0" xr:uid="{205A0229-AAC8-4B77-A8A5-01F104DC8C01}">
      <text>
        <r>
          <rPr>
            <sz val="9"/>
            <color indexed="81"/>
            <rFont val="Tahoma"/>
            <family val="2"/>
          </rPr>
          <t>Estimated according to PRODCOM data, Eurostat, 2020</t>
        </r>
      </text>
    </comment>
    <comment ref="B71" authorId="0" shapeId="0" xr:uid="{276A9F28-DDD8-4196-BE72-47CAAE98E097}">
      <text>
        <r>
          <rPr>
            <sz val="9"/>
            <color indexed="81"/>
            <rFont val="Tahoma"/>
            <family val="2"/>
          </rPr>
          <t>Estimated according to PRODCOM data, Eurostat, 2020</t>
        </r>
      </text>
    </comment>
    <comment ref="B72" authorId="0" shapeId="0" xr:uid="{FBB9C447-850B-404A-A715-3938A9BF7B57}">
      <text>
        <r>
          <rPr>
            <sz val="9"/>
            <color indexed="81"/>
            <rFont val="Tahoma"/>
            <family val="2"/>
          </rPr>
          <t>Estimated according to PRODCOM data, Eurostat, 2020</t>
        </r>
      </text>
    </comment>
    <comment ref="B73" authorId="0" shapeId="0" xr:uid="{97A66D78-955F-4A67-8DA8-41AA16609641}">
      <text>
        <r>
          <rPr>
            <sz val="9"/>
            <color indexed="81"/>
            <rFont val="Tahoma"/>
            <family val="2"/>
          </rPr>
          <t>Estimated according to PRODCOM data, Eurostat, 2020</t>
        </r>
      </text>
    </comment>
    <comment ref="B74" authorId="0" shapeId="0" xr:uid="{6CBA93EF-2B79-4AAD-9A6F-CD04B690A6A8}">
      <text>
        <r>
          <rPr>
            <sz val="9"/>
            <color indexed="81"/>
            <rFont val="Tahoma"/>
            <family val="2"/>
          </rPr>
          <t>Estimated according to PRODCOM data, Eurostat, 2020</t>
        </r>
      </text>
    </comment>
    <comment ref="B75" authorId="0" shapeId="0" xr:uid="{3D724D06-80E1-4EFB-AA88-3AC0B29F978B}">
      <text>
        <r>
          <rPr>
            <sz val="9"/>
            <color indexed="81"/>
            <rFont val="Tahoma"/>
            <family val="2"/>
          </rPr>
          <t>Estimated according to PRODCOM data, Eurostat, 2020</t>
        </r>
      </text>
    </comment>
    <comment ref="B76" authorId="0" shapeId="0" xr:uid="{301C2421-FB30-4700-95F6-7E11E57F1FF4}">
      <text>
        <r>
          <rPr>
            <sz val="9"/>
            <color indexed="81"/>
            <rFont val="Tahoma"/>
            <family val="2"/>
          </rPr>
          <t>Estimated according to PRODCOM data, Eurostat, 2020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3C33226-F803-4041-ACB0-CE3C4ACF9BFE}">
      <text>
        <r>
          <rPr>
            <sz val="9"/>
            <color indexed="81"/>
            <rFont val="Tahoma"/>
            <family val="2"/>
          </rPr>
          <t>OECD Data:
https://data.oecd.org/pop/population.htm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BB5C71D2-02D7-46C8-AE59-7ECA18406FB8}">
      <text>
        <r>
          <rPr>
            <sz val="9"/>
            <color indexed="81"/>
            <rFont val="Tahoma"/>
            <family val="2"/>
          </rPr>
          <t>(Boaglio 1990)</t>
        </r>
      </text>
    </comment>
    <comment ref="C1" authorId="0" shapeId="0" xr:uid="{DBCA2566-C595-479B-B8C2-B2835C753619}">
      <text>
        <r>
          <rPr>
            <sz val="9"/>
            <color indexed="81"/>
            <rFont val="Tahoma"/>
            <family val="2"/>
          </rPr>
          <t>(Boaglio 1990)</t>
        </r>
      </text>
    </comment>
    <comment ref="D1" authorId="0" shapeId="0" xr:uid="{4FA42AB7-A3AC-40CA-BB01-5DF2FF3C24B8}">
      <text>
        <r>
          <rPr>
            <sz val="9"/>
            <color indexed="81"/>
            <rFont val="Tahoma"/>
            <family val="2"/>
          </rPr>
          <t>(Boaglio 1990)</t>
        </r>
      </text>
    </comment>
    <comment ref="E1" authorId="0" shapeId="0" xr:uid="{F3FFFBFD-D924-435A-953E-426BA71BB42D}">
      <text>
        <r>
          <rPr>
            <sz val="9"/>
            <color indexed="81"/>
            <rFont val="Tahoma"/>
            <family val="2"/>
          </rPr>
          <t>(Boaglio 1990)</t>
        </r>
      </text>
    </comment>
    <comment ref="F1" authorId="0" shapeId="0" xr:uid="{45FBCD93-AB76-419F-9A37-B59F118AEF87}">
      <text>
        <r>
          <rPr>
            <sz val="9"/>
            <color indexed="81"/>
            <rFont val="Tahoma"/>
            <family val="2"/>
          </rPr>
          <t>(Boaglio 1990)</t>
        </r>
      </text>
    </comment>
    <comment ref="G1" authorId="0" shapeId="0" xr:uid="{9760C7CD-8434-4BF4-B61F-89738B244F41}">
      <text>
        <r>
          <rPr>
            <sz val="9"/>
            <color indexed="81"/>
            <rFont val="Tahoma"/>
            <family val="2"/>
          </rPr>
          <t>(Boaglio 1990)</t>
        </r>
      </text>
    </comment>
    <comment ref="H1" authorId="0" shapeId="0" xr:uid="{C34FB9E8-F0D9-403C-818F-0C1D1D5D31EA}">
      <text>
        <r>
          <rPr>
            <sz val="9"/>
            <color indexed="81"/>
            <rFont val="Tahoma"/>
            <family val="2"/>
          </rPr>
          <t>(Boaglio 1990)</t>
        </r>
      </text>
    </comment>
    <comment ref="I1" authorId="0" shapeId="0" xr:uid="{9862B577-26B7-4085-8B5B-324952B54F46}">
      <text>
        <r>
          <rPr>
            <sz val="9"/>
            <color indexed="81"/>
            <rFont val="Tahoma"/>
            <family val="2"/>
          </rPr>
          <t>(Boaglio 1990)</t>
        </r>
      </text>
    </comment>
    <comment ref="K1" authorId="0" shapeId="0" xr:uid="{C932680E-7EF8-4008-9B0C-1326C66B00D8}">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8F49884D-B8B1-4775-A812-CE05BE45FE1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D631B7FC-288A-41DF-82EF-3FF1D04BF0B5}">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N1" authorId="0" shapeId="0" xr:uid="{01CB2A57-5500-484D-B5FC-32E28C6D8C44}">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O1" authorId="0" shapeId="0" xr:uid="{DF5E6328-C219-48BE-86E0-EACA6F2491E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B11" authorId="0" shapeId="0" xr:uid="{C43787C7-4D1A-4739-80CE-D29493CDBC6C}">
      <text>
        <r>
          <rPr>
            <sz val="9"/>
            <color indexed="81"/>
            <rFont val="Tahoma"/>
            <family val="2"/>
          </rPr>
          <t>See also:
L'industrie du verre, Fédération des chambres syndicales de l'industrie du verre, 1954, p.96</t>
        </r>
      </text>
    </comment>
    <comment ref="C11" authorId="0" shapeId="0" xr:uid="{0F7B7D4B-6A2C-4B76-82FC-B446EDB91897}">
      <text>
        <r>
          <rPr>
            <sz val="9"/>
            <color indexed="81"/>
            <rFont val="Tahoma"/>
            <family val="2"/>
          </rPr>
          <t>See also:
L'industrie du verre, Fédération des chambres syndicales de l'industrie du verre, 1954, p.96</t>
        </r>
      </text>
    </comment>
    <comment ref="D11" authorId="0" shapeId="0" xr:uid="{3F10401D-0CFB-43A6-81D9-9877CFD8F5F4}">
      <text>
        <r>
          <rPr>
            <sz val="9"/>
            <color indexed="81"/>
            <rFont val="Tahoma"/>
            <family val="2"/>
          </rPr>
          <t>See also:
L'industrie du verre, Fédération des chambres syndicales de l'industrie du verre, 1954, p.96</t>
        </r>
      </text>
    </comment>
    <comment ref="E11" authorId="0" shapeId="0" xr:uid="{79ED667A-C0FC-4507-BE76-88DCA12CDB85}">
      <text>
        <r>
          <rPr>
            <sz val="9"/>
            <color indexed="81"/>
            <rFont val="Tahoma"/>
            <family val="2"/>
          </rPr>
          <t>See also:
L'industrie du verre, Fédération des chambres syndicales de l'industrie du verre, 1954, p.96</t>
        </r>
      </text>
    </comment>
    <comment ref="F11" authorId="0" shapeId="0" xr:uid="{454C283E-80BA-49AE-8E43-3B8086C3B4F4}">
      <text>
        <r>
          <rPr>
            <sz val="9"/>
            <color indexed="81"/>
            <rFont val="Tahoma"/>
            <family val="2"/>
          </rPr>
          <t>See also:
L'industrie du verre, Fédération des chambres syndicales de l'industrie du verre, 1954, p.96</t>
        </r>
      </text>
    </comment>
    <comment ref="G11" authorId="0" shapeId="0" xr:uid="{7208EAF8-5AAB-40EA-8C38-BA7C89626EA4}">
      <text>
        <r>
          <rPr>
            <sz val="9"/>
            <color indexed="81"/>
            <rFont val="Tahoma"/>
            <family val="2"/>
          </rPr>
          <t>See also:
L'industrie du verre, Fédération des chambres syndicales de l'industrie du verre, 1954, p.96</t>
        </r>
      </text>
    </comment>
    <comment ref="H11" authorId="0" shapeId="0" xr:uid="{E3B632C3-719E-4A46-AD7E-82CA020E9560}">
      <text>
        <r>
          <rPr>
            <sz val="9"/>
            <color indexed="81"/>
            <rFont val="Tahoma"/>
            <family val="2"/>
          </rPr>
          <t>See also:
L'industrie du verre, Fédération des chambres syndicales de l'industrie du verre, 1954, p.96</t>
        </r>
      </text>
    </comment>
    <comment ref="I11" authorId="0" shapeId="0" xr:uid="{6ADA0511-3CD0-40CF-B02F-B1B1F4EDD86C}">
      <text>
        <r>
          <rPr>
            <sz val="9"/>
            <color indexed="81"/>
            <rFont val="Tahoma"/>
            <family val="2"/>
          </rPr>
          <t>See also:
L'industrie du verre, Fédération des chambres syndicales de l'industrie du verre, 1954, p.96</t>
        </r>
      </text>
    </comment>
    <comment ref="B14" authorId="0" shapeId="0" xr:uid="{AF7358B9-3F48-4BEA-9DA2-9FEC156B9F2B}">
      <text>
        <r>
          <rPr>
            <sz val="9"/>
            <color indexed="81"/>
            <rFont val="Tahoma"/>
            <family val="2"/>
          </rPr>
          <t>See also:
L'industrie du verre, La documentation française illustrée, 1957, p. 8</t>
        </r>
      </text>
    </comment>
    <comment ref="C14" authorId="0" shapeId="0" xr:uid="{1CE45A16-D8F6-4CC1-A961-52209948C15A}">
      <text>
        <r>
          <rPr>
            <sz val="9"/>
            <color indexed="81"/>
            <rFont val="Tahoma"/>
            <family val="2"/>
          </rPr>
          <t>See also:
L'industrie du verre, La documentation française illustrée, 1957, p. 8</t>
        </r>
      </text>
    </comment>
    <comment ref="D14" authorId="0" shapeId="0" xr:uid="{E758DBC2-76BC-4D5D-B7D5-E898227D615E}">
      <text>
        <r>
          <rPr>
            <sz val="9"/>
            <color indexed="81"/>
            <rFont val="Tahoma"/>
            <family val="2"/>
          </rPr>
          <t>See also:
L'industrie du verre, La documentation française illustrée, 1957, p. 8</t>
        </r>
      </text>
    </comment>
    <comment ref="E14" authorId="0" shapeId="0" xr:uid="{A15DC764-EC47-416F-AC09-14CFE65BD8FF}">
      <text>
        <r>
          <rPr>
            <sz val="9"/>
            <color indexed="81"/>
            <rFont val="Tahoma"/>
            <family val="2"/>
          </rPr>
          <t>See also:
L'industrie du verre, La documentation française illustrée, 1957, p. 8</t>
        </r>
      </text>
    </comment>
    <comment ref="F14" authorId="0" shapeId="0" xr:uid="{CA562BFC-66BB-40D6-ADB7-2B33158FB509}">
      <text>
        <r>
          <rPr>
            <sz val="9"/>
            <color indexed="81"/>
            <rFont val="Tahoma"/>
            <family val="2"/>
          </rPr>
          <t>See also:
L'industrie du verre, La documentation française illustrée, 1957, p. 8</t>
        </r>
      </text>
    </comment>
    <comment ref="G14" authorId="0" shapeId="0" xr:uid="{92E97D45-A8EA-42C8-8442-B979ED751049}">
      <text>
        <r>
          <rPr>
            <sz val="9"/>
            <color indexed="81"/>
            <rFont val="Tahoma"/>
            <family val="2"/>
          </rPr>
          <t>See also:
L'industrie du verre, La documentation française illustrée, 1957, p. 8</t>
        </r>
      </text>
    </comment>
    <comment ref="H14" authorId="0" shapeId="0" xr:uid="{603AFC74-BC84-484E-B04B-1B57FF5EA6EA}">
      <text>
        <r>
          <rPr>
            <sz val="9"/>
            <color indexed="81"/>
            <rFont val="Tahoma"/>
            <family val="2"/>
          </rPr>
          <t>See also:
L'industrie du verre, La documentation française illustrée, 1957, p. 8</t>
        </r>
      </text>
    </comment>
    <comment ref="I14" authorId="0" shapeId="0" xr:uid="{17EBF6C2-507E-490E-AE28-59E4CAA8484E}">
      <text>
        <r>
          <rPr>
            <sz val="9"/>
            <color indexed="81"/>
            <rFont val="Tahoma"/>
            <family val="2"/>
          </rPr>
          <t>See also:
L'industrie du verre, La documentation française illustrée, 1957, p. 8</t>
        </r>
      </text>
    </comment>
    <comment ref="B29" authorId="0" shapeId="0" xr:uid="{98B91A2D-0BDD-44EC-A6E6-4C4B327C2213}">
      <text>
        <r>
          <rPr>
            <sz val="9"/>
            <color indexed="81"/>
            <rFont val="Tahoma"/>
            <family val="2"/>
          </rPr>
          <t>Industries du verre, CNPF and INSEE, 1971, Monographies de l'industrie et du commerce en France, n° 1, p. 19</t>
        </r>
      </text>
    </comment>
    <comment ref="C29" authorId="0" shapeId="0" xr:uid="{834B3E52-E541-46D5-B8FA-E23AA4156482}">
      <text>
        <r>
          <rPr>
            <sz val="9"/>
            <color indexed="81"/>
            <rFont val="Tahoma"/>
            <family val="2"/>
          </rPr>
          <t>Industries du verre, CNPF and INSEE, 1971, Monographies de l'industrie et du commerce en France, n° 1, p. 19</t>
        </r>
      </text>
    </comment>
    <comment ref="D29" authorId="0" shapeId="0" xr:uid="{C92FDEA9-A7F8-4403-A44B-5651601BE79C}">
      <text>
        <r>
          <rPr>
            <sz val="9"/>
            <color indexed="81"/>
            <rFont val="Tahoma"/>
            <family val="2"/>
          </rPr>
          <t>Industries du verre, CNPF and INSEE, 1971, Monographies de l'industrie et du commerce en France, n° 1, p. 19</t>
        </r>
      </text>
    </comment>
    <comment ref="E29" authorId="0" shapeId="0" xr:uid="{93C0BE7F-0F41-4C66-AFC2-DDE8391E814F}">
      <text>
        <r>
          <rPr>
            <sz val="9"/>
            <color indexed="81"/>
            <rFont val="Tahoma"/>
            <family val="2"/>
          </rPr>
          <t>Industries du verre, CNPF and INSEE, 1971, Monographies de l'industrie et du commerce en France, n° 1, p. 19</t>
        </r>
      </text>
    </comment>
    <comment ref="F29" authorId="0" shapeId="0" xr:uid="{4DDC64FA-5D6A-4E40-833C-A07FF1891512}">
      <text>
        <r>
          <rPr>
            <sz val="9"/>
            <color indexed="81"/>
            <rFont val="Tahoma"/>
            <family val="2"/>
          </rPr>
          <t>Industries du verre, CNPF and INSEE, 1971, Monographies de l'industrie et du commerce en France, n° 1, p. 19</t>
        </r>
      </text>
    </comment>
    <comment ref="G29" authorId="0" shapeId="0" xr:uid="{37455E9B-B6D4-4F10-AC9C-57BD6CD215CF}">
      <text>
        <r>
          <rPr>
            <sz val="9"/>
            <color indexed="81"/>
            <rFont val="Tahoma"/>
            <family val="2"/>
          </rPr>
          <t>Industries du verre, CNPF and INSEE, 1971, Monographies de l'industrie et du commerce en France, n° 1, p. 19</t>
        </r>
      </text>
    </comment>
    <comment ref="H29" authorId="0" shapeId="0" xr:uid="{99CDD03D-9B0C-4357-8A8C-DE3D7C0C6550}">
      <text>
        <r>
          <rPr>
            <sz val="9"/>
            <color indexed="81"/>
            <rFont val="Tahoma"/>
            <family val="2"/>
          </rPr>
          <t>Industries du verre, CNPF and INSEE, 1971, Monographies de l'industrie et du commerce en France, n° 1, p. 19</t>
        </r>
      </text>
    </comment>
    <comment ref="I29" authorId="0" shapeId="0" xr:uid="{898BFAC2-CB87-4DF1-B693-2D0ED547B810}">
      <text>
        <r>
          <rPr>
            <sz val="9"/>
            <color indexed="81"/>
            <rFont val="Tahoma"/>
            <family val="2"/>
          </rPr>
          <t>Industries du verre, CNPF and INSEE, 1971, Monographies de l'industrie et du commerce en France, n° 1, p. 19</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A1AC01B9-E5E9-451E-82A4-7D7D5BCFBA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C1" authorId="0" shapeId="0" xr:uid="{118A2916-2339-41D3-9682-8E27569FE57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D1" authorId="0" shapeId="0" xr:uid="{BCF23213-B9F0-46FD-90DA-EB46815718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E1" authorId="0" shapeId="0" xr:uid="{CCF19BD0-E04D-4FF7-8392-899DD094AA1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F1" authorId="0" shapeId="0" xr:uid="{33344EF8-A67C-4B7F-8C8D-0021A27EBE8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G1" authorId="0" shapeId="0" xr:uid="{3A7C1728-F52F-495C-982B-402B367EB4B1}">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H1" authorId="0" shapeId="0" xr:uid="{3B7A5102-3E25-462C-8AF6-B98D79DD84AB}">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I1" authorId="0" shapeId="0" xr:uid="{209AAF53-E68C-4DEC-B4FD-64A16B04713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K1" authorId="0" shapeId="0" xr:uid="{E5C7C8C7-D359-4236-B0CC-0FB01A0C932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501205DF-12BC-4573-AF99-4B55545A561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37270684-01B0-43BB-9455-FB65CF469D0A}">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N1" authorId="0" shapeId="0" xr:uid="{F6AC083B-41AA-4279-BA41-46B09CFD9DAD}">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O1" authorId="0" shapeId="0" xr:uid="{3A74DA71-8347-4F03-91A8-9E5B6B8FFA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F8DE52DD-6CF1-4564-92EB-4BE7C4292ED7}">
      <text>
        <r>
          <rPr>
            <sz val="9"/>
            <color indexed="81"/>
            <rFont val="Tahoma"/>
            <family val="2"/>
          </rPr>
          <t>Average; Calculated according to window glass/plate glass and then float glass ratio.</t>
        </r>
      </text>
    </comment>
    <comment ref="C1" authorId="0" shapeId="0" xr:uid="{19195344-E419-49BE-9381-D067BB38EE84}">
      <text>
        <r>
          <rPr>
            <sz val="9"/>
            <color indexed="81"/>
            <rFont val="Tahoma"/>
            <family val="2"/>
          </rPr>
          <t>Average; Calculated according to window glass/plate glass and then float glass ratio.</t>
        </r>
      </text>
    </comment>
    <comment ref="D1" authorId="0" shapeId="0" xr:uid="{0D310768-3C57-470B-AA8B-8C740AB0208A}">
      <text>
        <r>
          <rPr>
            <sz val="9"/>
            <color indexed="81"/>
            <rFont val="Tahoma"/>
            <family val="2"/>
          </rPr>
          <t>Average; Calculated according to window glass/plate glass and then float glass ratio.</t>
        </r>
      </text>
    </comment>
    <comment ref="E1" authorId="0" shapeId="0" xr:uid="{AD724899-FCAA-4AD3-AA54-1E44E9B194A7}">
      <text>
        <r>
          <rPr>
            <sz val="9"/>
            <color indexed="81"/>
            <rFont val="Tahoma"/>
            <family val="2"/>
          </rPr>
          <t>Average; Calculated according to window glass/plate glass and then float glass ratio.</t>
        </r>
      </text>
    </comment>
    <comment ref="F1" authorId="0" shapeId="0" xr:uid="{2C16E69B-20ED-4FFB-A0B6-F500CEBB172D}">
      <text>
        <r>
          <rPr>
            <sz val="9"/>
            <color indexed="81"/>
            <rFont val="Tahoma"/>
            <family val="2"/>
          </rPr>
          <t>Average; Calculated according to window glass/plate glass and then float glass ratio.</t>
        </r>
      </text>
    </comment>
    <comment ref="G1" authorId="0" shapeId="0" xr:uid="{4A706DC6-1223-4A5C-BA0E-2571A48CFED6}">
      <text>
        <r>
          <rPr>
            <sz val="9"/>
            <color indexed="81"/>
            <rFont val="Tahoma"/>
            <family val="2"/>
          </rPr>
          <t>Average; Calculated according to window glass/plate glass and then float glass ratio.</t>
        </r>
      </text>
    </comment>
    <comment ref="H1" authorId="0" shapeId="0" xr:uid="{93DADE5D-AA39-417C-9A18-6B6A9C828B08}">
      <text>
        <r>
          <rPr>
            <sz val="9"/>
            <color indexed="81"/>
            <rFont val="Tahoma"/>
            <family val="2"/>
          </rPr>
          <t>Average; Calculated according to window glass/plate glass and then float glass ratio.</t>
        </r>
      </text>
    </comment>
    <comment ref="I1" authorId="0" shapeId="0" xr:uid="{E6BB3DCD-52C8-4449-8199-1BA160157BFB}">
      <text>
        <r>
          <rPr>
            <sz val="9"/>
            <color indexed="81"/>
            <rFont val="Tahoma"/>
            <family val="2"/>
          </rPr>
          <t>Average; Calculated according to window glass/plate glass and then float glass ratio.</t>
        </r>
      </text>
    </comment>
    <comment ref="B67" authorId="0" shapeId="0" xr:uid="{10A86F0A-D5F3-4EA6-B90F-05DF04F60817}">
      <text>
        <r>
          <rPr>
            <sz val="9"/>
            <color indexed="81"/>
            <rFont val="Tahoma"/>
            <family val="2"/>
          </rPr>
          <t>Chapter 2.A.3. Glass Production</t>
        </r>
      </text>
    </comment>
    <comment ref="C67" authorId="0" shapeId="0" xr:uid="{DD71F4DE-17E2-478C-8208-33369312B94E}">
      <text>
        <r>
          <rPr>
            <sz val="9"/>
            <color indexed="81"/>
            <rFont val="Tahoma"/>
            <family val="2"/>
          </rPr>
          <t>Life Cycle Assessment of Float Glass, PE International, 2011
https://glassforeurope.com/report-life-cycle-assessment-of-float-glass/
(accessed September 30, 2020)</t>
        </r>
      </text>
    </comment>
    <comment ref="D67" authorId="0" shapeId="0" xr:uid="{06E4386B-4B16-410E-A361-DEA0749F4719}">
      <text>
        <r>
          <rPr>
            <sz val="9"/>
            <color indexed="81"/>
            <rFont val="Tahoma"/>
            <family val="2"/>
          </rPr>
          <t>Life Cycle Assessment of Float Glass, PE International, 2011
https://glassforeurope.com/report-life-cycle-assessment-of-float-glass/
(accessed September 30, 2020)</t>
        </r>
      </text>
    </comment>
    <comment ref="E67" authorId="0" shapeId="0" xr:uid="{F37BC5DD-72B0-4D0E-801B-6F526420C6FD}">
      <text>
        <r>
          <rPr>
            <sz val="9"/>
            <color indexed="81"/>
            <rFont val="Tahoma"/>
            <family val="2"/>
          </rPr>
          <t>Life Cycle Assessment of Float Glass, PE International, 2011
https://glassforeurope.com/report-life-cycle-assessment-of-float-glass/
(accessed September 30, 2020)</t>
        </r>
      </text>
    </comment>
    <comment ref="F67" authorId="0" shapeId="0" xr:uid="{1FF0392B-2552-492B-870E-CF8301A223EA}">
      <text>
        <r>
          <rPr>
            <sz val="9"/>
            <color indexed="81"/>
            <rFont val="Tahoma"/>
            <family val="2"/>
          </rPr>
          <t>Life Cycle Assessment of Float Glass, PE International, 2011
https://glassforeurope.com/report-life-cycle-assessment-of-float-glass/
(accessed September 30, 2020)</t>
        </r>
      </text>
    </comment>
    <comment ref="G67" authorId="0" shapeId="0" xr:uid="{5FBA6AC1-9241-4FC6-BE6A-7084E31C743B}">
      <text>
        <r>
          <rPr>
            <sz val="9"/>
            <color indexed="81"/>
            <rFont val="Tahoma"/>
            <family val="2"/>
          </rPr>
          <t>Life Cycle Assessment of Float Glass, PE International, 2011
https://glassforeurope.com/report-life-cycle-assessment-of-float-glass/
(accessed September 30, 2020)</t>
        </r>
      </text>
    </comment>
    <comment ref="H67" authorId="0" shapeId="0" xr:uid="{03D921C4-9DBF-4C29-B36A-7DEEE354DAB8}">
      <text>
        <r>
          <rPr>
            <sz val="9"/>
            <color indexed="81"/>
            <rFont val="Tahoma"/>
            <family val="2"/>
          </rPr>
          <t>Life Cycle Assessment of Float Glass, PE International, 2011
https://glassforeurope.com/report-life-cycle-assessment-of-float-glass/
(accessed September 30, 2020)</t>
        </r>
      </text>
    </comment>
    <comment ref="I67" authorId="0" shapeId="0" xr:uid="{3E585CC7-0BC8-4E7E-8785-1D19B1B2AB30}">
      <text>
        <r>
          <rPr>
            <sz val="9"/>
            <color indexed="81"/>
            <rFont val="Tahoma"/>
            <family val="2"/>
          </rPr>
          <t>Life Cycle Assessment of Float Glass, PE International, 2011
https://glassforeurope.com/report-life-cycle-assessment-of-float-glass/
(accessed September 30, 2020)</t>
        </r>
      </text>
    </comment>
    <comment ref="B76" authorId="0" shapeId="0" xr:uid="{2FE80A86-55D2-41B6-A8D0-86CD44867CD1}">
      <text>
        <r>
          <rPr>
            <sz val="9"/>
            <color indexed="81"/>
            <rFont val="Tahoma"/>
            <family val="2"/>
          </rPr>
          <t>Chapter 2.A.3. Glass Production</t>
        </r>
      </text>
    </comment>
    <comment ref="C76" authorId="0" shapeId="0" xr:uid="{4299F09E-2A7C-4157-ABAC-038A71912B57}">
      <text>
        <r>
          <rPr>
            <sz val="9"/>
            <color indexed="81"/>
            <rFont val="Tahoma"/>
            <family val="2"/>
          </rPr>
          <t>Life Cycle Assessment of Float Glass, PE International, 2011
https://glassforeurope.com/report-life-cycle-assessment-of-float-glass/
(accessed September 30, 2020)</t>
        </r>
      </text>
    </comment>
    <comment ref="D76" authorId="0" shapeId="0" xr:uid="{D75326C5-BD00-45F3-A524-13978119DB18}">
      <text>
        <r>
          <rPr>
            <sz val="9"/>
            <color indexed="81"/>
            <rFont val="Tahoma"/>
            <family val="2"/>
          </rPr>
          <t>Life Cycle Assessment of Float Glass, PE International, 2011
https://glassforeurope.com/report-life-cycle-assessment-of-float-glass/
(accessed September 30, 2020)</t>
        </r>
      </text>
    </comment>
    <comment ref="E76" authorId="0" shapeId="0" xr:uid="{716F1F57-06FB-41D3-891B-A2DD31AE0FD5}">
      <text>
        <r>
          <rPr>
            <sz val="9"/>
            <color indexed="81"/>
            <rFont val="Tahoma"/>
            <family val="2"/>
          </rPr>
          <t>Life Cycle Assessment of Float Glass, PE International, 2011
https://glassforeurope.com/report-life-cycle-assessment-of-float-glass/
(accessed September 30, 2020)</t>
        </r>
      </text>
    </comment>
    <comment ref="F76" authorId="0" shapeId="0" xr:uid="{EC80822D-4038-4499-81E3-D12F887A02D4}">
      <text>
        <r>
          <rPr>
            <sz val="9"/>
            <color indexed="81"/>
            <rFont val="Tahoma"/>
            <family val="2"/>
          </rPr>
          <t>Life Cycle Assessment of Float Glass, PE International, 2011
https://glassforeurope.com/report-life-cycle-assessment-of-float-glass/
(accessed September 30, 2020)</t>
        </r>
      </text>
    </comment>
    <comment ref="G76" authorId="0" shapeId="0" xr:uid="{2B92EAA1-A2D3-4939-9A0A-349645740DD7}">
      <text>
        <r>
          <rPr>
            <sz val="9"/>
            <color indexed="81"/>
            <rFont val="Tahoma"/>
            <family val="2"/>
          </rPr>
          <t>Life Cycle Assessment of Float Glass, PE International, 2011
https://glassforeurope.com/report-life-cycle-assessment-of-float-glass/
(accessed September 30, 2020)</t>
        </r>
      </text>
    </comment>
    <comment ref="H76" authorId="0" shapeId="0" xr:uid="{A72C9D77-AEEE-43E3-A45C-245D190808F7}">
      <text>
        <r>
          <rPr>
            <sz val="9"/>
            <color indexed="81"/>
            <rFont val="Tahoma"/>
            <family val="2"/>
          </rPr>
          <t>Life Cycle Assessment of Float Glass, PE International, 2011
https://glassforeurope.com/report-life-cycle-assessment-of-float-glass/
(accessed September 30, 2020)</t>
        </r>
      </text>
    </comment>
    <comment ref="I76" authorId="0" shapeId="0" xr:uid="{C02164AA-6351-4766-BED4-BB84920DCE69}">
      <text>
        <r>
          <rPr>
            <sz val="9"/>
            <color indexed="81"/>
            <rFont val="Tahoma"/>
            <family val="2"/>
          </rPr>
          <t>Life Cycle Assessment of Float Glass, PE International, 2011
https://glassforeurope.com/report-life-cycle-assessment-of-float-glass/
(accessed September 30, 2020)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98F24ABD-45AA-4344-823E-A9DE48D8150C}">
      <text>
        <r>
          <rPr>
            <sz val="9"/>
            <color indexed="81"/>
            <rFont val="Tahoma"/>
            <family val="2"/>
          </rPr>
          <t>Average; Calculated according to window glass/plate glass and then float glass ratio.</t>
        </r>
      </text>
    </comment>
    <comment ref="C1" authorId="0" shapeId="0" xr:uid="{65C1D89F-1D22-4C38-9D91-42A3437CB259}">
      <text>
        <r>
          <rPr>
            <sz val="9"/>
            <color indexed="81"/>
            <rFont val="Tahoma"/>
            <family val="2"/>
          </rPr>
          <t>Average; Calculated according to window glass/plate glass and then float glass ratio.</t>
        </r>
      </text>
    </comment>
    <comment ref="D1" authorId="0" shapeId="0" xr:uid="{15952BB2-7EA7-4F92-A0C8-C5FC68C00832}">
      <text>
        <r>
          <rPr>
            <sz val="9"/>
            <color indexed="81"/>
            <rFont val="Tahoma"/>
            <family val="2"/>
          </rPr>
          <t>Average; Calculated according to window glass/plate glass and then float glass ratio.</t>
        </r>
      </text>
    </comment>
    <comment ref="B67" authorId="0" shapeId="0" xr:uid="{EE75B1FD-415B-4638-A5F0-0E49ADB308ED}">
      <text>
        <r>
          <rPr>
            <sz val="9"/>
            <color indexed="81"/>
            <rFont val="Tahoma"/>
            <family val="2"/>
          </rPr>
          <t>Average between:
Ligeron 2011
and
Life Cycle Assessment of Float Glass, PE International, 2011
https://glassforeurope.com/report-life-cycle-assessment-of-float-glass/
(accessed September 30, 2020)</t>
        </r>
      </text>
    </comment>
    <comment ref="C67" authorId="0" shapeId="0" xr:uid="{DB06A4B3-5FF5-42F5-AD88-9A55BF07684A}">
      <text>
        <r>
          <rPr>
            <sz val="9"/>
            <color indexed="81"/>
            <rFont val="Tahoma"/>
            <family val="2"/>
          </rPr>
          <t>Average between:
Ligeron 2011
and
Life Cycle Assessment of Float Glass, PE International, 2011
https://glassforeurope.com/report-life-cycle-assessment-of-float-glass/
(accessed September 30, 2020)</t>
        </r>
      </text>
    </comment>
    <comment ref="D67" authorId="0" shapeId="0" xr:uid="{E2AE733A-3164-40DB-BAA6-464E1B814C4C}">
      <text>
        <r>
          <rPr>
            <sz val="9"/>
            <color indexed="81"/>
            <rFont val="Tahoma"/>
            <family val="2"/>
          </rPr>
          <t>Average between:
Ligeron 2011
and
Life Cycle Assessment of Float Glass, PE International, 2011
https://glassforeurope.com/report-life-cycle-assessment-of-float-glass/
(accessed September 30, 2020)</t>
        </r>
      </text>
    </comment>
    <comment ref="B76" authorId="0" shapeId="0" xr:uid="{3EAEF132-4C31-413C-9468-4289F40B04C3}">
      <text>
        <r>
          <rPr>
            <sz val="9"/>
            <color indexed="81"/>
            <rFont val="Tahoma"/>
            <family val="2"/>
          </rPr>
          <t>Average between:
Ligeron 2011
and
Life Cycle Assessment of Float Glass, PE International, 2011
https://glassforeurope.com/report-life-cycle-assessment-of-float-glass/
(accessed September 30, 2020)</t>
        </r>
      </text>
    </comment>
    <comment ref="C76" authorId="0" shapeId="0" xr:uid="{2AC34046-059A-4CCC-AF95-7FB68A039DE0}">
      <text>
        <r>
          <rPr>
            <sz val="9"/>
            <color indexed="81"/>
            <rFont val="Tahoma"/>
            <family val="2"/>
          </rPr>
          <t>Average between:
Ligeron 2011
and
Life Cycle Assessment of Float Glass, PE International, 2011
https://glassforeurope.com/report-life-cycle-assessment-of-float-glass/
(accessed September 30, 2020)</t>
        </r>
      </text>
    </comment>
    <comment ref="D76" authorId="0" shapeId="0" xr:uid="{EB28F2EA-5977-4F3B-ADB7-A711697F86E8}">
      <text>
        <r>
          <rPr>
            <sz val="9"/>
            <color indexed="81"/>
            <rFont val="Tahoma"/>
            <family val="2"/>
          </rPr>
          <t>Average between:
Ligeron 2011
and
Life Cycle Assessment of Float Glass, PE International, 2011
https://glassforeurope.com/report-life-cycle-assessment-of-float-glass/
(accessed September 30, 2020)</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D870AE3-E1CC-48C1-823C-355DFBA622C2}">
      <text>
        <r>
          <rPr>
            <sz val="9"/>
            <color indexed="81"/>
            <rFont val="Tahoma"/>
            <family val="2"/>
          </rPr>
          <t>Unless otherwise indicated in a note attached to the cell, all data collected in this column comes from:
"Lindustrie verrière française en 2006", Verre, vol.13, no. 6, dec 2007, 66-9</t>
        </r>
      </text>
    </comment>
    <comment ref="B4" authorId="0" shapeId="0" xr:uid="{7D9D5672-B096-4166-8EA4-9C3AE3B4285D}">
      <text>
        <r>
          <rPr>
            <sz val="9"/>
            <color indexed="81"/>
            <rFont val="Tahoma"/>
            <family val="2"/>
          </rPr>
          <t>Boaglio, Evolution des conditions de production dans l'industrie du verre en France de la révolution à nos jours, 1990</t>
        </r>
      </text>
    </comment>
    <comment ref="B7" authorId="0" shapeId="0" xr:uid="{9B4C16F5-0753-4BD5-A3DF-370E9C63F88A}">
      <text>
        <r>
          <rPr>
            <sz val="9"/>
            <color indexed="81"/>
            <rFont val="Tahoma"/>
            <family val="2"/>
          </rPr>
          <t>Boaglio, Evolution des conditions de production dans l'industrie du verre en France de la révolution à nos jours, 1990</t>
        </r>
      </text>
    </comment>
    <comment ref="B67" authorId="0" shapeId="0" xr:uid="{8DD99F21-5EAA-4022-8EEC-91C12B9B7622}">
      <text>
        <r>
          <rPr>
            <sz val="9"/>
            <color indexed="81"/>
            <rFont val="Tahoma"/>
            <family val="2"/>
          </rPr>
          <t>Glass for Europe, 2050, Flat Glass in Climate-Neutral Europe: Triggering a Virtuous Cycle of Decarbonisation, 2020</t>
        </r>
      </text>
    </comment>
    <comment ref="B72" authorId="0" shapeId="0" xr:uid="{EE935729-F826-4A5C-AFC5-44226B3517AE}">
      <text>
        <r>
          <rPr>
            <sz val="9"/>
            <color indexed="81"/>
            <rFont val="Tahoma"/>
            <family val="2"/>
          </rPr>
          <t>Glass for Europe, 2050, Flat Glass in Climate-Neutral Europe: Triggering a Virtuous Cycle of Decarbonisation, 2020</t>
        </r>
      </text>
    </comment>
    <comment ref="B75" authorId="0" shapeId="0" xr:uid="{3BCDCF0E-E4BC-4972-96D9-5FB958DC895E}">
      <text>
        <r>
          <rPr>
            <sz val="9"/>
            <color indexed="81"/>
            <rFont val="Tahoma"/>
            <family val="2"/>
          </rPr>
          <t>Glass for Europe, 2050, Flat Glass in Climate-Neutral Europe: Triggering a Virtuous Cycle of Decarbonisation, 2020</t>
        </r>
      </text>
    </comment>
  </commentList>
</comments>
</file>

<file path=xl/sharedStrings.xml><?xml version="1.0" encoding="utf-8"?>
<sst xmlns="http://schemas.openxmlformats.org/spreadsheetml/2006/main" count="114" uniqueCount="75">
  <si>
    <t>year</t>
  </si>
  <si>
    <t>flat glass, kt</t>
  </si>
  <si>
    <t>IGU, "000 m²</t>
  </si>
  <si>
    <t>plate glass, "000 m²</t>
  </si>
  <si>
    <t>window glass, "000 m²</t>
  </si>
  <si>
    <t>limestone, kg/kg</t>
  </si>
  <si>
    <t>dolomite, kg/kg</t>
  </si>
  <si>
    <t>sand, kg/kg</t>
  </si>
  <si>
    <t>feldspar, kg/kg</t>
  </si>
  <si>
    <t>cast glass, kt</t>
  </si>
  <si>
    <t>window glass, kt</t>
  </si>
  <si>
    <t>CO2 glass ind, kg/t</t>
  </si>
  <si>
    <t>sodium sulfate, kg/kg</t>
  </si>
  <si>
    <t>bldg glass/flat glass, %</t>
  </si>
  <si>
    <t>plate glass (and float glass since 1962), kt</t>
  </si>
  <si>
    <t>internal cullet, kg/kg</t>
  </si>
  <si>
    <t>external cullet, kg/kg</t>
  </si>
  <si>
    <t>sodium carbonate, kg/kg</t>
  </si>
  <si>
    <t>fuel, GJ/t</t>
  </si>
  <si>
    <t>electricity, GJ/t</t>
  </si>
  <si>
    <t>natural gas, GJ/t</t>
  </si>
  <si>
    <t>IGU, kt</t>
  </si>
  <si>
    <t>Population, x1000</t>
  </si>
  <si>
    <t>fuel, kg/kg</t>
  </si>
  <si>
    <t>electricity, kWh/kg</t>
  </si>
  <si>
    <t>plate glass/total glass, %</t>
  </si>
  <si>
    <t>Window glass/total glass, %</t>
  </si>
  <si>
    <t>Cast glass/total glass, %</t>
  </si>
  <si>
    <t>The reference of each entry is indicated in the "note" that is attached to the cell. When no note is given, please refer to the information available at the head of the column</t>
  </si>
  <si>
    <t>Anon., 1957. L’industrie du verre. La documentation française illustrée.</t>
  </si>
  <si>
    <t>Boaglio, M., 1990. Evolution des conditions de production dans l’industrie du verre en France de la révolution à nos jours. Contribution à l’étude des prix sur le long terme. Ph.D. dissertation, Conservatoire National des Arts et Métiers, Paris.</t>
  </si>
  <si>
    <t>CNPF, INSEE, 1971. Industries du verre, Monographies de l’industrie et du commerce en France. A.D.P., Paris. Bibliothèque de l’INSEE Alain Desrosières, Paris, call number 19980.</t>
  </si>
  <si>
    <t>European Environment Agency, Kuenen, J., 2016. Chapter 2.A.3. Glass Production. In: EMEP/EEA Air Pollutant Emission Inventory Guidebook 2016. Publications Office of the European Union, Luxembourg.</t>
  </si>
  <si>
    <t>Fédératon des chambres syndicales de l’industrie du verre, 1954. L’industrie du verre, Les monographies de la production française. Société Nouvelle Mercure, Paris.</t>
  </si>
  <si>
    <t>INSEE, 1981-1988. Production industrielle : industrie du verre. INSEE, Paris. Bibliothèque de l’INSEE Alain Desrosières, Paris, call number P FRA 1362 (9)</t>
  </si>
  <si>
    <t>Institut du verre, 1995-2000. Verre. Institut du verre-Prover, Paris. Bibliothèque nationale de France, Sciences et techniques department, call number 4-JO-52115.</t>
  </si>
  <si>
    <t>SESSI (Service des études et des statistiques industrielles), 1989-2004. Production industrielle : industrie du verre. INSEE, Paris. Bibliothèque nationale de France, Paris, Sciences et techniques department, call number 4-JO-59249.</t>
  </si>
  <si>
    <t xml:space="preserve">Commission of the European Communities, 1984. The glass industry in the European Economic Community. Energy audit No 4. OPOCE, Luxembourg. </t>
  </si>
  <si>
    <t>http://bookshop.europa.eu/uri?target=EUB:NOTICE:CDNA09287:FR:HTML</t>
  </si>
  <si>
    <t xml:space="preserve">Eurostat, n.d. PRODCOM database. </t>
  </si>
  <si>
    <t>https://ec.europa.eu/eurostat/web/prodcom/data/database</t>
  </si>
  <si>
    <t xml:space="preserve">Fédération des industries du verre, 2014. Rapport d’activité 2013. Fédération des chambres syndicales de l’industrie du verre, Paris. </t>
  </si>
  <si>
    <t>http://www.verre-avenir.fr/Espace-Communication/Espace-Presse/Communiques-de-presse</t>
  </si>
  <si>
    <t xml:space="preserve">Glass for Europe, 2020. 2050: Flat Glass in Climate-Neutral Europe. Triggering a Virtuous Cycle of  Decarbonisation. </t>
  </si>
  <si>
    <t>https://glassforeurope.com/2050-flat-glass-in-a-climate-neutral-europe/</t>
  </si>
  <si>
    <t xml:space="preserve">INSEE (Institut national de la statistique et des études économiques), 1953-2007. Annuaire statistique de la France. INSEE; Presses universitaires de France, Paris. Bibliothèque nationale de France, Paris, Collections de l’École nationale des ponts et chaussées, call number 2012-796. </t>
  </si>
  <si>
    <t>http://catalogue.bnf.fr/ark:/12148/cb34349577d</t>
  </si>
  <si>
    <t xml:space="preserve">INSEE, 1980. Les Comptes de l'industrie : la situation de l'industrie française en 1979. INSEE, Paris. Bibliothèque nationale de France, Paris, Les Collections de l'INSEE, call number 2016-242827. </t>
  </si>
  <si>
    <t>http://catalogue.bnf.fr/ark:/12148/cb35674553g</t>
  </si>
  <si>
    <t xml:space="preserve">INSEE, 1981. Les Comptes de l'industrie : la situation de l'industrie française en 1980. INSEE, Paris. Bibliothèque nationale de France, Paris, Les Collections de l'INSEE, call number 2016-244168. </t>
  </si>
  <si>
    <t>http://catalogue.bnf.fr/ark:/12148/cb35674554t</t>
  </si>
  <si>
    <t>Ligeron Sonovision, 2011. Analyse de Cycle de Vie ‘cradle to gate’ d’un verre plat type float (Online EPD). for Glass for Europe.</t>
  </si>
  <si>
    <t>https://glassforeurope.com/report-life-cycle-assessment-of-float-glass/</t>
  </si>
  <si>
    <t xml:space="preserve">PE International, 2011. Life Cycle Assessment of Float Glass. for Glass for Europe. </t>
  </si>
  <si>
    <t xml:space="preserve">Verre Online, 2004. Industrie du verre [WWW Document]. Verre Online. </t>
  </si>
  <si>
    <t>www.verreonline.fr</t>
  </si>
  <si>
    <t>(INSEE, 1953-2007)</t>
  </si>
  <si>
    <t>(Fédération des industries du verre, 2014)</t>
  </si>
  <si>
    <t>(Institut du verre, 1995-2000)</t>
  </si>
  <si>
    <t>(Eurostat, n.d.)</t>
  </si>
  <si>
    <t>(Verre Online, 2004)</t>
  </si>
  <si>
    <t>(INSEE, 1980)</t>
  </si>
  <si>
    <t>(CNPF, INSEE, 1971)</t>
  </si>
  <si>
    <t>(Boaglio, 1990)</t>
  </si>
  <si>
    <t>(INSEE, 1981-1988)</t>
  </si>
  <si>
    <t>(SESSI, 1989-2004)</t>
  </si>
  <si>
    <t>(Commission of the European Communities, 1984)</t>
  </si>
  <si>
    <t>(Fédératon des chambres syndicales de l’industrie du verre, 1954)</t>
  </si>
  <si>
    <t>(Anon., 1957)</t>
  </si>
  <si>
    <t>(European Environment Agency and Kuenen, 2016)</t>
  </si>
  <si>
    <t>(PE International, 2011)</t>
  </si>
  <si>
    <t>(Ligeron Sonovision, 2011)</t>
  </si>
  <si>
    <t>(Glass for Europe, 2020)</t>
  </si>
  <si>
    <t>(INSEE, 1981)</t>
  </si>
  <si>
    <t>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</si>
</sst>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 #,##0_-;_-* &quot;-&quot;??_-;_-@_-"/>
    <numFmt numFmtId="165" formatCode="0.0"/>
    <numFmt numFmtId="166" formatCode="0.000"/>
    <numFmt numFmtId="167" formatCode="_-* #,##0.0_-;\-* #,##0.0_-;_-* &quot;-&quot;??_-;_-@_-"/>
    <numFmt numFmtId="168" formatCode="_-* #,##0.000_-;\-* #,##0.000_-;_-* &quot;-&quot;??_-;_-@_-"/>
    <numFmt numFmtId="169" formatCode="0.0000"/>
  </numFmts>
  <fonts count="12"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sz val="11"/>
      <color theme="5"/>
      <name val="Calibri"/>
      <family val="2"/>
      <scheme val="minor"/>
    </font>
    <font>
      <i/>
      <sz val="9"/>
      <color indexed="81"/>
      <name val="Tahoma"/>
      <family val="2"/>
    </font>
    <font>
      <sz val="11"/>
      <name val="Calibri"/>
      <family val="2"/>
      <scheme val="minor"/>
    </font>
    <font>
      <i/>
      <sz val="11"/>
      <name val="Calibri"/>
      <family val="2"/>
      <scheme val="minor"/>
    </font>
    <font>
      <u/>
      <sz val="11"/>
      <color theme="10"/>
      <name val="Calibri"/>
      <family val="2"/>
      <scheme val="minor"/>
    </font>
    <font>
      <b/>
      <sz val="11"/>
      <color rgb="FFC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0" fillId="0" borderId="0" applyNumberFormat="0" applyFill="0" applyBorder="0" applyAlignment="0" applyProtection="0"/>
  </cellStyleXfs>
  <cellXfs count="80">
    <xf numFmtId="0" fontId="0" fillId="0" borderId="0" xfId="0"/>
    <xf numFmtId="0" fontId="0" fillId="0" borderId="0" xfId="0" applyAlignment="1">
      <alignment horizontal="right"/>
    </xf>
    <xf numFmtId="0" fontId="0" fillId="0" borderId="0" xfId="0" applyAlignment="1">
      <alignment horizontal="center"/>
    </xf>
    <xf numFmtId="0" fontId="3" fillId="0" borderId="0" xfId="0" applyFont="1" applyAlignment="1">
      <alignment horizontal="right"/>
    </xf>
    <xf numFmtId="0" fontId="0" fillId="0" borderId="0" xfId="0" applyBorder="1" applyAlignment="1">
      <alignment horizontal="right" wrapText="1"/>
    </xf>
    <xf numFmtId="0" fontId="3" fillId="0" borderId="2" xfId="0" applyFont="1" applyBorder="1" applyAlignment="1">
      <alignment horizontal="right" wrapText="1"/>
    </xf>
    <xf numFmtId="0" fontId="0" fillId="0" borderId="0" xfId="0" applyBorder="1" applyAlignment="1">
      <alignment horizontal="right"/>
    </xf>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43" fontId="0" fillId="0" borderId="0" xfId="1" applyNumberFormat="1" applyFont="1" applyBorder="1" applyAlignment="1">
      <alignment horizontal="right" wrapText="1"/>
    </xf>
    <xf numFmtId="0" fontId="0" fillId="0" borderId="0" xfId="0" applyBorder="1" applyAlignment="1">
      <alignment horizontal="center"/>
    </xf>
    <xf numFmtId="0" fontId="0" fillId="0" borderId="1" xfId="0" applyBorder="1" applyAlignment="1">
      <alignment horizontal="center"/>
    </xf>
    <xf numFmtId="0" fontId="6" fillId="0" borderId="0" xfId="0" applyFont="1" applyAlignment="1">
      <alignment horizontal="right"/>
    </xf>
    <xf numFmtId="0" fontId="3" fillId="0" borderId="0" xfId="0" applyFont="1" applyBorder="1" applyAlignment="1">
      <alignment horizontal="right"/>
    </xf>
    <xf numFmtId="43" fontId="0" fillId="0" borderId="0" xfId="0" applyNumberFormat="1" applyBorder="1" applyAlignment="1">
      <alignment horizontal="right"/>
    </xf>
    <xf numFmtId="0" fontId="3" fillId="0" borderId="3" xfId="0" applyFont="1" applyBorder="1" applyAlignment="1">
      <alignment horizontal="center"/>
    </xf>
    <xf numFmtId="0" fontId="8" fillId="0" borderId="1" xfId="0" applyFont="1" applyFill="1" applyBorder="1" applyAlignment="1">
      <alignment horizontal="center"/>
    </xf>
    <xf numFmtId="43" fontId="0" fillId="0" borderId="0" xfId="1" applyNumberFormat="1" applyFont="1" applyBorder="1" applyAlignment="1">
      <alignment horizontal="right"/>
    </xf>
    <xf numFmtId="165" fontId="0" fillId="0" borderId="0" xfId="1" applyNumberFormat="1" applyFont="1" applyBorder="1" applyAlignment="1">
      <alignment horizontal="right" wrapText="1"/>
    </xf>
    <xf numFmtId="165" fontId="0" fillId="0" borderId="0" xfId="1" applyNumberFormat="1" applyFont="1" applyBorder="1" applyAlignment="1">
      <alignment horizontal="right"/>
    </xf>
    <xf numFmtId="0" fontId="3" fillId="0" borderId="3" xfId="0" applyFont="1" applyBorder="1" applyAlignment="1">
      <alignment horizontal="center" wrapText="1"/>
    </xf>
    <xf numFmtId="0" fontId="3" fillId="0" borderId="0" xfId="0" applyFont="1" applyBorder="1" applyAlignment="1">
      <alignment horizontal="right" wrapText="1"/>
    </xf>
    <xf numFmtId="0" fontId="9" fillId="0" borderId="2" xfId="0" applyFont="1" applyFill="1" applyBorder="1" applyAlignment="1">
      <alignment horizontal="right" wrapText="1"/>
    </xf>
    <xf numFmtId="2" fontId="8" fillId="0" borderId="0" xfId="0" applyNumberFormat="1" applyFont="1" applyFill="1" applyBorder="1" applyAlignment="1">
      <alignment horizontal="right"/>
    </xf>
    <xf numFmtId="0" fontId="8" fillId="0" borderId="0" xfId="0" applyFont="1" applyFill="1" applyBorder="1" applyAlignment="1">
      <alignment horizontal="right"/>
    </xf>
    <xf numFmtId="43" fontId="8" fillId="0" borderId="0" xfId="0" applyNumberFormat="1" applyFont="1" applyFill="1" applyBorder="1" applyAlignment="1">
      <alignment horizontal="right"/>
    </xf>
    <xf numFmtId="1" fontId="8" fillId="0" borderId="0" xfId="0" applyNumberFormat="1" applyFont="1" applyFill="1" applyBorder="1" applyAlignment="1">
      <alignment horizontal="right"/>
    </xf>
    <xf numFmtId="0" fontId="8" fillId="0" borderId="0" xfId="0" applyFont="1" applyFill="1" applyBorder="1" applyAlignment="1">
      <alignment horizontal="center"/>
    </xf>
    <xf numFmtId="0" fontId="8" fillId="0" borderId="0" xfId="0" applyFont="1" applyFill="1" applyBorder="1" applyAlignment="1">
      <alignment horizontal="right" wrapText="1"/>
    </xf>
    <xf numFmtId="0" fontId="9" fillId="0" borderId="3" xfId="0" applyFont="1" applyFill="1" applyBorder="1" applyAlignment="1">
      <alignment horizontal="center" wrapText="1"/>
    </xf>
    <xf numFmtId="0" fontId="9" fillId="0" borderId="0" xfId="0" applyFont="1" applyFill="1" applyBorder="1" applyAlignment="1">
      <alignment horizontal="right" wrapText="1"/>
    </xf>
    <xf numFmtId="0" fontId="3" fillId="0" borderId="2" xfId="0" quotePrefix="1" applyFont="1" applyBorder="1" applyAlignment="1">
      <alignment horizontal="right" wrapText="1"/>
    </xf>
    <xf numFmtId="0" fontId="3" fillId="0" borderId="0" xfId="0" applyFont="1" applyAlignment="1">
      <alignment horizontal="right" wrapText="1"/>
    </xf>
    <xf numFmtId="164" fontId="3" fillId="0" borderId="2" xfId="1" applyNumberFormat="1" applyFont="1" applyBorder="1" applyAlignment="1">
      <alignment horizontal="right" wrapText="1"/>
    </xf>
    <xf numFmtId="43" fontId="0" fillId="0" borderId="0" xfId="0" applyNumberFormat="1" applyAlignment="1">
      <alignment horizontal="right"/>
    </xf>
    <xf numFmtId="43" fontId="8" fillId="0" borderId="0" xfId="1" applyFont="1" applyFill="1" applyBorder="1" applyAlignment="1">
      <alignment horizontal="right"/>
    </xf>
    <xf numFmtId="164" fontId="0" fillId="0" borderId="0" xfId="1" applyNumberFormat="1" applyFont="1" applyAlignment="1">
      <alignment horizontal="right"/>
    </xf>
    <xf numFmtId="0" fontId="0" fillId="0" borderId="0" xfId="0" applyAlignment="1">
      <alignment vertical="center" wrapText="1"/>
    </xf>
    <xf numFmtId="164" fontId="0" fillId="0" borderId="0" xfId="1" applyNumberFormat="1" applyFont="1" applyAlignment="1">
      <alignment vertical="center" wrapText="1"/>
    </xf>
    <xf numFmtId="168" fontId="8" fillId="0" borderId="0" xfId="0" applyNumberFormat="1" applyFont="1" applyFill="1" applyBorder="1" applyAlignment="1">
      <alignment horizontal="right"/>
    </xf>
    <xf numFmtId="43" fontId="8" fillId="0" borderId="0" xfId="0" applyNumberFormat="1" applyFont="1" applyAlignment="1">
      <alignment horizontal="right"/>
    </xf>
    <xf numFmtId="164" fontId="0" fillId="0" borderId="0" xfId="0" applyNumberFormat="1" applyBorder="1" applyAlignment="1">
      <alignment horizontal="right" wrapText="1"/>
    </xf>
    <xf numFmtId="168" fontId="0" fillId="0" borderId="0" xfId="1" applyNumberFormat="1" applyFont="1" applyBorder="1" applyAlignment="1">
      <alignment horizontal="right" wrapText="1"/>
    </xf>
    <xf numFmtId="2" fontId="0" fillId="0" borderId="0" xfId="0" applyNumberFormat="1" applyAlignment="1">
      <alignment horizontal="right"/>
    </xf>
    <xf numFmtId="166" fontId="0" fillId="0" borderId="0" xfId="0" applyNumberFormat="1" applyAlignment="1">
      <alignment horizontal="right"/>
    </xf>
    <xf numFmtId="0" fontId="3" fillId="2" borderId="2" xfId="0" applyFont="1" applyFill="1" applyBorder="1" applyAlignment="1">
      <alignment horizontal="right" wrapText="1"/>
    </xf>
    <xf numFmtId="166" fontId="0" fillId="2" borderId="0" xfId="0" applyNumberFormat="1" applyFill="1" applyAlignment="1">
      <alignment horizontal="right"/>
    </xf>
    <xf numFmtId="1" fontId="0" fillId="2" borderId="0" xfId="0" applyNumberFormat="1" applyFill="1" applyAlignment="1">
      <alignment horizontal="right"/>
    </xf>
    <xf numFmtId="0" fontId="0" fillId="2" borderId="0" xfId="0" applyFill="1" applyAlignment="1">
      <alignment horizontal="right"/>
    </xf>
    <xf numFmtId="0" fontId="6" fillId="2" borderId="0" xfId="0" applyFont="1" applyFill="1" applyAlignment="1">
      <alignment horizontal="right"/>
    </xf>
    <xf numFmtId="1" fontId="6" fillId="2" borderId="0" xfId="0" applyNumberFormat="1" applyFont="1" applyFill="1" applyAlignment="1">
      <alignment horizontal="right"/>
    </xf>
    <xf numFmtId="0" fontId="9" fillId="2" borderId="2" xfId="0" applyFont="1" applyFill="1" applyBorder="1" applyAlignment="1">
      <alignment horizontal="right" wrapText="1"/>
    </xf>
    <xf numFmtId="166" fontId="8" fillId="2" borderId="0" xfId="0" applyNumberFormat="1" applyFont="1" applyFill="1" applyAlignment="1">
      <alignment horizontal="right"/>
    </xf>
    <xf numFmtId="2" fontId="8" fillId="2" borderId="0" xfId="0" applyNumberFormat="1" applyFont="1" applyFill="1" applyAlignment="1">
      <alignment horizontal="right"/>
    </xf>
    <xf numFmtId="9" fontId="8" fillId="2" borderId="0" xfId="2" applyFont="1" applyFill="1" applyBorder="1" applyAlignment="1">
      <alignment horizontal="right"/>
    </xf>
    <xf numFmtId="1" fontId="8" fillId="2" borderId="0" xfId="0" applyNumberFormat="1" applyFont="1" applyFill="1" applyAlignment="1">
      <alignment horizontal="right"/>
    </xf>
    <xf numFmtId="0" fontId="8" fillId="2" borderId="0" xfId="0" applyFont="1" applyFill="1" applyAlignment="1">
      <alignment horizontal="right"/>
    </xf>
    <xf numFmtId="9" fontId="0" fillId="0" borderId="0" xfId="2" applyFont="1" applyBorder="1" applyAlignment="1">
      <alignment horizontal="right" wrapText="1"/>
    </xf>
    <xf numFmtId="168" fontId="0" fillId="0" borderId="0" xfId="0" applyNumberFormat="1" applyAlignment="1">
      <alignment horizontal="right"/>
    </xf>
    <xf numFmtId="167" fontId="0" fillId="0" borderId="0" xfId="0" applyNumberFormat="1" applyAlignment="1">
      <alignment horizontal="right"/>
    </xf>
    <xf numFmtId="9" fontId="8" fillId="0" borderId="0" xfId="2" applyFont="1" applyFill="1" applyBorder="1" applyAlignment="1">
      <alignment horizontal="right"/>
    </xf>
    <xf numFmtId="169" fontId="8" fillId="0" borderId="0" xfId="0" applyNumberFormat="1" applyFont="1" applyFill="1" applyBorder="1" applyAlignment="1">
      <alignment horizontal="right"/>
    </xf>
    <xf numFmtId="166" fontId="8" fillId="0" borderId="0" xfId="0" applyNumberFormat="1" applyFont="1" applyFill="1" applyBorder="1" applyAlignment="1">
      <alignment horizontal="right"/>
    </xf>
    <xf numFmtId="11" fontId="8" fillId="0" borderId="0" xfId="0" applyNumberFormat="1" applyFont="1" applyFill="1" applyBorder="1" applyAlignment="1">
      <alignment horizontal="right"/>
    </xf>
    <xf numFmtId="0" fontId="8" fillId="0" borderId="0" xfId="0" applyFont="1" applyFill="1" applyBorder="1" applyAlignment="1">
      <alignment horizontal="left"/>
    </xf>
    <xf numFmtId="0" fontId="0" fillId="0" borderId="0" xfId="0" applyAlignment="1">
      <alignment wrapText="1"/>
    </xf>
    <xf numFmtId="0" fontId="0" fillId="0" borderId="0" xfId="0"/>
    <xf numFmtId="0" fontId="3" fillId="0" borderId="2" xfId="0" applyFont="1" applyBorder="1" applyAlignment="1">
      <alignment horizontal="right" wrapText="1"/>
    </xf>
    <xf numFmtId="43" fontId="0" fillId="0" borderId="0" xfId="3" applyNumberFormat="1" applyFont="1" applyBorder="1" applyAlignment="1">
      <alignment horizontal="right" wrapText="1"/>
    </xf>
    <xf numFmtId="0" fontId="9" fillId="0" borderId="2" xfId="0" applyFont="1" applyFill="1" applyBorder="1" applyAlignment="1">
      <alignment horizontal="right" wrapText="1"/>
    </xf>
    <xf numFmtId="0" fontId="8" fillId="0" borderId="0" xfId="0" applyFont="1" applyFill="1" applyBorder="1" applyAlignment="1">
      <alignment horizontal="right"/>
    </xf>
    <xf numFmtId="0" fontId="0" fillId="0" borderId="0" xfId="0" applyAlignment="1">
      <alignment vertical="center" wrapText="1"/>
    </xf>
    <xf numFmtId="0" fontId="0" fillId="2" borderId="0" xfId="0" applyFill="1"/>
    <xf numFmtId="0" fontId="2" fillId="2" borderId="0" xfId="0" applyFont="1" applyFill="1" applyAlignment="1">
      <alignment wrapText="1"/>
    </xf>
    <xf numFmtId="0" fontId="10" fillId="0" borderId="0" xfId="4" applyAlignment="1">
      <alignment vertical="center"/>
    </xf>
    <xf numFmtId="0" fontId="10" fillId="0" borderId="0" xfId="4"/>
    <xf numFmtId="0" fontId="0" fillId="0" borderId="0" xfId="0" applyAlignment="1">
      <alignment vertical="top"/>
    </xf>
    <xf numFmtId="0" fontId="0" fillId="2" borderId="0" xfId="0" applyFill="1" applyAlignment="1">
      <alignment vertical="top"/>
    </xf>
    <xf numFmtId="0" fontId="11" fillId="0" borderId="0" xfId="0" applyFont="1" applyAlignment="1">
      <alignment vertical="top"/>
    </xf>
    <xf numFmtId="2" fontId="8" fillId="0" borderId="0" xfId="0" applyNumberFormat="1" applyFont="1" applyAlignment="1">
      <alignment horizontal="right"/>
    </xf>
  </cellXfs>
  <cellStyles count="5">
    <cellStyle name="Comma" xfId="1" builtinId="3"/>
    <cellStyle name="Comma 2" xfId="3" xr:uid="{CA04568B-0FF1-4ABD-BCC0-CE12AA75C5DF}"/>
    <cellStyle name="Hyperlink" xfId="4"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prod!$F$7:$F$50</c:f>
              <c:numCache>
                <c:formatCode>_-* #,##0_-;\-* #,##0_-;_-* "-"??_-;_-@_-</c:formatCode>
                <c:ptCount val="44"/>
                <c:pt idx="0">
                  <c:v>48.8</c:v>
                </c:pt>
                <c:pt idx="1">
                  <c:v>53.1</c:v>
                </c:pt>
                <c:pt idx="2" formatCode="0.0">
                  <c:v>58.6</c:v>
                </c:pt>
                <c:pt idx="3" formatCode="0.0">
                  <c:v>62.1</c:v>
                </c:pt>
                <c:pt idx="4">
                  <c:v>62.7</c:v>
                </c:pt>
                <c:pt idx="5">
                  <c:v>61.3</c:v>
                </c:pt>
                <c:pt idx="6">
                  <c:v>90.6</c:v>
                </c:pt>
                <c:pt idx="7">
                  <c:v>116.6</c:v>
                </c:pt>
                <c:pt idx="8">
                  <c:v>129.19999999999999</c:v>
                </c:pt>
                <c:pt idx="9">
                  <c:v>182.6</c:v>
                </c:pt>
                <c:pt idx="10">
                  <c:v>175.8</c:v>
                </c:pt>
                <c:pt idx="11">
                  <c:v>166.2</c:v>
                </c:pt>
                <c:pt idx="12">
                  <c:v>212.2</c:v>
                </c:pt>
                <c:pt idx="13">
                  <c:v>229.2</c:v>
                </c:pt>
                <c:pt idx="14">
                  <c:v>227.7</c:v>
                </c:pt>
                <c:pt idx="15">
                  <c:v>241.5</c:v>
                </c:pt>
                <c:pt idx="16">
                  <c:v>253.7</c:v>
                </c:pt>
                <c:pt idx="17">
                  <c:v>219.9</c:v>
                </c:pt>
                <c:pt idx="18">
                  <c:v>244.3</c:v>
                </c:pt>
                <c:pt idx="19">
                  <c:v>278.3</c:v>
                </c:pt>
                <c:pt idx="20">
                  <c:v>219.8</c:v>
                </c:pt>
                <c:pt idx="21">
                  <c:v>207.1</c:v>
                </c:pt>
                <c:pt idx="22">
                  <c:v>254.4</c:v>
                </c:pt>
                <c:pt idx="23">
                  <c:v>347</c:v>
                </c:pt>
                <c:pt idx="24">
                  <c:v>300</c:v>
                </c:pt>
                <c:pt idx="25">
                  <c:v>251.6</c:v>
                </c:pt>
                <c:pt idx="26">
                  <c:v>334.3</c:v>
                </c:pt>
                <c:pt idx="27">
                  <c:v>303.39999999999998</c:v>
                </c:pt>
                <c:pt idx="43">
                  <c:v>800.91</c:v>
                </c:pt>
              </c:numCache>
            </c:numRef>
          </c:yVal>
          <c:smooth val="0"/>
          <c:extLst>
            <c:ext xmlns:c16="http://schemas.microsoft.com/office/drawing/2014/chart" uri="{C3380CC4-5D6E-409C-BE32-E72D297353CC}">
              <c16:uniqueId val="{00000000-D0D3-49DF-A9A1-D6D902B0A001}"/>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prod!$H$7:$H$50</c:f>
              <c:numCache>
                <c:formatCode>_-* #,##0_-;\-* #,##0_-;_-* "-"??_-;_-@_-</c:formatCode>
                <c:ptCount val="44"/>
                <c:pt idx="0">
                  <c:v>77.099999999999994</c:v>
                </c:pt>
                <c:pt idx="1">
                  <c:v>91.5</c:v>
                </c:pt>
                <c:pt idx="2" formatCode="0.0">
                  <c:v>65.2</c:v>
                </c:pt>
                <c:pt idx="3" formatCode="0.0">
                  <c:v>79.2</c:v>
                </c:pt>
                <c:pt idx="4">
                  <c:v>80.3</c:v>
                </c:pt>
                <c:pt idx="5">
                  <c:v>111.3</c:v>
                </c:pt>
                <c:pt idx="6">
                  <c:v>116.4</c:v>
                </c:pt>
                <c:pt idx="7">
                  <c:v>116.4</c:v>
                </c:pt>
                <c:pt idx="8">
                  <c:v>135</c:v>
                </c:pt>
                <c:pt idx="9">
                  <c:v>135.19999999999999</c:v>
                </c:pt>
                <c:pt idx="10">
                  <c:v>150.80000000000001</c:v>
                </c:pt>
                <c:pt idx="11">
                  <c:v>133.9</c:v>
                </c:pt>
                <c:pt idx="12">
                  <c:v>153.69999999999999</c:v>
                </c:pt>
                <c:pt idx="13">
                  <c:v>162.19999999999999</c:v>
                </c:pt>
                <c:pt idx="14">
                  <c:v>189.8</c:v>
                </c:pt>
                <c:pt idx="15">
                  <c:v>204</c:v>
                </c:pt>
                <c:pt idx="16">
                  <c:v>195.4</c:v>
                </c:pt>
                <c:pt idx="17">
                  <c:v>181.6</c:v>
                </c:pt>
                <c:pt idx="18">
                  <c:v>197.8</c:v>
                </c:pt>
                <c:pt idx="19">
                  <c:v>212.8</c:v>
                </c:pt>
                <c:pt idx="20">
                  <c:v>215.5</c:v>
                </c:pt>
                <c:pt idx="21">
                  <c:v>224.1</c:v>
                </c:pt>
                <c:pt idx="22">
                  <c:v>219.6</c:v>
                </c:pt>
                <c:pt idx="23">
                  <c:v>226.8</c:v>
                </c:pt>
                <c:pt idx="24">
                  <c:v>261.2</c:v>
                </c:pt>
                <c:pt idx="25">
                  <c:v>185.7</c:v>
                </c:pt>
                <c:pt idx="26">
                  <c:v>199.3</c:v>
                </c:pt>
                <c:pt idx="27">
                  <c:v>199.1</c:v>
                </c:pt>
                <c:pt idx="43">
                  <c:v>8.09</c:v>
                </c:pt>
              </c:numCache>
            </c:numRef>
          </c:yVal>
          <c:smooth val="0"/>
          <c:extLst>
            <c:ext xmlns:c16="http://schemas.microsoft.com/office/drawing/2014/chart" uri="{C3380CC4-5D6E-409C-BE32-E72D297353CC}">
              <c16:uniqueId val="{00000002-D0D3-49DF-A9A1-D6D902B0A001}"/>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prod!$J$7:$J$50</c:f>
              <c:numCache>
                <c:formatCode>_-* #,##0_-;\-* #,##0_-;_-* "-"??_-;_-@_-</c:formatCode>
                <c:ptCount val="44"/>
                <c:pt idx="0">
                  <c:v>64.5</c:v>
                </c:pt>
                <c:pt idx="1">
                  <c:v>78.099999999999994</c:v>
                </c:pt>
                <c:pt idx="2" formatCode="0.0">
                  <c:v>67.8</c:v>
                </c:pt>
                <c:pt idx="3" formatCode="0.0">
                  <c:v>71.3</c:v>
                </c:pt>
                <c:pt idx="4">
                  <c:v>71.599999999999994</c:v>
                </c:pt>
                <c:pt idx="5">
                  <c:v>88</c:v>
                </c:pt>
                <c:pt idx="6">
                  <c:v>85.9</c:v>
                </c:pt>
                <c:pt idx="7">
                  <c:v>96.6</c:v>
                </c:pt>
                <c:pt idx="8">
                  <c:v>97</c:v>
                </c:pt>
                <c:pt idx="9">
                  <c:v>97.7</c:v>
                </c:pt>
                <c:pt idx="10">
                  <c:v>90</c:v>
                </c:pt>
                <c:pt idx="11">
                  <c:v>102.7</c:v>
                </c:pt>
                <c:pt idx="12">
                  <c:v>108.4</c:v>
                </c:pt>
                <c:pt idx="13">
                  <c:v>99.8</c:v>
                </c:pt>
                <c:pt idx="14">
                  <c:v>125.6</c:v>
                </c:pt>
                <c:pt idx="15">
                  <c:v>118.3</c:v>
                </c:pt>
                <c:pt idx="16">
                  <c:v>126.1</c:v>
                </c:pt>
                <c:pt idx="17">
                  <c:v>121.5</c:v>
                </c:pt>
                <c:pt idx="18">
                  <c:v>105.8</c:v>
                </c:pt>
                <c:pt idx="19">
                  <c:v>95.3</c:v>
                </c:pt>
                <c:pt idx="20">
                  <c:v>101.1</c:v>
                </c:pt>
                <c:pt idx="21">
                  <c:v>104.2</c:v>
                </c:pt>
                <c:pt idx="22">
                  <c:v>95.2</c:v>
                </c:pt>
                <c:pt idx="23">
                  <c:v>98.5</c:v>
                </c:pt>
                <c:pt idx="24">
                  <c:v>93.8</c:v>
                </c:pt>
                <c:pt idx="25">
                  <c:v>73.3</c:v>
                </c:pt>
                <c:pt idx="26">
                  <c:v>88</c:v>
                </c:pt>
                <c:pt idx="27">
                  <c:v>98</c:v>
                </c:pt>
                <c:pt idx="28">
                  <c:v>84.1</c:v>
                </c:pt>
                <c:pt idx="29">
                  <c:v>54.9</c:v>
                </c:pt>
                <c:pt idx="30">
                  <c:v>58.2</c:v>
                </c:pt>
                <c:pt idx="31">
                  <c:v>40.1</c:v>
                </c:pt>
                <c:pt idx="32">
                  <c:v>37.9</c:v>
                </c:pt>
                <c:pt idx="43">
                  <c:v>0</c:v>
                </c:pt>
              </c:numCache>
            </c:numRef>
          </c:yVal>
          <c:smooth val="0"/>
          <c:extLst>
            <c:ext xmlns:c16="http://schemas.microsoft.com/office/drawing/2014/chart" uri="{C3380CC4-5D6E-409C-BE32-E72D297353CC}">
              <c16:uniqueId val="{00000003-D0D3-49DF-A9A1-D6D902B0A001}"/>
            </c:ext>
          </c:extLst>
        </c:ser>
        <c:dLbls>
          <c:showLegendKey val="0"/>
          <c:showVal val="0"/>
          <c:showCatName val="0"/>
          <c:showSerName val="0"/>
          <c:showPercent val="0"/>
          <c:showBubbleSize val="0"/>
        </c:dLbls>
        <c:axId val="19152624"/>
        <c:axId val="19152208"/>
      </c:scatterChart>
      <c:valAx>
        <c:axId val="1915262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208"/>
        <c:crosses val="autoZero"/>
        <c:crossBetween val="midCat"/>
      </c:valAx>
      <c:valAx>
        <c:axId val="19152208"/>
        <c:scaling>
          <c:orientation val="minMax"/>
        </c:scaling>
        <c:delete val="0"/>
        <c:axPos val="l"/>
        <c:numFmt formatCode="_-* #,##0_-;\-* #,##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549087</xdr:colOff>
      <xdr:row>3</xdr:row>
      <xdr:rowOff>104775</xdr:rowOff>
    </xdr:from>
    <xdr:to>
      <xdr:col>25</xdr:col>
      <xdr:colOff>539748</xdr:colOff>
      <xdr:row>15</xdr:row>
      <xdr:rowOff>0</xdr:rowOff>
    </xdr:to>
    <xdr:graphicFrame macro="">
      <xdr:nvGraphicFramePr>
        <xdr:cNvPr id="2" name="Chart 1">
          <a:extLst>
            <a:ext uri="{FF2B5EF4-FFF2-40B4-BE49-F238E27FC236}">
              <a16:creationId xmlns:a16="http://schemas.microsoft.com/office/drawing/2014/main" id="{02F207FB-CC74-49FC-9CCD-21518938A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lassforeurope.com/report-life-cycle-assessment-of-float-glass/" TargetMode="External"/><Relationship Id="rId3" Type="http://schemas.openxmlformats.org/officeDocument/2006/relationships/hyperlink" Target="https://glassforeurope.com/2050-flat-glass-in-a-climate-neutral-europe/" TargetMode="External"/><Relationship Id="rId7" Type="http://schemas.openxmlformats.org/officeDocument/2006/relationships/hyperlink" Target="https://glassforeurope.com/report-life-cycle-assessment-of-float-glass/" TargetMode="External"/><Relationship Id="rId2" Type="http://schemas.openxmlformats.org/officeDocument/2006/relationships/hyperlink" Target="http://www.verre-avenir.fr/Espace-Communication/Espace-Presse/Communiques-de-presse" TargetMode="External"/><Relationship Id="rId1" Type="http://schemas.openxmlformats.org/officeDocument/2006/relationships/hyperlink" Target="https://ec.europa.eu/eurostat/web/prodcom/data/database" TargetMode="External"/><Relationship Id="rId6" Type="http://schemas.openxmlformats.org/officeDocument/2006/relationships/hyperlink" Target="http://catalogue.bnf.fr/ark:/12148/cb35674554t" TargetMode="External"/><Relationship Id="rId11" Type="http://schemas.openxmlformats.org/officeDocument/2006/relationships/printerSettings" Target="../printerSettings/printerSettings1.bin"/><Relationship Id="rId5" Type="http://schemas.openxmlformats.org/officeDocument/2006/relationships/hyperlink" Target="http://catalogue.bnf.fr/ark:/12148/cb35674553g" TargetMode="External"/><Relationship Id="rId10" Type="http://schemas.openxmlformats.org/officeDocument/2006/relationships/hyperlink" Target="http://bookshop.europa.eu/uri?target=EUB:NOTICE:CDNA09287:FR:HTML" TargetMode="External"/><Relationship Id="rId4" Type="http://schemas.openxmlformats.org/officeDocument/2006/relationships/hyperlink" Target="http://catalogue.bnf.fr/ark:/12148/cb34349577d" TargetMode="External"/><Relationship Id="rId9" Type="http://schemas.openxmlformats.org/officeDocument/2006/relationships/hyperlink" Target="http://www.verreonline.fr/"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8D57F-0F45-4FFC-9D40-2D0FFB63D294}">
  <dimension ref="A2:D41"/>
  <sheetViews>
    <sheetView showGridLines="0" workbookViewId="0">
      <selection activeCell="B9" sqref="B9"/>
    </sheetView>
  </sheetViews>
  <sheetFormatPr defaultColWidth="118.7109375" defaultRowHeight="15" x14ac:dyDescent="0.25"/>
  <cols>
    <col min="1" max="1" width="4.28515625" customWidth="1"/>
    <col min="2" max="2" width="60.5703125" style="76" bestFit="1" customWidth="1"/>
    <col min="3" max="3" width="88.5703125" style="65" customWidth="1"/>
    <col min="4" max="4" width="86.140625" bestFit="1" customWidth="1"/>
  </cols>
  <sheetData>
    <row r="2" spans="1:4" x14ac:dyDescent="0.25">
      <c r="B2" s="78" t="s">
        <v>74</v>
      </c>
    </row>
    <row r="3" spans="1:4" ht="30" x14ac:dyDescent="0.25">
      <c r="A3" s="72"/>
      <c r="B3" s="77"/>
      <c r="C3" s="73" t="s">
        <v>28</v>
      </c>
      <c r="D3" s="72"/>
    </row>
    <row r="7" spans="1:4" x14ac:dyDescent="0.25">
      <c r="B7" s="76" t="s">
        <v>68</v>
      </c>
      <c r="C7" s="71" t="s">
        <v>29</v>
      </c>
    </row>
    <row r="8" spans="1:4" s="66" customFormat="1" x14ac:dyDescent="0.25">
      <c r="B8" s="76"/>
      <c r="C8" s="71"/>
    </row>
    <row r="9" spans="1:4" ht="45" x14ac:dyDescent="0.25">
      <c r="B9" s="76" t="s">
        <v>63</v>
      </c>
      <c r="C9" s="71" t="s">
        <v>30</v>
      </c>
    </row>
    <row r="10" spans="1:4" s="66" customFormat="1" x14ac:dyDescent="0.25">
      <c r="B10" s="76"/>
      <c r="C10" s="71"/>
    </row>
    <row r="11" spans="1:4" ht="30" x14ac:dyDescent="0.25">
      <c r="B11" s="76" t="s">
        <v>62</v>
      </c>
      <c r="C11" s="71" t="s">
        <v>31</v>
      </c>
    </row>
    <row r="12" spans="1:4" s="66" customFormat="1" x14ac:dyDescent="0.25">
      <c r="B12" s="76"/>
      <c r="C12" s="71"/>
    </row>
    <row r="13" spans="1:4" ht="30" x14ac:dyDescent="0.25">
      <c r="B13" s="76" t="s">
        <v>66</v>
      </c>
      <c r="C13" s="65" t="s">
        <v>37</v>
      </c>
      <c r="D13" s="75" t="s">
        <v>38</v>
      </c>
    </row>
    <row r="14" spans="1:4" s="66" customFormat="1" x14ac:dyDescent="0.25">
      <c r="B14" s="76"/>
      <c r="C14" s="65"/>
    </row>
    <row r="15" spans="1:4" ht="45" x14ac:dyDescent="0.25">
      <c r="B15" s="76" t="s">
        <v>69</v>
      </c>
      <c r="C15" s="71" t="s">
        <v>32</v>
      </c>
    </row>
    <row r="16" spans="1:4" x14ac:dyDescent="0.25">
      <c r="C16" s="71"/>
    </row>
    <row r="17" spans="2:4" x14ac:dyDescent="0.25">
      <c r="B17" s="76" t="s">
        <v>59</v>
      </c>
      <c r="C17" s="65" t="s">
        <v>39</v>
      </c>
      <c r="D17" s="75" t="s">
        <v>40</v>
      </c>
    </row>
    <row r="18" spans="2:4" x14ac:dyDescent="0.25">
      <c r="C18" s="71"/>
    </row>
    <row r="19" spans="2:4" ht="30" x14ac:dyDescent="0.25">
      <c r="B19" s="76" t="s">
        <v>67</v>
      </c>
      <c r="C19" s="71" t="s">
        <v>33</v>
      </c>
    </row>
    <row r="20" spans="2:4" x14ac:dyDescent="0.25">
      <c r="C20" s="71"/>
    </row>
    <row r="21" spans="2:4" ht="30" x14ac:dyDescent="0.25">
      <c r="B21" s="76" t="s">
        <v>57</v>
      </c>
      <c r="C21" s="65" t="s">
        <v>41</v>
      </c>
      <c r="D21" s="75" t="s">
        <v>42</v>
      </c>
    </row>
    <row r="22" spans="2:4" s="66" customFormat="1" x14ac:dyDescent="0.25">
      <c r="B22" s="76"/>
      <c r="C22" s="65"/>
      <c r="D22" s="75"/>
    </row>
    <row r="23" spans="2:4" ht="30" x14ac:dyDescent="0.25">
      <c r="B23" s="76" t="s">
        <v>72</v>
      </c>
      <c r="C23" s="65" t="s">
        <v>43</v>
      </c>
      <c r="D23" s="74" t="s">
        <v>44</v>
      </c>
    </row>
    <row r="24" spans="2:4" s="66" customFormat="1" x14ac:dyDescent="0.25">
      <c r="B24" s="76"/>
      <c r="C24" s="65"/>
      <c r="D24" s="74"/>
    </row>
    <row r="25" spans="2:4" ht="45" x14ac:dyDescent="0.25">
      <c r="B25" s="76" t="s">
        <v>56</v>
      </c>
      <c r="C25" s="65" t="s">
        <v>45</v>
      </c>
      <c r="D25" s="74" t="s">
        <v>46</v>
      </c>
    </row>
    <row r="26" spans="2:4" s="66" customFormat="1" x14ac:dyDescent="0.25">
      <c r="B26" s="76"/>
      <c r="C26" s="65"/>
      <c r="D26" s="74"/>
    </row>
    <row r="27" spans="2:4" ht="45" x14ac:dyDescent="0.25">
      <c r="B27" s="76" t="s">
        <v>61</v>
      </c>
      <c r="C27" s="65" t="s">
        <v>47</v>
      </c>
      <c r="D27" s="75" t="s">
        <v>48</v>
      </c>
    </row>
    <row r="28" spans="2:4" s="66" customFormat="1" x14ac:dyDescent="0.25">
      <c r="B28" s="76"/>
      <c r="C28" s="65"/>
      <c r="D28" s="75"/>
    </row>
    <row r="29" spans="2:4" ht="45" x14ac:dyDescent="0.25">
      <c r="B29" s="76" t="s">
        <v>73</v>
      </c>
      <c r="C29" s="65" t="s">
        <v>49</v>
      </c>
      <c r="D29" s="75" t="s">
        <v>50</v>
      </c>
    </row>
    <row r="30" spans="2:4" s="66" customFormat="1" x14ac:dyDescent="0.25">
      <c r="B30" s="76"/>
      <c r="C30" s="65"/>
      <c r="D30" s="75"/>
    </row>
    <row r="31" spans="2:4" ht="30" x14ac:dyDescent="0.25">
      <c r="B31" s="76" t="s">
        <v>64</v>
      </c>
      <c r="C31" s="71" t="s">
        <v>34</v>
      </c>
    </row>
    <row r="32" spans="2:4" s="66" customFormat="1" x14ac:dyDescent="0.25">
      <c r="B32" s="76"/>
      <c r="C32" s="71"/>
    </row>
    <row r="33" spans="2:4" ht="30" x14ac:dyDescent="0.25">
      <c r="B33" s="76" t="s">
        <v>58</v>
      </c>
      <c r="C33" s="71" t="s">
        <v>35</v>
      </c>
    </row>
    <row r="34" spans="2:4" s="66" customFormat="1" x14ac:dyDescent="0.25">
      <c r="B34" s="76"/>
      <c r="C34" s="71"/>
    </row>
    <row r="35" spans="2:4" ht="30" x14ac:dyDescent="0.25">
      <c r="B35" s="76" t="s">
        <v>71</v>
      </c>
      <c r="C35" s="65" t="s">
        <v>51</v>
      </c>
      <c r="D35" s="74" t="s">
        <v>52</v>
      </c>
    </row>
    <row r="36" spans="2:4" x14ac:dyDescent="0.25">
      <c r="C36" s="71"/>
    </row>
    <row r="37" spans="2:4" x14ac:dyDescent="0.25">
      <c r="B37" s="76" t="s">
        <v>70</v>
      </c>
      <c r="C37" s="65" t="s">
        <v>53</v>
      </c>
      <c r="D37" s="75" t="s">
        <v>52</v>
      </c>
    </row>
    <row r="38" spans="2:4" s="66" customFormat="1" x14ac:dyDescent="0.25">
      <c r="B38" s="76"/>
      <c r="C38" s="65"/>
      <c r="D38" s="75"/>
    </row>
    <row r="39" spans="2:4" ht="45" x14ac:dyDescent="0.25">
      <c r="B39" s="76" t="s">
        <v>65</v>
      </c>
      <c r="C39" s="71" t="s">
        <v>36</v>
      </c>
    </row>
    <row r="40" spans="2:4" s="66" customFormat="1" x14ac:dyDescent="0.25">
      <c r="B40" s="76"/>
      <c r="C40" s="71"/>
    </row>
    <row r="41" spans="2:4" x14ac:dyDescent="0.25">
      <c r="B41" s="76" t="s">
        <v>60</v>
      </c>
      <c r="C41" s="65" t="s">
        <v>54</v>
      </c>
      <c r="D41" s="75" t="s">
        <v>55</v>
      </c>
    </row>
  </sheetData>
  <hyperlinks>
    <hyperlink ref="D17" r:id="rId1" xr:uid="{8AFB5A1E-4A65-4E17-BC63-AA40BB88DEF1}"/>
    <hyperlink ref="D21" r:id="rId2" xr:uid="{5B146D8D-1110-4A3F-8903-939DEFCC84D0}"/>
    <hyperlink ref="D23" r:id="rId3" xr:uid="{7D9DE34B-3258-45D8-A0C2-5168AC1BF268}"/>
    <hyperlink ref="D25" r:id="rId4" xr:uid="{9E42D6CA-6407-4471-9356-8E52666C77C8}"/>
    <hyperlink ref="D27" r:id="rId5" xr:uid="{0823426B-1810-4F0D-A091-3BBF2EB2491B}"/>
    <hyperlink ref="D29" r:id="rId6" xr:uid="{45E5C5B1-4D6D-4994-BCA6-3332EB5D4737}"/>
    <hyperlink ref="D35" r:id="rId7" xr:uid="{49A06CAD-3A74-49F2-872F-F381C7189FED}"/>
    <hyperlink ref="D37" r:id="rId8" xr:uid="{71EF4F7F-653D-4821-A59E-E866D0C503A3}"/>
    <hyperlink ref="D41" r:id="rId9" display="http://www.verreonline.fr/" xr:uid="{D6BD6815-88F5-4551-83DE-03DBB71B66BD}"/>
    <hyperlink ref="D13" r:id="rId10" xr:uid="{958412F8-BDDA-4523-96C5-EAD7F64408B9}"/>
  </hyperlinks>
  <pageMargins left="0.7" right="0.7" top="0.75" bottom="0.75" header="0.3" footer="0.3"/>
  <pageSetup paperSize="9" orientation="portrait" horizontalDpi="1200" verticalDpi="1200" r:id="rId1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DF96-AA57-46CE-950B-FAE3AC3D5FD3}">
  <dimension ref="A1:BM88"/>
  <sheetViews>
    <sheetView zoomScale="70" zoomScaleNormal="70" workbookViewId="0">
      <pane xSplit="1" ySplit="1" topLeftCell="B29" activePane="bottomRight" state="frozen"/>
      <selection pane="topRight" activeCell="B1" sqref="B1"/>
      <selection pane="bottomLeft" activeCell="A2" sqref="A2"/>
      <selection pane="bottomRight" activeCell="G67" sqref="G67"/>
    </sheetView>
  </sheetViews>
  <sheetFormatPr defaultColWidth="10.7109375" defaultRowHeight="15" x14ac:dyDescent="0.25"/>
  <cols>
    <col min="1" max="1" width="7.42578125" style="2" customWidth="1"/>
    <col min="2" max="2" width="21.28515625" style="6" customWidth="1"/>
    <col min="3" max="16384" width="10.7109375" style="6"/>
  </cols>
  <sheetData>
    <row r="1" spans="1:2" s="3" customFormat="1" x14ac:dyDescent="0.25">
      <c r="A1" s="15" t="s">
        <v>0</v>
      </c>
      <c r="B1" s="5" t="s">
        <v>11</v>
      </c>
    </row>
    <row r="2" spans="1:2" s="1" customFormat="1" x14ac:dyDescent="0.25">
      <c r="A2" s="11">
        <v>1945</v>
      </c>
    </row>
    <row r="3" spans="1:2" s="1" customFormat="1" x14ac:dyDescent="0.25">
      <c r="A3" s="11">
        <v>1946</v>
      </c>
    </row>
    <row r="4" spans="1:2" s="1" customFormat="1" x14ac:dyDescent="0.25">
      <c r="A4" s="11">
        <v>1947</v>
      </c>
      <c r="B4" s="1">
        <v>2100</v>
      </c>
    </row>
    <row r="5" spans="1:2" s="1" customFormat="1" x14ac:dyDescent="0.25">
      <c r="A5" s="11">
        <v>1948</v>
      </c>
    </row>
    <row r="6" spans="1:2" s="1" customFormat="1" x14ac:dyDescent="0.25">
      <c r="A6" s="11">
        <v>1949</v>
      </c>
    </row>
    <row r="7" spans="1:2" s="1" customFormat="1" x14ac:dyDescent="0.25">
      <c r="A7" s="11">
        <v>1950</v>
      </c>
      <c r="B7" s="1">
        <v>2050</v>
      </c>
    </row>
    <row r="8" spans="1:2" s="1" customFormat="1" x14ac:dyDescent="0.25">
      <c r="A8" s="11">
        <v>1951</v>
      </c>
    </row>
    <row r="9" spans="1:2" s="1" customFormat="1" x14ac:dyDescent="0.25">
      <c r="A9" s="11">
        <v>1952</v>
      </c>
    </row>
    <row r="10" spans="1:2" s="1" customFormat="1" x14ac:dyDescent="0.25">
      <c r="A10" s="11">
        <v>1953</v>
      </c>
    </row>
    <row r="11" spans="1:2" s="1" customFormat="1" x14ac:dyDescent="0.25">
      <c r="A11" s="11">
        <v>1954</v>
      </c>
    </row>
    <row r="12" spans="1:2" s="1" customFormat="1" x14ac:dyDescent="0.25">
      <c r="A12" s="11">
        <v>1955</v>
      </c>
    </row>
    <row r="13" spans="1:2" s="1" customFormat="1" x14ac:dyDescent="0.25">
      <c r="A13" s="11">
        <v>1956</v>
      </c>
    </row>
    <row r="14" spans="1:2" s="1" customFormat="1" x14ac:dyDescent="0.25">
      <c r="A14" s="11">
        <v>1957</v>
      </c>
    </row>
    <row r="15" spans="1:2" s="1" customFormat="1" x14ac:dyDescent="0.25">
      <c r="A15" s="11">
        <v>1958</v>
      </c>
    </row>
    <row r="16" spans="1:2" s="1" customFormat="1" x14ac:dyDescent="0.25">
      <c r="A16" s="11">
        <v>1959</v>
      </c>
    </row>
    <row r="17" spans="1:2" s="1" customFormat="1" x14ac:dyDescent="0.25">
      <c r="A17" s="11">
        <v>1960</v>
      </c>
      <c r="B17" s="1">
        <v>1725</v>
      </c>
    </row>
    <row r="18" spans="1:2" s="1" customFormat="1" x14ac:dyDescent="0.25">
      <c r="A18" s="11">
        <v>1961</v>
      </c>
    </row>
    <row r="19" spans="1:2" s="1" customFormat="1" x14ac:dyDescent="0.25">
      <c r="A19" s="11">
        <v>1962</v>
      </c>
    </row>
    <row r="20" spans="1:2" s="1" customFormat="1" x14ac:dyDescent="0.25">
      <c r="A20" s="11">
        <v>1963</v>
      </c>
    </row>
    <row r="21" spans="1:2" s="1" customFormat="1" x14ac:dyDescent="0.25">
      <c r="A21" s="11">
        <v>1964</v>
      </c>
    </row>
    <row r="22" spans="1:2" s="1" customFormat="1" x14ac:dyDescent="0.25">
      <c r="A22" s="11">
        <v>1965</v>
      </c>
      <c r="B22" s="1">
        <v>1525</v>
      </c>
    </row>
    <row r="23" spans="1:2" s="1" customFormat="1" x14ac:dyDescent="0.25">
      <c r="A23" s="11">
        <v>1966</v>
      </c>
    </row>
    <row r="24" spans="1:2" s="1" customFormat="1" x14ac:dyDescent="0.25">
      <c r="A24" s="11">
        <v>1967</v>
      </c>
    </row>
    <row r="25" spans="1:2" s="1" customFormat="1" x14ac:dyDescent="0.25">
      <c r="A25" s="11">
        <v>1968</v>
      </c>
    </row>
    <row r="26" spans="1:2" s="1" customFormat="1" x14ac:dyDescent="0.25">
      <c r="A26" s="11">
        <v>1969</v>
      </c>
    </row>
    <row r="27" spans="1:2" s="1" customFormat="1" x14ac:dyDescent="0.25">
      <c r="A27" s="11">
        <v>1970</v>
      </c>
      <c r="B27" s="1">
        <v>1340</v>
      </c>
    </row>
    <row r="28" spans="1:2" s="1" customFormat="1" x14ac:dyDescent="0.25">
      <c r="A28" s="11">
        <v>1971</v>
      </c>
    </row>
    <row r="29" spans="1:2" s="1" customFormat="1" x14ac:dyDescent="0.25">
      <c r="A29" s="11">
        <v>1972</v>
      </c>
    </row>
    <row r="30" spans="1:2" s="1" customFormat="1" x14ac:dyDescent="0.25">
      <c r="A30" s="11">
        <v>1973</v>
      </c>
    </row>
    <row r="31" spans="1:2" s="1" customFormat="1" x14ac:dyDescent="0.25">
      <c r="A31" s="11">
        <v>1974</v>
      </c>
    </row>
    <row r="32" spans="1:2" s="1" customFormat="1" x14ac:dyDescent="0.25">
      <c r="A32" s="11">
        <v>1975</v>
      </c>
      <c r="B32" s="1">
        <v>1075</v>
      </c>
    </row>
    <row r="33" spans="1:2" s="1" customFormat="1" x14ac:dyDescent="0.25">
      <c r="A33" s="11">
        <v>1976</v>
      </c>
    </row>
    <row r="34" spans="1:2" s="1" customFormat="1" x14ac:dyDescent="0.25">
      <c r="A34" s="11">
        <v>1977</v>
      </c>
    </row>
    <row r="35" spans="1:2" s="1" customFormat="1" x14ac:dyDescent="0.25">
      <c r="A35" s="11">
        <v>1978</v>
      </c>
    </row>
    <row r="36" spans="1:2" s="1" customFormat="1" x14ac:dyDescent="0.25">
      <c r="A36" s="11">
        <v>1979</v>
      </c>
    </row>
    <row r="37" spans="1:2" s="1" customFormat="1" x14ac:dyDescent="0.25">
      <c r="A37" s="11">
        <v>1980</v>
      </c>
      <c r="B37" s="1">
        <v>900</v>
      </c>
    </row>
    <row r="38" spans="1:2" s="1" customFormat="1" x14ac:dyDescent="0.25">
      <c r="A38" s="11">
        <v>1981</v>
      </c>
    </row>
    <row r="39" spans="1:2" s="1" customFormat="1" x14ac:dyDescent="0.25">
      <c r="A39" s="11">
        <v>1982</v>
      </c>
    </row>
    <row r="40" spans="1:2" s="1" customFormat="1" x14ac:dyDescent="0.25">
      <c r="A40" s="11">
        <v>1983</v>
      </c>
    </row>
    <row r="41" spans="1:2" s="1" customFormat="1" x14ac:dyDescent="0.25">
      <c r="A41" s="11">
        <v>1984</v>
      </c>
    </row>
    <row r="42" spans="1:2" s="1" customFormat="1" x14ac:dyDescent="0.25">
      <c r="A42" s="11">
        <v>1985</v>
      </c>
      <c r="B42" s="1">
        <v>800</v>
      </c>
    </row>
    <row r="43" spans="1:2" s="1" customFormat="1" x14ac:dyDescent="0.25">
      <c r="A43" s="11">
        <v>1986</v>
      </c>
    </row>
    <row r="44" spans="1:2" s="1" customFormat="1" x14ac:dyDescent="0.25">
      <c r="A44" s="11">
        <v>1987</v>
      </c>
    </row>
    <row r="45" spans="1:2" s="1" customFormat="1" x14ac:dyDescent="0.25">
      <c r="A45" s="11">
        <v>1988</v>
      </c>
    </row>
    <row r="46" spans="1:2" s="1" customFormat="1" x14ac:dyDescent="0.25">
      <c r="A46" s="11">
        <v>1989</v>
      </c>
    </row>
    <row r="47" spans="1:2" s="1" customFormat="1" x14ac:dyDescent="0.25">
      <c r="A47" s="11">
        <v>1990</v>
      </c>
      <c r="B47" s="1">
        <v>690</v>
      </c>
    </row>
    <row r="48" spans="1:2" s="1" customFormat="1" x14ac:dyDescent="0.25">
      <c r="A48" s="11">
        <v>1991</v>
      </c>
    </row>
    <row r="49" spans="1:2" s="1" customFormat="1" x14ac:dyDescent="0.25">
      <c r="A49" s="11">
        <v>1992</v>
      </c>
    </row>
    <row r="50" spans="1:2" s="1" customFormat="1" x14ac:dyDescent="0.25">
      <c r="A50" s="11">
        <v>1993</v>
      </c>
    </row>
    <row r="51" spans="1:2" s="1" customFormat="1" x14ac:dyDescent="0.25">
      <c r="A51" s="11">
        <v>1994</v>
      </c>
    </row>
    <row r="52" spans="1:2" s="1" customFormat="1" x14ac:dyDescent="0.25">
      <c r="A52" s="11">
        <v>1995</v>
      </c>
      <c r="B52" s="1">
        <v>710</v>
      </c>
    </row>
    <row r="53" spans="1:2" s="1" customFormat="1" x14ac:dyDescent="0.25">
      <c r="A53" s="11">
        <v>1996</v>
      </c>
    </row>
    <row r="54" spans="1:2" s="1" customFormat="1" x14ac:dyDescent="0.25">
      <c r="A54" s="11">
        <v>1997</v>
      </c>
    </row>
    <row r="55" spans="1:2" s="1" customFormat="1" x14ac:dyDescent="0.25">
      <c r="A55" s="11">
        <v>1998</v>
      </c>
    </row>
    <row r="56" spans="1:2" s="1" customFormat="1" x14ac:dyDescent="0.25">
      <c r="A56" s="11">
        <v>1999</v>
      </c>
    </row>
    <row r="57" spans="1:2" s="1" customFormat="1" x14ac:dyDescent="0.25">
      <c r="A57" s="11">
        <v>2000</v>
      </c>
      <c r="B57" s="1">
        <v>610</v>
      </c>
    </row>
    <row r="58" spans="1:2" s="1" customFormat="1" x14ac:dyDescent="0.25">
      <c r="A58" s="11">
        <v>2001</v>
      </c>
    </row>
    <row r="59" spans="1:2" s="1" customFormat="1" x14ac:dyDescent="0.25">
      <c r="A59" s="11">
        <v>2002</v>
      </c>
    </row>
    <row r="60" spans="1:2" s="1" customFormat="1" x14ac:dyDescent="0.25">
      <c r="A60" s="11">
        <v>2003</v>
      </c>
    </row>
    <row r="61" spans="1:2" s="1" customFormat="1" x14ac:dyDescent="0.25">
      <c r="A61" s="11">
        <v>2004</v>
      </c>
    </row>
    <row r="62" spans="1:2" s="1" customFormat="1" x14ac:dyDescent="0.25">
      <c r="A62" s="11">
        <v>2005</v>
      </c>
      <c r="B62" s="1">
        <v>580</v>
      </c>
    </row>
    <row r="63" spans="1:2" s="1" customFormat="1" x14ac:dyDescent="0.25">
      <c r="A63" s="11">
        <v>2006</v>
      </c>
      <c r="B63" s="1">
        <v>550</v>
      </c>
    </row>
    <row r="64" spans="1:2" s="1" customFormat="1" x14ac:dyDescent="0.25">
      <c r="A64" s="11">
        <v>2007</v>
      </c>
    </row>
    <row r="65" spans="1:65" s="1" customFormat="1" x14ac:dyDescent="0.25">
      <c r="A65" s="11">
        <v>2008</v>
      </c>
    </row>
    <row r="66" spans="1:65" s="1" customFormat="1" x14ac:dyDescent="0.25">
      <c r="A66" s="11">
        <v>2009</v>
      </c>
    </row>
    <row r="67" spans="1:65" s="1" customFormat="1" x14ac:dyDescent="0.25">
      <c r="A67" s="11">
        <v>2010</v>
      </c>
      <c r="B67" s="1">
        <v>535</v>
      </c>
    </row>
    <row r="68" spans="1:65" s="1" customFormat="1" x14ac:dyDescent="0.25">
      <c r="A68" s="11">
        <v>2011</v>
      </c>
    </row>
    <row r="69" spans="1:65" s="1" customFormat="1" x14ac:dyDescent="0.25">
      <c r="A69" s="11">
        <v>2012</v>
      </c>
    </row>
    <row r="70" spans="1:65" s="1" customFormat="1" x14ac:dyDescent="0.25">
      <c r="A70" s="11">
        <v>2013</v>
      </c>
    </row>
    <row r="71" spans="1:65" s="1" customFormat="1" x14ac:dyDescent="0.25">
      <c r="A71" s="11">
        <v>2014</v>
      </c>
    </row>
    <row r="72" spans="1:65" s="1" customFormat="1" x14ac:dyDescent="0.25">
      <c r="A72" s="11">
        <v>2015</v>
      </c>
      <c r="B72" s="1">
        <v>513</v>
      </c>
    </row>
    <row r="73" spans="1:65" s="1" customFormat="1" x14ac:dyDescent="0.25">
      <c r="A73" s="11">
        <v>2016</v>
      </c>
    </row>
    <row r="74" spans="1:65" s="1" customFormat="1" x14ac:dyDescent="0.25">
      <c r="A74" s="11">
        <v>2017</v>
      </c>
    </row>
    <row r="75" spans="1:65" s="1" customFormat="1" x14ac:dyDescent="0.25">
      <c r="A75" s="11">
        <v>2018</v>
      </c>
      <c r="B75" s="1">
        <v>510</v>
      </c>
    </row>
    <row r="76" spans="1:65" s="1" customFormat="1" x14ac:dyDescent="0.25">
      <c r="A76" s="11">
        <v>2019</v>
      </c>
    </row>
    <row r="77" spans="1:65" s="1" customFormat="1" x14ac:dyDescent="0.25">
      <c r="A77" s="11">
        <v>2020</v>
      </c>
    </row>
    <row r="78" spans="1:65" s="4" customFormat="1" x14ac:dyDescent="0.25">
      <c r="A78" s="2"/>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row>
    <row r="79" spans="1:65" s="4" customFormat="1" x14ac:dyDescent="0.25">
      <c r="A79" s="2"/>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row>
    <row r="80" spans="1:65" s="4" customFormat="1" x14ac:dyDescent="0.25">
      <c r="A80" s="2"/>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row>
    <row r="87" spans="1:65" s="4" customFormat="1" x14ac:dyDescent="0.25">
      <c r="A87" s="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row>
    <row r="88" spans="1:65" s="4" customFormat="1" x14ac:dyDescent="0.25">
      <c r="A88" s="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B49BA-6D54-42C1-84EE-7F8663080B50}">
  <dimension ref="A1:BP88"/>
  <sheetViews>
    <sheetView zoomScale="55" zoomScaleNormal="55" workbookViewId="0">
      <pane xSplit="1" ySplit="1" topLeftCell="G2" activePane="bottomRight" state="frozen"/>
      <selection pane="topRight" activeCell="B1" sqref="B1"/>
      <selection pane="bottomLeft" activeCell="A2" sqref="A2"/>
      <selection pane="bottomRight" activeCell="H43" sqref="H43"/>
    </sheetView>
  </sheetViews>
  <sheetFormatPr defaultColWidth="10.7109375" defaultRowHeight="15" x14ac:dyDescent="0.25"/>
  <cols>
    <col min="1" max="1" width="12.28515625" style="10" customWidth="1"/>
    <col min="2" max="3" width="26.42578125" style="8" customWidth="1"/>
    <col min="4" max="13" width="26.42578125" style="4" customWidth="1"/>
    <col min="14" max="16384" width="10.7109375" style="6"/>
  </cols>
  <sheetData>
    <row r="1" spans="1:13" s="13" customFormat="1" ht="30" x14ac:dyDescent="0.25">
      <c r="A1" s="15" t="s">
        <v>0</v>
      </c>
      <c r="B1" s="33" t="s">
        <v>1</v>
      </c>
      <c r="C1" s="33" t="s">
        <v>13</v>
      </c>
      <c r="D1" s="5" t="s">
        <v>2</v>
      </c>
      <c r="E1" s="5" t="s">
        <v>21</v>
      </c>
      <c r="F1" s="5" t="s">
        <v>14</v>
      </c>
      <c r="G1" s="5" t="s">
        <v>25</v>
      </c>
      <c r="H1" s="5" t="s">
        <v>10</v>
      </c>
      <c r="I1" s="5" t="s">
        <v>26</v>
      </c>
      <c r="J1" s="67" t="s">
        <v>9</v>
      </c>
      <c r="K1" s="5" t="s">
        <v>27</v>
      </c>
      <c r="L1" s="5" t="s">
        <v>3</v>
      </c>
      <c r="M1" s="5" t="s">
        <v>4</v>
      </c>
    </row>
    <row r="2" spans="1:13" x14ac:dyDescent="0.25">
      <c r="A2" s="11">
        <v>1945</v>
      </c>
      <c r="B2" s="7">
        <v>108.3</v>
      </c>
      <c r="C2" s="9">
        <v>0.9</v>
      </c>
      <c r="D2" s="8"/>
      <c r="E2" s="8"/>
      <c r="F2" s="8"/>
      <c r="G2" s="8"/>
      <c r="H2" s="8"/>
      <c r="I2" s="8"/>
      <c r="J2" s="8"/>
      <c r="K2" s="8"/>
      <c r="L2" s="8"/>
      <c r="M2" s="8">
        <v>13600</v>
      </c>
    </row>
    <row r="3" spans="1:13" x14ac:dyDescent="0.25">
      <c r="A3" s="11">
        <v>1946</v>
      </c>
      <c r="B3" s="7">
        <v>173.8</v>
      </c>
      <c r="D3" s="1">
        <v>0</v>
      </c>
      <c r="E3" s="1">
        <f>D3*2.5*0.009</f>
        <v>0</v>
      </c>
      <c r="F3" s="8"/>
      <c r="G3" s="8"/>
      <c r="H3" s="8"/>
      <c r="I3" s="8"/>
      <c r="J3" s="8"/>
      <c r="K3" s="8"/>
      <c r="L3" s="8">
        <v>1154</v>
      </c>
      <c r="M3" s="8">
        <v>13600</v>
      </c>
    </row>
    <row r="4" spans="1:13" x14ac:dyDescent="0.25">
      <c r="A4" s="11">
        <v>1947</v>
      </c>
      <c r="B4" s="7">
        <v>198.3</v>
      </c>
      <c r="C4" s="7"/>
      <c r="F4" s="6"/>
      <c r="G4" s="6"/>
      <c r="H4" s="8"/>
      <c r="I4" s="8"/>
      <c r="J4" s="8"/>
      <c r="K4" s="8"/>
      <c r="L4" s="6"/>
      <c r="M4" s="8"/>
    </row>
    <row r="5" spans="1:13" x14ac:dyDescent="0.25">
      <c r="A5" s="11">
        <v>1948</v>
      </c>
      <c r="B5" s="7">
        <v>220.2</v>
      </c>
      <c r="C5" s="7"/>
      <c r="D5" s="8"/>
      <c r="E5" s="8"/>
      <c r="F5" s="6"/>
      <c r="G5" s="6"/>
      <c r="H5" s="8"/>
      <c r="I5" s="8"/>
      <c r="J5" s="8"/>
      <c r="K5" s="8"/>
      <c r="L5" s="6"/>
      <c r="M5" s="8"/>
    </row>
    <row r="6" spans="1:13" x14ac:dyDescent="0.25">
      <c r="A6" s="11">
        <v>1949</v>
      </c>
      <c r="B6" s="7">
        <v>191.3</v>
      </c>
      <c r="C6" s="7"/>
      <c r="D6" s="8"/>
      <c r="E6" s="8"/>
      <c r="F6" s="6"/>
      <c r="G6" s="6"/>
      <c r="H6" s="8"/>
      <c r="I6" s="8"/>
      <c r="J6" s="8"/>
      <c r="K6" s="8"/>
      <c r="L6" s="6"/>
      <c r="M6" s="8"/>
    </row>
    <row r="7" spans="1:13" x14ac:dyDescent="0.25">
      <c r="A7" s="11">
        <v>1950</v>
      </c>
      <c r="B7" s="7">
        <v>190.4</v>
      </c>
      <c r="C7" s="7"/>
      <c r="F7" s="8">
        <v>48.8</v>
      </c>
      <c r="G7" s="57">
        <f t="shared" ref="G7:G34" si="0">F7/B7</f>
        <v>0.25630252100840334</v>
      </c>
      <c r="H7" s="8">
        <v>77.099999999999994</v>
      </c>
      <c r="I7" s="57">
        <f t="shared" ref="I7:I34" si="1">H7/B7</f>
        <v>0.40493697478991592</v>
      </c>
      <c r="J7" s="8">
        <v>64.5</v>
      </c>
      <c r="K7" s="57">
        <f t="shared" ref="K7:K39" si="2">J7/B7</f>
        <v>0.33876050420168063</v>
      </c>
      <c r="L7" s="8">
        <v>2117</v>
      </c>
      <c r="M7" s="8">
        <v>13800</v>
      </c>
    </row>
    <row r="8" spans="1:13" x14ac:dyDescent="0.25">
      <c r="A8" s="11">
        <v>1951</v>
      </c>
      <c r="B8" s="7">
        <v>222.7</v>
      </c>
      <c r="C8" s="7"/>
      <c r="D8" s="8"/>
      <c r="E8" s="8"/>
      <c r="F8" s="8">
        <v>53.1</v>
      </c>
      <c r="G8" s="57">
        <f t="shared" si="0"/>
        <v>0.23843735967669513</v>
      </c>
      <c r="H8" s="8">
        <v>91.5</v>
      </c>
      <c r="I8" s="57">
        <f t="shared" si="1"/>
        <v>0.4108666367310283</v>
      </c>
      <c r="J8" s="8">
        <v>78.099999999999994</v>
      </c>
      <c r="K8" s="57">
        <f t="shared" si="2"/>
        <v>0.3506960035922766</v>
      </c>
      <c r="L8" s="7"/>
      <c r="M8" s="8"/>
    </row>
    <row r="9" spans="1:13" x14ac:dyDescent="0.25">
      <c r="A9" s="11">
        <v>1952</v>
      </c>
      <c r="B9" s="7">
        <v>191.6</v>
      </c>
      <c r="C9" s="17">
        <v>0.8</v>
      </c>
      <c r="D9" s="8"/>
      <c r="E9" s="8"/>
      <c r="F9" s="19">
        <v>58.6</v>
      </c>
      <c r="G9" s="57">
        <f t="shared" si="0"/>
        <v>0.30584551148225469</v>
      </c>
      <c r="H9" s="19">
        <v>65.2</v>
      </c>
      <c r="I9" s="57">
        <f t="shared" si="1"/>
        <v>0.34029227557411273</v>
      </c>
      <c r="J9" s="19">
        <v>67.8</v>
      </c>
      <c r="K9" s="57">
        <f t="shared" si="2"/>
        <v>0.35386221294363257</v>
      </c>
      <c r="L9" s="7">
        <v>3408</v>
      </c>
      <c r="M9" s="18"/>
    </row>
    <row r="10" spans="1:13" x14ac:dyDescent="0.25">
      <c r="A10" s="11">
        <v>1953</v>
      </c>
      <c r="B10" s="7">
        <v>212.6</v>
      </c>
      <c r="C10" s="7"/>
      <c r="D10" s="8"/>
      <c r="E10" s="8"/>
      <c r="F10" s="19">
        <v>62.1</v>
      </c>
      <c r="G10" s="57">
        <f t="shared" si="0"/>
        <v>0.29209783631232361</v>
      </c>
      <c r="H10" s="19">
        <v>79.2</v>
      </c>
      <c r="I10" s="57">
        <f t="shared" si="1"/>
        <v>0.37253057384760113</v>
      </c>
      <c r="J10" s="19">
        <v>71.3</v>
      </c>
      <c r="K10" s="57">
        <f t="shared" si="2"/>
        <v>0.33537158984007526</v>
      </c>
      <c r="L10" s="7">
        <f>2800</f>
        <v>2800</v>
      </c>
      <c r="M10" s="18"/>
    </row>
    <row r="11" spans="1:13" x14ac:dyDescent="0.25">
      <c r="A11" s="11">
        <v>1954</v>
      </c>
      <c r="B11" s="7">
        <v>214.6</v>
      </c>
      <c r="C11" s="7"/>
      <c r="D11" s="8"/>
      <c r="E11" s="8"/>
      <c r="F11" s="8">
        <v>62.7</v>
      </c>
      <c r="G11" s="57">
        <f t="shared" si="0"/>
        <v>0.29217148182665426</v>
      </c>
      <c r="H11" s="8">
        <v>80.3</v>
      </c>
      <c r="I11" s="57">
        <f t="shared" si="1"/>
        <v>0.37418452935694313</v>
      </c>
      <c r="J11" s="8">
        <v>71.599999999999994</v>
      </c>
      <c r="K11" s="57">
        <f t="shared" si="2"/>
        <v>0.33364398881640261</v>
      </c>
      <c r="L11" s="8">
        <f>3212.347</f>
        <v>3212.3470000000002</v>
      </c>
      <c r="M11" s="8"/>
    </row>
    <row r="12" spans="1:13" x14ac:dyDescent="0.25">
      <c r="A12" s="11">
        <v>1955</v>
      </c>
      <c r="B12" s="7">
        <v>260.60000000000002</v>
      </c>
      <c r="C12" s="7"/>
      <c r="D12" s="41">
        <f>0.02*D27</f>
        <v>69.5</v>
      </c>
      <c r="E12" s="7">
        <f>D12*2.5*0.009</f>
        <v>1.56375</v>
      </c>
      <c r="F12" s="7">
        <v>61.3</v>
      </c>
      <c r="G12" s="57">
        <f t="shared" si="0"/>
        <v>0.23522640061396774</v>
      </c>
      <c r="H12" s="7">
        <v>111.3</v>
      </c>
      <c r="I12" s="57">
        <f t="shared" si="1"/>
        <v>0.4270913277052954</v>
      </c>
      <c r="J12" s="7">
        <v>88</v>
      </c>
      <c r="K12" s="57">
        <f t="shared" si="2"/>
        <v>0.33768227168073672</v>
      </c>
      <c r="L12" s="7">
        <f>3653.924</f>
        <v>3653.924</v>
      </c>
      <c r="M12" s="8">
        <v>21500</v>
      </c>
    </row>
    <row r="13" spans="1:13" x14ac:dyDescent="0.25">
      <c r="A13" s="11">
        <v>1956</v>
      </c>
      <c r="B13" s="7">
        <v>292.89999999999998</v>
      </c>
      <c r="C13" s="7"/>
      <c r="D13" s="6"/>
      <c r="E13" s="6"/>
      <c r="F13" s="7">
        <v>90.6</v>
      </c>
      <c r="G13" s="57">
        <f t="shared" si="0"/>
        <v>0.30932058723113692</v>
      </c>
      <c r="H13" s="7">
        <v>116.4</v>
      </c>
      <c r="I13" s="57">
        <f t="shared" si="1"/>
        <v>0.39740525776715607</v>
      </c>
      <c r="J13" s="7">
        <v>85.9</v>
      </c>
      <c r="K13" s="57">
        <f t="shared" si="2"/>
        <v>0.29327415500170712</v>
      </c>
      <c r="L13" s="7">
        <v>4324.8860000000004</v>
      </c>
      <c r="M13" s="8"/>
    </row>
    <row r="14" spans="1:13" x14ac:dyDescent="0.25">
      <c r="A14" s="11">
        <v>1957</v>
      </c>
      <c r="B14" s="7">
        <v>329.6</v>
      </c>
      <c r="C14" s="7"/>
      <c r="E14" s="6"/>
      <c r="F14" s="7">
        <v>116.6</v>
      </c>
      <c r="G14" s="57">
        <f t="shared" si="0"/>
        <v>0.35376213592233008</v>
      </c>
      <c r="H14" s="7">
        <v>116.4</v>
      </c>
      <c r="I14" s="57">
        <f t="shared" si="1"/>
        <v>0.35315533980582525</v>
      </c>
      <c r="J14" s="7">
        <v>96.6</v>
      </c>
      <c r="K14" s="57">
        <f t="shared" si="2"/>
        <v>0.29308252427184461</v>
      </c>
      <c r="L14" s="7">
        <v>5107</v>
      </c>
      <c r="M14" s="8"/>
    </row>
    <row r="15" spans="1:13" x14ac:dyDescent="0.25">
      <c r="A15" s="11">
        <v>1958</v>
      </c>
      <c r="B15" s="7">
        <v>361.2</v>
      </c>
      <c r="C15" s="7"/>
      <c r="E15" s="8"/>
      <c r="F15" s="7">
        <v>129.19999999999999</v>
      </c>
      <c r="G15" s="57">
        <f t="shared" si="0"/>
        <v>0.35769656699889257</v>
      </c>
      <c r="H15" s="7">
        <v>135</v>
      </c>
      <c r="I15" s="57">
        <f t="shared" si="1"/>
        <v>0.37375415282392027</v>
      </c>
      <c r="J15" s="7">
        <v>97</v>
      </c>
      <c r="K15" s="57">
        <f t="shared" si="2"/>
        <v>0.26854928017718716</v>
      </c>
      <c r="L15" s="7">
        <v>5816</v>
      </c>
      <c r="M15" s="8"/>
    </row>
    <row r="16" spans="1:13" x14ac:dyDescent="0.25">
      <c r="A16" s="11">
        <v>1959</v>
      </c>
      <c r="B16" s="7">
        <v>415.5</v>
      </c>
      <c r="C16" s="7"/>
      <c r="D16" s="8"/>
      <c r="E16" s="8"/>
      <c r="F16" s="7">
        <v>182.6</v>
      </c>
      <c r="G16" s="57">
        <f t="shared" si="0"/>
        <v>0.43947051744885679</v>
      </c>
      <c r="H16" s="7">
        <v>135.19999999999999</v>
      </c>
      <c r="I16" s="57">
        <f t="shared" si="1"/>
        <v>0.3253910950661853</v>
      </c>
      <c r="J16" s="7">
        <v>97.7</v>
      </c>
      <c r="K16" s="57">
        <f t="shared" si="2"/>
        <v>0.23513838748495788</v>
      </c>
      <c r="L16" s="7">
        <v>6700</v>
      </c>
      <c r="M16" s="8"/>
    </row>
    <row r="17" spans="1:13" x14ac:dyDescent="0.25">
      <c r="A17" s="11">
        <v>1960</v>
      </c>
      <c r="B17" s="7">
        <f>416.6</f>
        <v>416.6</v>
      </c>
      <c r="C17" s="7"/>
      <c r="D17" s="8"/>
      <c r="E17" s="8"/>
      <c r="F17" s="7">
        <v>175.8</v>
      </c>
      <c r="G17" s="57">
        <f t="shared" si="0"/>
        <v>0.42198751800288048</v>
      </c>
      <c r="H17" s="7">
        <v>150.80000000000001</v>
      </c>
      <c r="I17" s="57">
        <f t="shared" si="1"/>
        <v>0.36197791646663469</v>
      </c>
      <c r="J17" s="7">
        <v>90</v>
      </c>
      <c r="K17" s="57">
        <f t="shared" si="2"/>
        <v>0.21603456553048486</v>
      </c>
      <c r="L17" s="8">
        <v>7034</v>
      </c>
      <c r="M17" s="8">
        <v>27800</v>
      </c>
    </row>
    <row r="18" spans="1:13" x14ac:dyDescent="0.25">
      <c r="A18" s="11">
        <v>1961</v>
      </c>
      <c r="B18" s="7">
        <f>166.2+133.9+102.7</f>
        <v>402.8</v>
      </c>
      <c r="C18" s="7"/>
      <c r="D18" s="8"/>
      <c r="E18" s="8"/>
      <c r="F18" s="7">
        <v>166.2</v>
      </c>
      <c r="G18" s="57">
        <f t="shared" si="0"/>
        <v>0.41261171797418067</v>
      </c>
      <c r="H18" s="7">
        <v>133.9</v>
      </c>
      <c r="I18" s="57">
        <f t="shared" si="1"/>
        <v>0.33242303872889772</v>
      </c>
      <c r="J18" s="7">
        <v>102.7</v>
      </c>
      <c r="K18" s="57">
        <f t="shared" si="2"/>
        <v>0.25496524329692155</v>
      </c>
      <c r="L18" s="7">
        <v>7034</v>
      </c>
      <c r="M18" s="8"/>
    </row>
    <row r="19" spans="1:13" x14ac:dyDescent="0.25">
      <c r="A19" s="11">
        <v>1962</v>
      </c>
      <c r="B19" s="7">
        <f>212.2+153.7+108.4</f>
        <v>474.29999999999995</v>
      </c>
      <c r="C19" s="17">
        <v>0.68</v>
      </c>
      <c r="D19" s="8"/>
      <c r="E19" s="8"/>
      <c r="F19" s="7">
        <v>212.2</v>
      </c>
      <c r="G19" s="57">
        <f t="shared" si="0"/>
        <v>0.44739616276618177</v>
      </c>
      <c r="H19" s="7">
        <v>153.69999999999999</v>
      </c>
      <c r="I19" s="57">
        <f t="shared" si="1"/>
        <v>0.32405650432215899</v>
      </c>
      <c r="J19" s="7">
        <v>108.4</v>
      </c>
      <c r="K19" s="57">
        <f t="shared" si="2"/>
        <v>0.22854733291165932</v>
      </c>
      <c r="L19" s="7">
        <v>8500</v>
      </c>
      <c r="M19" s="8"/>
    </row>
    <row r="20" spans="1:13" x14ac:dyDescent="0.25">
      <c r="A20" s="11">
        <v>1963</v>
      </c>
      <c r="B20" s="7">
        <f>229.2+162.2+99.8</f>
        <v>491.2</v>
      </c>
      <c r="C20" s="7"/>
      <c r="D20" s="8"/>
      <c r="E20" s="8"/>
      <c r="F20" s="7">
        <v>229.2</v>
      </c>
      <c r="G20" s="57">
        <f t="shared" si="0"/>
        <v>0.46661237785016285</v>
      </c>
      <c r="H20" s="7">
        <v>162.19999999999999</v>
      </c>
      <c r="I20" s="57">
        <f t="shared" si="1"/>
        <v>0.3302117263843648</v>
      </c>
      <c r="J20" s="7">
        <v>99.8</v>
      </c>
      <c r="K20" s="57">
        <f t="shared" si="2"/>
        <v>0.20317589576547232</v>
      </c>
      <c r="L20" s="7">
        <v>9400</v>
      </c>
      <c r="M20" s="8"/>
    </row>
    <row r="21" spans="1:13" x14ac:dyDescent="0.25">
      <c r="A21" s="11">
        <v>1964</v>
      </c>
      <c r="B21" s="7">
        <f>227.7+189.8+125.6</f>
        <v>543.1</v>
      </c>
      <c r="C21" s="7"/>
      <c r="D21" s="8"/>
      <c r="E21" s="8"/>
      <c r="F21" s="7">
        <v>227.7</v>
      </c>
      <c r="G21" s="57">
        <f t="shared" si="0"/>
        <v>0.41925980482415759</v>
      </c>
      <c r="H21" s="7">
        <v>189.8</v>
      </c>
      <c r="I21" s="57">
        <f t="shared" si="1"/>
        <v>0.34947523476339531</v>
      </c>
      <c r="J21" s="7">
        <v>125.6</v>
      </c>
      <c r="K21" s="57">
        <f t="shared" si="2"/>
        <v>0.23126496041244704</v>
      </c>
      <c r="L21" s="7">
        <v>8900</v>
      </c>
      <c r="M21" s="8"/>
    </row>
    <row r="22" spans="1:13" x14ac:dyDescent="0.25">
      <c r="A22" s="11">
        <v>1965</v>
      </c>
      <c r="B22" s="7">
        <f>241.5+204+118.3</f>
        <v>563.79999999999995</v>
      </c>
      <c r="C22" s="7"/>
      <c r="D22" s="8"/>
      <c r="E22" s="8"/>
      <c r="F22" s="7">
        <v>241.5</v>
      </c>
      <c r="G22" s="57">
        <f t="shared" si="0"/>
        <v>0.42834338417878681</v>
      </c>
      <c r="H22" s="7">
        <v>204</v>
      </c>
      <c r="I22" s="57">
        <f t="shared" si="1"/>
        <v>0.36183043632493794</v>
      </c>
      <c r="J22" s="7">
        <v>118.3</v>
      </c>
      <c r="K22" s="57">
        <f t="shared" si="2"/>
        <v>0.2098261794962753</v>
      </c>
      <c r="L22" s="8">
        <v>9350</v>
      </c>
      <c r="M22" s="8">
        <v>34800</v>
      </c>
    </row>
    <row r="23" spans="1:13" x14ac:dyDescent="0.25">
      <c r="A23" s="11">
        <v>1966</v>
      </c>
      <c r="B23" s="7">
        <f>253.7+195.4+126.1</f>
        <v>575.20000000000005</v>
      </c>
      <c r="C23" s="7"/>
      <c r="D23" s="8"/>
      <c r="E23" s="8"/>
      <c r="F23" s="7">
        <v>253.7</v>
      </c>
      <c r="G23" s="57">
        <f t="shared" si="0"/>
        <v>0.44106397774687062</v>
      </c>
      <c r="H23" s="7">
        <v>195.4</v>
      </c>
      <c r="I23" s="57">
        <f t="shared" si="1"/>
        <v>0.3397079276773296</v>
      </c>
      <c r="J23" s="7">
        <v>126.1</v>
      </c>
      <c r="K23" s="57">
        <f t="shared" si="2"/>
        <v>0.2192280945757997</v>
      </c>
      <c r="L23" s="7">
        <v>11800</v>
      </c>
      <c r="M23" s="8"/>
    </row>
    <row r="24" spans="1:13" x14ac:dyDescent="0.25">
      <c r="A24" s="11">
        <v>1967</v>
      </c>
      <c r="B24" s="7">
        <f>219.9+181.6+121.5</f>
        <v>523</v>
      </c>
      <c r="C24" s="7"/>
      <c r="D24" s="8"/>
      <c r="E24" s="8"/>
      <c r="F24" s="7">
        <v>219.9</v>
      </c>
      <c r="G24" s="57">
        <f t="shared" si="0"/>
        <v>0.42045889101338435</v>
      </c>
      <c r="H24" s="7">
        <v>181.6</v>
      </c>
      <c r="I24" s="57">
        <f t="shared" si="1"/>
        <v>0.34722753346080304</v>
      </c>
      <c r="J24" s="7">
        <v>121.5</v>
      </c>
      <c r="K24" s="57">
        <f t="shared" si="2"/>
        <v>0.23231357552581261</v>
      </c>
      <c r="L24" s="8"/>
      <c r="M24" s="8"/>
    </row>
    <row r="25" spans="1:13" x14ac:dyDescent="0.25">
      <c r="A25" s="11">
        <v>1968</v>
      </c>
      <c r="B25" s="7">
        <f>244.3+197.8+105.8</f>
        <v>547.9</v>
      </c>
      <c r="C25" s="17">
        <v>0.5</v>
      </c>
      <c r="D25" s="8"/>
      <c r="E25" s="8"/>
      <c r="F25" s="7">
        <v>244.3</v>
      </c>
      <c r="G25" s="57">
        <f t="shared" si="0"/>
        <v>0.44588428545354997</v>
      </c>
      <c r="H25" s="7">
        <v>197.8</v>
      </c>
      <c r="I25" s="57">
        <f t="shared" si="1"/>
        <v>0.3610147837196569</v>
      </c>
      <c r="J25" s="7">
        <v>105.8</v>
      </c>
      <c r="K25" s="57">
        <f t="shared" si="2"/>
        <v>0.19310093082679322</v>
      </c>
      <c r="L25" s="8"/>
      <c r="M25" s="8"/>
    </row>
    <row r="26" spans="1:13" x14ac:dyDescent="0.25">
      <c r="A26" s="11">
        <v>1969</v>
      </c>
      <c r="B26" s="7">
        <f>278.3+212.8+95.3</f>
        <v>586.4</v>
      </c>
      <c r="C26" s="7"/>
      <c r="D26" s="8"/>
      <c r="E26" s="8"/>
      <c r="F26" s="7">
        <v>278.3</v>
      </c>
      <c r="G26" s="57">
        <f t="shared" si="0"/>
        <v>0.47459072305593453</v>
      </c>
      <c r="H26" s="7">
        <v>212.8</v>
      </c>
      <c r="I26" s="57">
        <f t="shared" si="1"/>
        <v>0.36289222373806279</v>
      </c>
      <c r="J26" s="7">
        <v>95.3</v>
      </c>
      <c r="K26" s="57">
        <f t="shared" si="2"/>
        <v>0.16251705320600274</v>
      </c>
      <c r="L26" s="8"/>
      <c r="M26" s="8"/>
    </row>
    <row r="27" spans="1:13" x14ac:dyDescent="0.25">
      <c r="A27" s="11">
        <v>1970</v>
      </c>
      <c r="B27" s="7">
        <f>219.8+215.5+101.1</f>
        <v>536.4</v>
      </c>
      <c r="C27" s="7"/>
      <c r="D27" s="8">
        <v>3475</v>
      </c>
      <c r="E27" s="7">
        <f>D27*2.5*0.009</f>
        <v>78.1875</v>
      </c>
      <c r="F27" s="7">
        <v>219.8</v>
      </c>
      <c r="G27" s="57">
        <f t="shared" si="0"/>
        <v>0.40976882923191654</v>
      </c>
      <c r="H27" s="7">
        <v>215.5</v>
      </c>
      <c r="I27" s="57">
        <f t="shared" si="1"/>
        <v>0.40175242356450414</v>
      </c>
      <c r="J27" s="7">
        <v>101.1</v>
      </c>
      <c r="K27" s="57">
        <f t="shared" si="2"/>
        <v>0.18847874720357941</v>
      </c>
      <c r="L27" s="8">
        <v>14654</v>
      </c>
      <c r="M27" s="8">
        <v>40200</v>
      </c>
    </row>
    <row r="28" spans="1:13" x14ac:dyDescent="0.25">
      <c r="A28" s="11">
        <v>1971</v>
      </c>
      <c r="B28" s="7">
        <f>207.1+224.1+104.2</f>
        <v>535.4</v>
      </c>
      <c r="C28" s="7"/>
      <c r="D28" s="8">
        <v>3405</v>
      </c>
      <c r="E28" s="7">
        <f t="shared" ref="E28:E35" si="3">D28*2.5*0.009</f>
        <v>76.612499999999997</v>
      </c>
      <c r="F28" s="7">
        <v>207.1</v>
      </c>
      <c r="G28" s="57">
        <f t="shared" si="0"/>
        <v>0.38681359731042214</v>
      </c>
      <c r="H28" s="7">
        <v>224.1</v>
      </c>
      <c r="I28" s="57">
        <f t="shared" si="1"/>
        <v>0.41856555846096377</v>
      </c>
      <c r="J28" s="7">
        <v>104.2</v>
      </c>
      <c r="K28" s="57">
        <f t="shared" si="2"/>
        <v>0.19462084422861414</v>
      </c>
      <c r="L28" s="8"/>
      <c r="M28" s="8"/>
    </row>
    <row r="29" spans="1:13" x14ac:dyDescent="0.25">
      <c r="A29" s="11">
        <v>1972</v>
      </c>
      <c r="B29" s="7">
        <f>254.4+219.6+95.2</f>
        <v>569.20000000000005</v>
      </c>
      <c r="D29" s="8">
        <v>3440</v>
      </c>
      <c r="E29" s="7">
        <f t="shared" si="3"/>
        <v>77.399999999999991</v>
      </c>
      <c r="F29" s="7">
        <v>254.4</v>
      </c>
      <c r="G29" s="57">
        <f t="shared" si="0"/>
        <v>0.4469430780042164</v>
      </c>
      <c r="H29" s="7">
        <v>219.6</v>
      </c>
      <c r="I29" s="57">
        <f t="shared" si="1"/>
        <v>0.38580463808854526</v>
      </c>
      <c r="J29" s="7">
        <v>95.2</v>
      </c>
      <c r="K29" s="57">
        <f t="shared" si="2"/>
        <v>0.16725228390723823</v>
      </c>
      <c r="L29" s="8"/>
      <c r="M29" s="8"/>
    </row>
    <row r="30" spans="1:13" x14ac:dyDescent="0.25">
      <c r="A30" s="11">
        <v>1973</v>
      </c>
      <c r="B30" s="7">
        <f>347+226.8+98.5</f>
        <v>672.3</v>
      </c>
      <c r="C30" s="7"/>
      <c r="D30" s="8">
        <v>3580</v>
      </c>
      <c r="E30" s="7">
        <f t="shared" si="3"/>
        <v>80.55</v>
      </c>
      <c r="F30" s="7">
        <v>347</v>
      </c>
      <c r="G30" s="57">
        <f t="shared" si="0"/>
        <v>0.51613862858842785</v>
      </c>
      <c r="H30" s="7">
        <v>226.8</v>
      </c>
      <c r="I30" s="57">
        <f t="shared" si="1"/>
        <v>0.33734939759036148</v>
      </c>
      <c r="J30" s="7">
        <v>98.5</v>
      </c>
      <c r="K30" s="57">
        <f t="shared" si="2"/>
        <v>0.14651197382121078</v>
      </c>
      <c r="L30" s="8"/>
      <c r="M30" s="8"/>
    </row>
    <row r="31" spans="1:13" x14ac:dyDescent="0.25">
      <c r="A31" s="11">
        <v>1974</v>
      </c>
      <c r="B31" s="7">
        <f>300+261.2+93.8</f>
        <v>655</v>
      </c>
      <c r="C31" s="7"/>
      <c r="D31" s="8">
        <v>3900</v>
      </c>
      <c r="E31" s="7">
        <f t="shared" si="3"/>
        <v>87.75</v>
      </c>
      <c r="F31" s="7">
        <v>300</v>
      </c>
      <c r="G31" s="57">
        <f t="shared" si="0"/>
        <v>0.4580152671755725</v>
      </c>
      <c r="H31" s="7">
        <v>261.2</v>
      </c>
      <c r="I31" s="57">
        <f t="shared" si="1"/>
        <v>0.39877862595419844</v>
      </c>
      <c r="J31" s="7">
        <v>93.8</v>
      </c>
      <c r="K31" s="57">
        <f t="shared" si="2"/>
        <v>0.143206106870229</v>
      </c>
      <c r="L31" s="8"/>
      <c r="M31" s="8"/>
    </row>
    <row r="32" spans="1:13" x14ac:dyDescent="0.25">
      <c r="A32" s="11">
        <v>1975</v>
      </c>
      <c r="B32" s="7">
        <f>251.6+185.7+73.3</f>
        <v>510.59999999999997</v>
      </c>
      <c r="C32" s="7"/>
      <c r="D32" s="8">
        <v>4165</v>
      </c>
      <c r="E32" s="7">
        <f t="shared" si="3"/>
        <v>93.712499999999991</v>
      </c>
      <c r="F32" s="7">
        <v>251.6</v>
      </c>
      <c r="G32" s="57">
        <f t="shared" si="0"/>
        <v>0.49275362318840582</v>
      </c>
      <c r="H32" s="7">
        <v>185.7</v>
      </c>
      <c r="I32" s="57">
        <f t="shared" si="1"/>
        <v>0.36368977673325498</v>
      </c>
      <c r="J32" s="7">
        <v>73.3</v>
      </c>
      <c r="K32" s="57">
        <f t="shared" si="2"/>
        <v>0.1435566000783392</v>
      </c>
      <c r="L32" s="8">
        <v>16773</v>
      </c>
      <c r="M32" s="8">
        <v>34100</v>
      </c>
    </row>
    <row r="33" spans="1:13" x14ac:dyDescent="0.25">
      <c r="A33" s="11">
        <v>1976</v>
      </c>
      <c r="B33" s="7">
        <f>334.3+199.3+88</f>
        <v>621.6</v>
      </c>
      <c r="C33" s="7"/>
      <c r="D33" s="8">
        <v>4505</v>
      </c>
      <c r="E33" s="7">
        <f t="shared" si="3"/>
        <v>101.3625</v>
      </c>
      <c r="F33" s="7">
        <v>334.3</v>
      </c>
      <c r="G33" s="57">
        <f t="shared" si="0"/>
        <v>0.53780566280566278</v>
      </c>
      <c r="H33" s="7">
        <v>199.3</v>
      </c>
      <c r="I33" s="57">
        <f t="shared" si="1"/>
        <v>0.32062419562419564</v>
      </c>
      <c r="J33" s="7">
        <v>88</v>
      </c>
      <c r="K33" s="57">
        <f t="shared" si="2"/>
        <v>0.14157014157014156</v>
      </c>
      <c r="L33" s="8"/>
      <c r="M33" s="8"/>
    </row>
    <row r="34" spans="1:13" x14ac:dyDescent="0.25">
      <c r="A34" s="11">
        <v>1977</v>
      </c>
      <c r="B34" s="7">
        <f>303.4+199.1+98</f>
        <v>600.5</v>
      </c>
      <c r="D34" s="8">
        <v>4807</v>
      </c>
      <c r="E34" s="7">
        <f t="shared" si="3"/>
        <v>108.1575</v>
      </c>
      <c r="F34" s="7">
        <v>303.39999999999998</v>
      </c>
      <c r="G34" s="57">
        <f t="shared" si="0"/>
        <v>0.50524562864279765</v>
      </c>
      <c r="H34" s="7">
        <v>199.1</v>
      </c>
      <c r="I34" s="57">
        <f t="shared" si="1"/>
        <v>0.3315570358034971</v>
      </c>
      <c r="J34" s="7">
        <v>98</v>
      </c>
      <c r="K34" s="57">
        <f t="shared" si="2"/>
        <v>0.16319733555370525</v>
      </c>
      <c r="L34" s="8">
        <v>20228</v>
      </c>
      <c r="M34" s="8">
        <v>34100</v>
      </c>
    </row>
    <row r="35" spans="1:13" x14ac:dyDescent="0.25">
      <c r="A35" s="11">
        <v>1978</v>
      </c>
      <c r="B35" s="7">
        <f>448.5+84.1</f>
        <v>532.6</v>
      </c>
      <c r="C35" s="7"/>
      <c r="D35" s="8">
        <v>4830</v>
      </c>
      <c r="E35" s="7">
        <f t="shared" si="3"/>
        <v>108.675</v>
      </c>
      <c r="F35" s="57"/>
      <c r="G35" s="57"/>
      <c r="J35" s="7">
        <v>84.1</v>
      </c>
      <c r="K35" s="57">
        <f t="shared" si="2"/>
        <v>0.15790461885092</v>
      </c>
      <c r="L35" s="8"/>
      <c r="M35" s="8"/>
    </row>
    <row r="36" spans="1:13" x14ac:dyDescent="0.25">
      <c r="A36" s="11">
        <v>1979</v>
      </c>
      <c r="B36" s="7">
        <f>620.5+54.9</f>
        <v>675.4</v>
      </c>
      <c r="C36" s="7"/>
      <c r="D36" s="8"/>
      <c r="E36" s="8"/>
      <c r="F36" s="57"/>
      <c r="G36" s="57"/>
      <c r="H36" s="8"/>
      <c r="I36" s="8"/>
      <c r="J36" s="7">
        <v>54.9</v>
      </c>
      <c r="K36" s="57">
        <f t="shared" si="2"/>
        <v>8.1285164347053601E-2</v>
      </c>
      <c r="L36" s="8"/>
      <c r="M36" s="8"/>
    </row>
    <row r="37" spans="1:13" x14ac:dyDescent="0.25">
      <c r="A37" s="11">
        <v>1980</v>
      </c>
      <c r="B37" s="7">
        <v>752</v>
      </c>
      <c r="C37" s="17">
        <v>0.5</v>
      </c>
      <c r="D37" s="8"/>
      <c r="E37" s="8"/>
      <c r="F37" s="57"/>
      <c r="G37" s="57"/>
      <c r="H37" s="8"/>
      <c r="I37" s="8"/>
      <c r="J37" s="7">
        <v>58.2</v>
      </c>
      <c r="K37" s="57">
        <f t="shared" si="2"/>
        <v>7.7393617021276603E-2</v>
      </c>
      <c r="L37" s="8"/>
      <c r="M37" s="8"/>
    </row>
    <row r="38" spans="1:13" x14ac:dyDescent="0.25">
      <c r="A38" s="11">
        <v>1981</v>
      </c>
      <c r="B38" s="7">
        <v>713</v>
      </c>
      <c r="C38" s="7"/>
      <c r="D38" s="8"/>
      <c r="E38" s="8"/>
      <c r="F38" s="57"/>
      <c r="G38" s="57"/>
      <c r="H38" s="8"/>
      <c r="I38" s="8"/>
      <c r="J38" s="7">
        <v>40.1</v>
      </c>
      <c r="K38" s="57">
        <f t="shared" si="2"/>
        <v>5.6241234221598879E-2</v>
      </c>
      <c r="L38" s="8"/>
      <c r="M38" s="8"/>
    </row>
    <row r="39" spans="1:13" x14ac:dyDescent="0.25">
      <c r="A39" s="11">
        <v>1982</v>
      </c>
      <c r="B39" s="7">
        <v>755</v>
      </c>
      <c r="C39" s="7"/>
      <c r="D39" s="7">
        <v>4184</v>
      </c>
      <c r="E39" s="7">
        <f t="shared" ref="E39:E76" si="4">D39*2.5*0.009</f>
        <v>94.139999999999986</v>
      </c>
      <c r="F39" s="57"/>
      <c r="G39" s="57"/>
      <c r="H39" s="8"/>
      <c r="I39" s="8"/>
      <c r="J39" s="7">
        <v>37.9</v>
      </c>
      <c r="K39" s="57">
        <f t="shared" si="2"/>
        <v>5.0198675496688737E-2</v>
      </c>
      <c r="L39" s="8"/>
      <c r="M39" s="8"/>
    </row>
    <row r="40" spans="1:13" x14ac:dyDescent="0.25">
      <c r="A40" s="11">
        <v>1983</v>
      </c>
      <c r="B40" s="7">
        <v>789</v>
      </c>
      <c r="C40" s="7"/>
      <c r="D40" s="7">
        <v>4850</v>
      </c>
      <c r="E40" s="7">
        <f t="shared" si="4"/>
        <v>109.12499999999999</v>
      </c>
      <c r="F40" s="8"/>
      <c r="G40" s="8"/>
      <c r="H40" s="8"/>
      <c r="I40" s="8"/>
      <c r="J40" s="8"/>
      <c r="K40" s="8"/>
      <c r="L40" s="8"/>
      <c r="M40" s="8"/>
    </row>
    <row r="41" spans="1:13" x14ac:dyDescent="0.25">
      <c r="A41" s="11">
        <v>1984</v>
      </c>
      <c r="B41" s="7">
        <v>771</v>
      </c>
      <c r="C41" s="7"/>
      <c r="D41" s="7">
        <v>4429</v>
      </c>
      <c r="E41" s="7">
        <f t="shared" si="4"/>
        <v>99.652499999999989</v>
      </c>
      <c r="F41" s="8"/>
      <c r="G41" s="8"/>
      <c r="H41" s="8"/>
      <c r="I41" s="8"/>
      <c r="J41" s="8"/>
      <c r="K41" s="8"/>
      <c r="L41" s="8"/>
      <c r="M41" s="8"/>
    </row>
    <row r="42" spans="1:13" x14ac:dyDescent="0.25">
      <c r="A42" s="11">
        <v>1985</v>
      </c>
      <c r="B42" s="7">
        <v>725</v>
      </c>
      <c r="C42" s="7"/>
      <c r="D42" s="7">
        <v>4314</v>
      </c>
      <c r="E42" s="7">
        <f t="shared" si="4"/>
        <v>97.064999999999998</v>
      </c>
      <c r="F42" s="8"/>
      <c r="G42" s="8"/>
      <c r="H42" s="8"/>
      <c r="I42" s="8"/>
      <c r="J42" s="8"/>
      <c r="K42" s="8"/>
      <c r="L42" s="8"/>
      <c r="M42" s="8"/>
    </row>
    <row r="43" spans="1:13" x14ac:dyDescent="0.25">
      <c r="A43" s="11">
        <v>1986</v>
      </c>
      <c r="B43" s="7">
        <v>685</v>
      </c>
      <c r="C43" s="7"/>
      <c r="D43" s="7">
        <v>5072</v>
      </c>
      <c r="E43" s="7">
        <f t="shared" si="4"/>
        <v>114.11999999999999</v>
      </c>
      <c r="F43" s="8"/>
      <c r="G43" s="8"/>
      <c r="H43" s="8"/>
      <c r="I43" s="8"/>
      <c r="J43" s="8"/>
      <c r="K43" s="8"/>
      <c r="L43" s="8"/>
      <c r="M43" s="8"/>
    </row>
    <row r="44" spans="1:13" x14ac:dyDescent="0.25">
      <c r="A44" s="11">
        <v>1987</v>
      </c>
      <c r="B44" s="7">
        <v>705</v>
      </c>
      <c r="C44" s="7"/>
      <c r="D44" s="7">
        <v>6019</v>
      </c>
      <c r="E44" s="7">
        <f t="shared" si="4"/>
        <v>135.42749999999998</v>
      </c>
      <c r="F44" s="8"/>
      <c r="G44" s="8"/>
      <c r="H44" s="8"/>
      <c r="I44" s="8"/>
      <c r="J44" s="8"/>
      <c r="K44" s="8"/>
      <c r="L44" s="8"/>
      <c r="M44" s="8"/>
    </row>
    <row r="45" spans="1:13" x14ac:dyDescent="0.25">
      <c r="A45" s="11">
        <v>1988</v>
      </c>
      <c r="B45" s="7">
        <v>780</v>
      </c>
      <c r="C45" s="7"/>
      <c r="D45" s="7">
        <v>6660</v>
      </c>
      <c r="E45" s="7">
        <f t="shared" si="4"/>
        <v>149.85</v>
      </c>
      <c r="F45" s="8"/>
      <c r="G45" s="8"/>
      <c r="H45" s="8"/>
      <c r="I45" s="8"/>
      <c r="J45" s="8"/>
      <c r="K45" s="8"/>
      <c r="L45" s="8"/>
      <c r="M45" s="8"/>
    </row>
    <row r="46" spans="1:13" x14ac:dyDescent="0.25">
      <c r="A46" s="11">
        <v>1989</v>
      </c>
      <c r="B46" s="7">
        <v>775</v>
      </c>
      <c r="C46" s="9"/>
      <c r="D46" s="7">
        <v>6760</v>
      </c>
      <c r="E46" s="7">
        <f t="shared" si="4"/>
        <v>152.1</v>
      </c>
      <c r="F46" s="8"/>
      <c r="G46" s="8"/>
      <c r="H46" s="8"/>
      <c r="I46" s="8"/>
      <c r="J46" s="8"/>
      <c r="K46" s="8"/>
      <c r="L46" s="8"/>
      <c r="M46" s="8"/>
    </row>
    <row r="47" spans="1:13" x14ac:dyDescent="0.25">
      <c r="A47" s="11">
        <v>1990</v>
      </c>
      <c r="B47" s="7">
        <v>875</v>
      </c>
      <c r="C47" s="9"/>
      <c r="D47" s="7">
        <v>7062</v>
      </c>
      <c r="E47" s="7">
        <f t="shared" si="4"/>
        <v>158.89499999999998</v>
      </c>
      <c r="F47" s="8"/>
      <c r="G47" s="8"/>
      <c r="H47" s="8"/>
      <c r="I47" s="8"/>
      <c r="J47" s="8"/>
      <c r="K47" s="8"/>
      <c r="L47" s="8"/>
      <c r="M47" s="8"/>
    </row>
    <row r="48" spans="1:13" x14ac:dyDescent="0.25">
      <c r="A48" s="11">
        <v>1991</v>
      </c>
      <c r="B48" s="7">
        <v>820</v>
      </c>
      <c r="C48" s="9"/>
      <c r="D48" s="7">
        <v>8047</v>
      </c>
      <c r="E48" s="7">
        <f t="shared" si="4"/>
        <v>181.05749999999998</v>
      </c>
      <c r="F48" s="8"/>
      <c r="G48" s="8"/>
      <c r="H48" s="8"/>
      <c r="I48" s="8"/>
      <c r="J48" s="8"/>
      <c r="K48" s="8"/>
      <c r="L48" s="8"/>
      <c r="M48" s="8"/>
    </row>
    <row r="49" spans="1:13" x14ac:dyDescent="0.25">
      <c r="A49" s="11">
        <v>1992</v>
      </c>
      <c r="B49" s="7">
        <v>827.68499999999995</v>
      </c>
      <c r="C49" s="9"/>
      <c r="D49" s="7">
        <v>7945</v>
      </c>
      <c r="E49" s="7">
        <f t="shared" si="4"/>
        <v>178.76249999999999</v>
      </c>
      <c r="F49" s="8"/>
      <c r="G49" s="8"/>
      <c r="H49" s="8"/>
      <c r="I49" s="8"/>
      <c r="J49" s="8"/>
      <c r="K49" s="8"/>
      <c r="L49" s="8"/>
      <c r="M49" s="8"/>
    </row>
    <row r="50" spans="1:13" x14ac:dyDescent="0.25">
      <c r="A50" s="11">
        <v>1993</v>
      </c>
      <c r="B50" s="7">
        <v>809</v>
      </c>
      <c r="C50" s="9"/>
      <c r="D50" s="7">
        <v>8091</v>
      </c>
      <c r="E50" s="7">
        <f t="shared" si="4"/>
        <v>182.04749999999999</v>
      </c>
      <c r="F50" s="8">
        <f>G50*B50</f>
        <v>800.91</v>
      </c>
      <c r="G50" s="57">
        <v>0.99</v>
      </c>
      <c r="H50" s="8">
        <f>I50*B50</f>
        <v>8.09</v>
      </c>
      <c r="I50" s="57">
        <v>0.01</v>
      </c>
      <c r="J50" s="8">
        <f>K50*B50</f>
        <v>0</v>
      </c>
      <c r="K50" s="57">
        <v>0</v>
      </c>
      <c r="L50" s="8"/>
      <c r="M50" s="8"/>
    </row>
    <row r="51" spans="1:13" x14ac:dyDescent="0.25">
      <c r="A51" s="11">
        <v>1994</v>
      </c>
      <c r="B51" s="7">
        <v>867.42</v>
      </c>
      <c r="C51" s="17">
        <v>0.5</v>
      </c>
      <c r="D51" s="7">
        <v>8998</v>
      </c>
      <c r="E51" s="7">
        <f t="shared" si="4"/>
        <v>202.45499999999998</v>
      </c>
      <c r="F51" s="7"/>
      <c r="G51" s="7"/>
      <c r="H51" s="7"/>
      <c r="I51" s="7"/>
      <c r="J51" s="8"/>
      <c r="K51" s="8"/>
      <c r="L51" s="7"/>
      <c r="M51" s="7"/>
    </row>
    <row r="52" spans="1:13" x14ac:dyDescent="0.25">
      <c r="A52" s="11">
        <v>1995</v>
      </c>
      <c r="B52" s="7">
        <v>853</v>
      </c>
      <c r="C52" s="9"/>
      <c r="D52" s="7">
        <v>9563</v>
      </c>
      <c r="E52" s="7">
        <f t="shared" si="4"/>
        <v>215.16749999999999</v>
      </c>
    </row>
    <row r="53" spans="1:13" x14ac:dyDescent="0.25">
      <c r="A53" s="11">
        <v>1996</v>
      </c>
      <c r="B53" s="7">
        <v>751.61</v>
      </c>
      <c r="C53" s="9"/>
      <c r="D53" s="7">
        <v>9768</v>
      </c>
      <c r="E53" s="7">
        <f t="shared" si="4"/>
        <v>219.77999999999997</v>
      </c>
      <c r="F53" s="8"/>
      <c r="G53" s="8"/>
      <c r="H53" s="8"/>
      <c r="I53" s="8"/>
      <c r="L53" s="8"/>
      <c r="M53" s="8"/>
    </row>
    <row r="54" spans="1:13" x14ac:dyDescent="0.25">
      <c r="A54" s="11">
        <v>1997</v>
      </c>
      <c r="B54" s="7">
        <v>1038</v>
      </c>
      <c r="C54" s="9"/>
      <c r="D54" s="8">
        <v>10243</v>
      </c>
      <c r="E54" s="7">
        <f t="shared" si="4"/>
        <v>230.46749999999997</v>
      </c>
      <c r="F54" s="8"/>
      <c r="G54" s="8"/>
      <c r="H54" s="8"/>
      <c r="I54" s="8"/>
      <c r="L54" s="8"/>
      <c r="M54" s="8"/>
    </row>
    <row r="55" spans="1:13" x14ac:dyDescent="0.25">
      <c r="A55" s="11">
        <v>1998</v>
      </c>
      <c r="B55" s="7">
        <v>852</v>
      </c>
      <c r="C55" s="9"/>
      <c r="D55" s="8">
        <v>10926</v>
      </c>
      <c r="E55" s="7">
        <f t="shared" si="4"/>
        <v>245.83499999999998</v>
      </c>
      <c r="F55" s="8"/>
      <c r="G55" s="8"/>
      <c r="H55" s="8"/>
      <c r="I55" s="8"/>
      <c r="L55" s="8"/>
      <c r="M55" s="8"/>
    </row>
    <row r="56" spans="1:13" x14ac:dyDescent="0.25">
      <c r="A56" s="11">
        <v>1999</v>
      </c>
      <c r="B56" s="7">
        <v>788.13499999999999</v>
      </c>
      <c r="C56" s="9"/>
      <c r="D56" s="8">
        <v>12257</v>
      </c>
      <c r="E56" s="7">
        <f t="shared" si="4"/>
        <v>275.78249999999997</v>
      </c>
      <c r="F56" s="8"/>
      <c r="G56" s="8"/>
      <c r="H56" s="8"/>
      <c r="I56" s="8"/>
      <c r="L56" s="8"/>
      <c r="M56" s="8"/>
    </row>
    <row r="57" spans="1:13" x14ac:dyDescent="0.25">
      <c r="A57" s="11">
        <v>2000</v>
      </c>
      <c r="B57" s="7">
        <v>860.58299999999997</v>
      </c>
      <c r="C57" s="9"/>
      <c r="D57" s="8">
        <v>13383</v>
      </c>
      <c r="E57" s="7">
        <f t="shared" si="4"/>
        <v>301.11749999999995</v>
      </c>
      <c r="F57" s="8"/>
      <c r="G57" s="8"/>
      <c r="H57" s="8"/>
      <c r="I57" s="8"/>
      <c r="L57" s="8"/>
      <c r="M57" s="8"/>
    </row>
    <row r="58" spans="1:13" x14ac:dyDescent="0.25">
      <c r="A58" s="11">
        <v>2001</v>
      </c>
      <c r="B58" s="7">
        <v>831.524</v>
      </c>
      <c r="C58" s="9"/>
      <c r="D58" s="8">
        <v>14400</v>
      </c>
      <c r="E58" s="7">
        <f t="shared" si="4"/>
        <v>324</v>
      </c>
      <c r="H58" s="8"/>
      <c r="I58" s="8"/>
      <c r="L58" s="8"/>
      <c r="M58" s="8"/>
    </row>
    <row r="59" spans="1:13" x14ac:dyDescent="0.25">
      <c r="A59" s="11">
        <v>2002</v>
      </c>
      <c r="B59" s="7">
        <v>887.61099999999999</v>
      </c>
      <c r="C59" s="17">
        <v>0.52</v>
      </c>
      <c r="D59" s="8">
        <v>14281</v>
      </c>
      <c r="E59" s="7">
        <f t="shared" si="4"/>
        <v>321.32249999999999</v>
      </c>
      <c r="F59" s="8"/>
      <c r="G59" s="8"/>
      <c r="H59" s="8"/>
      <c r="I59" s="8"/>
      <c r="L59" s="8"/>
      <c r="M59" s="8"/>
    </row>
    <row r="60" spans="1:13" x14ac:dyDescent="0.25">
      <c r="A60" s="11">
        <v>2003</v>
      </c>
      <c r="B60" s="7">
        <v>937.14</v>
      </c>
      <c r="C60" s="9"/>
      <c r="D60" s="8">
        <v>14465</v>
      </c>
      <c r="E60" s="7">
        <f t="shared" si="4"/>
        <v>325.46249999999998</v>
      </c>
      <c r="F60" s="8"/>
      <c r="G60" s="8"/>
      <c r="H60" s="8"/>
      <c r="I60" s="8"/>
      <c r="L60" s="8"/>
      <c r="M60" s="8"/>
    </row>
    <row r="61" spans="1:13" x14ac:dyDescent="0.25">
      <c r="A61" s="11">
        <v>2004</v>
      </c>
      <c r="B61" s="7">
        <v>1146.8530000000001</v>
      </c>
      <c r="C61" s="17">
        <f>0.49</f>
        <v>0.49</v>
      </c>
      <c r="D61" s="8">
        <v>15296</v>
      </c>
      <c r="E61" s="7">
        <f t="shared" si="4"/>
        <v>344.15999999999997</v>
      </c>
      <c r="F61" s="8"/>
      <c r="G61" s="8"/>
      <c r="H61" s="8"/>
      <c r="I61" s="8"/>
      <c r="L61" s="8"/>
      <c r="M61" s="8"/>
    </row>
    <row r="62" spans="1:13" x14ac:dyDescent="0.25">
      <c r="A62" s="11">
        <v>2005</v>
      </c>
      <c r="B62" s="7">
        <v>1098.4649999999999</v>
      </c>
      <c r="C62" s="9"/>
      <c r="D62" s="8">
        <v>15318.19</v>
      </c>
      <c r="E62" s="7">
        <f t="shared" si="4"/>
        <v>344.65927499999998</v>
      </c>
      <c r="F62" s="8"/>
      <c r="G62" s="8"/>
      <c r="H62" s="8"/>
      <c r="I62" s="8"/>
      <c r="L62" s="8"/>
      <c r="M62" s="8"/>
    </row>
    <row r="63" spans="1:13" x14ac:dyDescent="0.25">
      <c r="A63" s="11">
        <v>2006</v>
      </c>
      <c r="B63" s="8">
        <v>1151.222</v>
      </c>
      <c r="C63" s="9"/>
      <c r="D63" s="8">
        <v>16158</v>
      </c>
      <c r="E63" s="7">
        <f t="shared" si="4"/>
        <v>363.55499999999995</v>
      </c>
      <c r="F63" s="8"/>
      <c r="G63" s="8"/>
      <c r="H63" s="8"/>
      <c r="I63" s="8"/>
      <c r="L63" s="8"/>
      <c r="M63" s="8"/>
    </row>
    <row r="64" spans="1:13" x14ac:dyDescent="0.25">
      <c r="A64" s="11">
        <v>2007</v>
      </c>
      <c r="B64" s="8">
        <v>1154.847</v>
      </c>
      <c r="C64" s="9"/>
      <c r="D64" s="8">
        <v>16730</v>
      </c>
      <c r="E64" s="7">
        <f t="shared" si="4"/>
        <v>376.42499999999995</v>
      </c>
      <c r="F64" s="8"/>
      <c r="G64" s="8"/>
      <c r="H64" s="8"/>
      <c r="I64" s="8"/>
      <c r="L64" s="8"/>
      <c r="M64" s="8"/>
    </row>
    <row r="65" spans="1:68" x14ac:dyDescent="0.25">
      <c r="A65" s="11">
        <v>2008</v>
      </c>
      <c r="B65" s="8">
        <v>992.96</v>
      </c>
      <c r="C65" s="9"/>
      <c r="D65" s="8">
        <v>16382.708000000001</v>
      </c>
      <c r="E65" s="7">
        <f t="shared" si="4"/>
        <v>368.61093</v>
      </c>
      <c r="F65" s="8"/>
      <c r="G65" s="8"/>
      <c r="H65" s="8"/>
      <c r="I65" s="8"/>
      <c r="L65" s="8"/>
      <c r="M65" s="8"/>
    </row>
    <row r="66" spans="1:68" x14ac:dyDescent="0.25">
      <c r="A66" s="11">
        <v>2009</v>
      </c>
      <c r="B66" s="8">
        <v>820</v>
      </c>
      <c r="C66" s="68">
        <v>0.51686693902439029</v>
      </c>
      <c r="D66" s="8">
        <v>15460.977999999999</v>
      </c>
      <c r="E66" s="7">
        <f t="shared" si="4"/>
        <v>347.87200499999994</v>
      </c>
      <c r="F66" s="8"/>
      <c r="G66" s="8"/>
      <c r="H66" s="8"/>
      <c r="I66" s="8"/>
      <c r="L66" s="8"/>
      <c r="M66" s="8"/>
    </row>
    <row r="67" spans="1:68" x14ac:dyDescent="0.25">
      <c r="A67" s="11">
        <v>2010</v>
      </c>
      <c r="B67" s="8">
        <v>890</v>
      </c>
      <c r="C67" s="68">
        <v>0.50131951685393261</v>
      </c>
      <c r="D67" s="8">
        <v>16209.016</v>
      </c>
      <c r="E67" s="7">
        <f t="shared" si="4"/>
        <v>364.70285999999999</v>
      </c>
      <c r="F67" s="8"/>
      <c r="G67" s="8"/>
      <c r="H67" s="8"/>
      <c r="I67" s="8"/>
      <c r="L67" s="8"/>
      <c r="M67" s="8"/>
    </row>
    <row r="68" spans="1:68" x14ac:dyDescent="0.25">
      <c r="A68" s="11">
        <v>2011</v>
      </c>
      <c r="B68" s="8">
        <v>1047</v>
      </c>
      <c r="C68" s="68">
        <v>0.43244143266475649</v>
      </c>
      <c r="D68" s="8">
        <v>16997.707999999999</v>
      </c>
      <c r="E68" s="7">
        <f t="shared" si="4"/>
        <v>382.44842999999992</v>
      </c>
      <c r="F68" s="8"/>
      <c r="G68" s="8"/>
      <c r="H68" s="8"/>
      <c r="I68" s="8"/>
      <c r="L68" s="8"/>
      <c r="M68" s="8"/>
    </row>
    <row r="69" spans="1:68" x14ac:dyDescent="0.25">
      <c r="A69" s="11">
        <v>2012</v>
      </c>
      <c r="B69" s="8">
        <v>855</v>
      </c>
      <c r="C69" s="68">
        <v>0.50729061988304092</v>
      </c>
      <c r="D69" s="8">
        <v>16424.399000000001</v>
      </c>
      <c r="E69" s="7">
        <f t="shared" si="4"/>
        <v>369.54897750000003</v>
      </c>
      <c r="F69" s="8"/>
      <c r="G69" s="8"/>
      <c r="H69" s="8"/>
      <c r="I69" s="8"/>
      <c r="L69" s="8"/>
      <c r="M69" s="8"/>
    </row>
    <row r="70" spans="1:68" x14ac:dyDescent="0.25">
      <c r="A70" s="11">
        <v>2013</v>
      </c>
      <c r="B70" s="8">
        <v>778</v>
      </c>
      <c r="C70" s="68">
        <v>0.53746739074550132</v>
      </c>
      <c r="D70" s="8">
        <v>15763.493</v>
      </c>
      <c r="E70" s="7">
        <f t="shared" si="4"/>
        <v>354.67859249999998</v>
      </c>
      <c r="F70" s="8"/>
      <c r="G70" s="8"/>
      <c r="H70" s="8"/>
      <c r="I70" s="8"/>
      <c r="L70" s="8"/>
      <c r="M70" s="8"/>
    </row>
    <row r="71" spans="1:68" x14ac:dyDescent="0.25">
      <c r="A71" s="11">
        <v>2014</v>
      </c>
      <c r="D71" s="8">
        <v>15000.332</v>
      </c>
      <c r="E71" s="7">
        <f t="shared" si="4"/>
        <v>337.50747000000001</v>
      </c>
      <c r="F71" s="8"/>
      <c r="G71" s="8"/>
      <c r="H71" s="8"/>
      <c r="I71" s="8"/>
      <c r="L71" s="8"/>
      <c r="M71" s="8"/>
    </row>
    <row r="72" spans="1:68" x14ac:dyDescent="0.25">
      <c r="A72" s="11">
        <v>2015</v>
      </c>
      <c r="C72" s="42"/>
      <c r="D72" s="8">
        <v>15062.705</v>
      </c>
      <c r="E72" s="7">
        <f t="shared" si="4"/>
        <v>338.91086249999995</v>
      </c>
      <c r="F72" s="8"/>
      <c r="G72" s="8"/>
      <c r="H72" s="8"/>
      <c r="I72" s="8"/>
      <c r="L72" s="8"/>
      <c r="M72" s="8"/>
    </row>
    <row r="73" spans="1:68" x14ac:dyDescent="0.25">
      <c r="A73" s="11">
        <v>2016</v>
      </c>
      <c r="C73" s="68"/>
      <c r="D73" s="8">
        <v>15192.061</v>
      </c>
      <c r="E73" s="7">
        <f t="shared" si="4"/>
        <v>341.82137249999994</v>
      </c>
      <c r="F73" s="8"/>
      <c r="G73" s="8"/>
      <c r="H73" s="8"/>
      <c r="I73" s="8"/>
      <c r="L73" s="8"/>
      <c r="M73" s="8"/>
    </row>
    <row r="74" spans="1:68" x14ac:dyDescent="0.25">
      <c r="A74" s="11">
        <v>2017</v>
      </c>
      <c r="C74" s="68"/>
      <c r="D74" s="8">
        <v>15696.879000000001</v>
      </c>
      <c r="E74" s="7">
        <f t="shared" si="4"/>
        <v>353.1797775</v>
      </c>
      <c r="F74" s="8"/>
      <c r="G74" s="8"/>
      <c r="H74" s="8"/>
      <c r="I74" s="8"/>
      <c r="L74" s="8"/>
      <c r="M74" s="8"/>
    </row>
    <row r="75" spans="1:68" x14ac:dyDescent="0.25">
      <c r="A75" s="11">
        <v>2018</v>
      </c>
      <c r="C75" s="68"/>
      <c r="D75" s="8">
        <v>16462.59</v>
      </c>
      <c r="E75" s="7">
        <f t="shared" si="4"/>
        <v>370.40827499999995</v>
      </c>
      <c r="F75" s="8"/>
      <c r="G75" s="8"/>
      <c r="H75" s="8"/>
      <c r="I75" s="8"/>
      <c r="L75" s="8"/>
      <c r="M75" s="8"/>
    </row>
    <row r="76" spans="1:68" x14ac:dyDescent="0.25">
      <c r="A76" s="11">
        <v>2019</v>
      </c>
      <c r="C76" s="9"/>
      <c r="D76" s="8">
        <v>17206.73</v>
      </c>
      <c r="E76" s="7">
        <f t="shared" si="4"/>
        <v>387.15142499999996</v>
      </c>
      <c r="F76" s="8"/>
      <c r="G76" s="8"/>
      <c r="H76" s="8"/>
      <c r="I76" s="8"/>
      <c r="L76" s="8"/>
      <c r="M76" s="8"/>
    </row>
    <row r="77" spans="1:68" x14ac:dyDescent="0.25">
      <c r="A77" s="11">
        <v>2020</v>
      </c>
      <c r="D77" s="8"/>
      <c r="E77" s="8"/>
      <c r="F77" s="9"/>
      <c r="G77" s="9"/>
      <c r="H77" s="8"/>
      <c r="I77" s="8"/>
      <c r="J77" s="8"/>
      <c r="K77" s="8"/>
      <c r="L77" s="9"/>
      <c r="M77" s="8"/>
    </row>
    <row r="78" spans="1:68" s="4" customFormat="1" x14ac:dyDescent="0.25">
      <c r="A78" s="10"/>
      <c r="B78" s="8"/>
      <c r="C78" s="8"/>
      <c r="F78" s="9"/>
      <c r="G78" s="9"/>
      <c r="L78" s="9"/>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row>
    <row r="79" spans="1:68" s="4" customFormat="1" x14ac:dyDescent="0.25">
      <c r="A79" s="10"/>
      <c r="B79" s="8"/>
      <c r="C79" s="8"/>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row>
    <row r="80" spans="1:68" s="4" customFormat="1" x14ac:dyDescent="0.25">
      <c r="A80" s="10"/>
      <c r="B80" s="8"/>
      <c r="C80" s="8"/>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row>
    <row r="87" spans="1:68" s="4" customFormat="1" x14ac:dyDescent="0.25">
      <c r="A87" s="10"/>
      <c r="B87" s="8"/>
      <c r="C87" s="8"/>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row>
    <row r="88" spans="1:68" s="4" customFormat="1" x14ac:dyDescent="0.25">
      <c r="A88" s="10"/>
      <c r="B88" s="8"/>
      <c r="C88" s="8"/>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BC36-79CC-403E-BDAB-F4ACF4DC04E2}">
  <dimension ref="A1:BP88"/>
  <sheetViews>
    <sheetView zoomScale="70" zoomScaleNormal="70" workbookViewId="0">
      <selection activeCell="B19" sqref="B19"/>
    </sheetView>
  </sheetViews>
  <sheetFormatPr defaultColWidth="10.7109375" defaultRowHeight="15" x14ac:dyDescent="0.25"/>
  <cols>
    <col min="1" max="1" width="10" style="2" customWidth="1"/>
    <col min="2" max="3" width="26.85546875" style="6" customWidth="1"/>
    <col min="4" max="4" width="26.42578125" style="4" customWidth="1"/>
    <col min="5" max="16384" width="10.7109375" style="6"/>
  </cols>
  <sheetData>
    <row r="1" spans="1:4" s="32" customFormat="1" x14ac:dyDescent="0.25">
      <c r="A1" s="20" t="s">
        <v>0</v>
      </c>
      <c r="B1" s="5" t="s">
        <v>1</v>
      </c>
      <c r="C1" s="31" t="s">
        <v>2</v>
      </c>
      <c r="D1" s="5" t="s">
        <v>21</v>
      </c>
    </row>
    <row r="2" spans="1:4" s="1" customFormat="1" x14ac:dyDescent="0.25">
      <c r="A2" s="11">
        <v>1945</v>
      </c>
      <c r="D2" s="8"/>
    </row>
    <row r="3" spans="1:4" s="1" customFormat="1" x14ac:dyDescent="0.25">
      <c r="A3" s="11">
        <v>1946</v>
      </c>
      <c r="D3" s="8"/>
    </row>
    <row r="4" spans="1:4" s="1" customFormat="1" x14ac:dyDescent="0.25">
      <c r="A4" s="11">
        <v>1947</v>
      </c>
    </row>
    <row r="5" spans="1:4" s="1" customFormat="1" x14ac:dyDescent="0.25">
      <c r="A5" s="11">
        <v>1948</v>
      </c>
      <c r="D5" s="8"/>
    </row>
    <row r="6" spans="1:4" s="1" customFormat="1" x14ac:dyDescent="0.25">
      <c r="A6" s="11">
        <v>1949</v>
      </c>
      <c r="D6" s="8"/>
    </row>
    <row r="7" spans="1:4" s="1" customFormat="1" x14ac:dyDescent="0.25">
      <c r="A7" s="11">
        <v>1950</v>
      </c>
      <c r="D7" s="4"/>
    </row>
    <row r="8" spans="1:4" s="1" customFormat="1" x14ac:dyDescent="0.25">
      <c r="A8" s="11">
        <v>1951</v>
      </c>
      <c r="D8" s="8"/>
    </row>
    <row r="9" spans="1:4" s="1" customFormat="1" x14ac:dyDescent="0.25">
      <c r="A9" s="11">
        <v>1952</v>
      </c>
      <c r="B9" s="7">
        <v>1.1479999999999999</v>
      </c>
      <c r="D9" s="8"/>
    </row>
    <row r="10" spans="1:4" s="1" customFormat="1" x14ac:dyDescent="0.25">
      <c r="A10" s="11">
        <v>1953</v>
      </c>
      <c r="B10" s="7">
        <v>1.133</v>
      </c>
      <c r="D10" s="8"/>
    </row>
    <row r="11" spans="1:4" s="1" customFormat="1" x14ac:dyDescent="0.25">
      <c r="A11" s="11">
        <v>1954</v>
      </c>
      <c r="B11" s="7">
        <v>10.706</v>
      </c>
      <c r="D11" s="8"/>
    </row>
    <row r="12" spans="1:4" s="1" customFormat="1" x14ac:dyDescent="0.25">
      <c r="A12" s="11">
        <v>1955</v>
      </c>
      <c r="B12" s="7">
        <v>12.1</v>
      </c>
      <c r="D12" s="8"/>
    </row>
    <row r="13" spans="1:4" s="1" customFormat="1" x14ac:dyDescent="0.25">
      <c r="A13" s="11">
        <v>1956</v>
      </c>
      <c r="D13" s="8"/>
    </row>
    <row r="14" spans="1:4" s="1" customFormat="1" x14ac:dyDescent="0.25">
      <c r="A14" s="11">
        <v>1957</v>
      </c>
      <c r="D14" s="6"/>
    </row>
    <row r="15" spans="1:4" s="1" customFormat="1" x14ac:dyDescent="0.25">
      <c r="A15" s="11">
        <v>1958</v>
      </c>
      <c r="D15" s="8"/>
    </row>
    <row r="16" spans="1:4" s="1" customFormat="1" x14ac:dyDescent="0.25">
      <c r="A16" s="11">
        <v>1959</v>
      </c>
      <c r="D16" s="8"/>
    </row>
    <row r="17" spans="1:4" s="1" customFormat="1" x14ac:dyDescent="0.25">
      <c r="A17" s="11">
        <v>1960</v>
      </c>
      <c r="D17" s="8"/>
    </row>
    <row r="18" spans="1:4" s="1" customFormat="1" x14ac:dyDescent="0.25">
      <c r="A18" s="11">
        <v>1961</v>
      </c>
      <c r="D18" s="8"/>
    </row>
    <row r="19" spans="1:4" s="1" customFormat="1" x14ac:dyDescent="0.25">
      <c r="A19" s="11">
        <v>1962</v>
      </c>
      <c r="B19" s="7">
        <v>16.399999999999999</v>
      </c>
      <c r="D19" s="8"/>
    </row>
    <row r="20" spans="1:4" s="1" customFormat="1" x14ac:dyDescent="0.25">
      <c r="A20" s="11">
        <v>1963</v>
      </c>
      <c r="B20" s="7"/>
      <c r="D20" s="8"/>
    </row>
    <row r="21" spans="1:4" s="1" customFormat="1" x14ac:dyDescent="0.25">
      <c r="A21" s="11">
        <v>1964</v>
      </c>
      <c r="B21" s="7"/>
      <c r="D21" s="8"/>
    </row>
    <row r="22" spans="1:4" s="1" customFormat="1" x14ac:dyDescent="0.25">
      <c r="A22" s="11">
        <v>1965</v>
      </c>
      <c r="B22" s="7"/>
      <c r="D22" s="8"/>
    </row>
    <row r="23" spans="1:4" s="1" customFormat="1" x14ac:dyDescent="0.25">
      <c r="A23" s="11">
        <v>1966</v>
      </c>
      <c r="B23" s="7">
        <v>34.299999999999997</v>
      </c>
      <c r="D23" s="8"/>
    </row>
    <row r="24" spans="1:4" s="1" customFormat="1" x14ac:dyDescent="0.25">
      <c r="A24" s="11">
        <v>1967</v>
      </c>
      <c r="B24" s="7"/>
      <c r="D24" s="8"/>
    </row>
    <row r="25" spans="1:4" s="1" customFormat="1" x14ac:dyDescent="0.25">
      <c r="A25" s="11">
        <v>1968</v>
      </c>
      <c r="B25" s="7">
        <v>60.3</v>
      </c>
      <c r="D25" s="8"/>
    </row>
    <row r="26" spans="1:4" s="1" customFormat="1" x14ac:dyDescent="0.25">
      <c r="A26" s="11">
        <v>1969</v>
      </c>
      <c r="D26" s="8"/>
    </row>
    <row r="27" spans="1:4" s="1" customFormat="1" x14ac:dyDescent="0.25">
      <c r="A27" s="11">
        <v>1970</v>
      </c>
      <c r="B27" s="36">
        <v>65</v>
      </c>
      <c r="D27" s="7"/>
    </row>
    <row r="28" spans="1:4" s="1" customFormat="1" x14ac:dyDescent="0.25">
      <c r="A28" s="11">
        <v>1971</v>
      </c>
      <c r="B28" s="36">
        <v>72</v>
      </c>
      <c r="D28" s="7"/>
    </row>
    <row r="29" spans="1:4" s="1" customFormat="1" x14ac:dyDescent="0.25">
      <c r="A29" s="11">
        <v>1972</v>
      </c>
      <c r="B29" s="36">
        <v>98</v>
      </c>
      <c r="D29" s="7"/>
    </row>
    <row r="30" spans="1:4" s="1" customFormat="1" x14ac:dyDescent="0.25">
      <c r="A30" s="11">
        <v>1973</v>
      </c>
      <c r="B30" s="36">
        <v>108</v>
      </c>
      <c r="D30" s="7"/>
    </row>
    <row r="31" spans="1:4" s="1" customFormat="1" x14ac:dyDescent="0.25">
      <c r="A31" s="11">
        <v>1974</v>
      </c>
      <c r="B31" s="36">
        <v>125</v>
      </c>
      <c r="D31" s="7"/>
    </row>
    <row r="32" spans="1:4" s="1" customFormat="1" x14ac:dyDescent="0.25">
      <c r="A32" s="11">
        <v>1975</v>
      </c>
      <c r="B32" s="36">
        <v>107</v>
      </c>
      <c r="D32" s="7"/>
    </row>
    <row r="33" spans="1:4" s="1" customFormat="1" x14ac:dyDescent="0.25">
      <c r="A33" s="11">
        <v>1976</v>
      </c>
      <c r="B33" s="36">
        <v>152</v>
      </c>
      <c r="D33" s="7"/>
    </row>
    <row r="34" spans="1:4" s="1" customFormat="1" x14ac:dyDescent="0.25">
      <c r="A34" s="11">
        <v>1977</v>
      </c>
      <c r="B34" s="36">
        <v>156</v>
      </c>
      <c r="D34" s="7"/>
    </row>
    <row r="35" spans="1:4" s="1" customFormat="1" x14ac:dyDescent="0.25">
      <c r="A35" s="11">
        <v>1978</v>
      </c>
      <c r="B35" s="36">
        <v>161</v>
      </c>
      <c r="D35" s="7"/>
    </row>
    <row r="36" spans="1:4" s="1" customFormat="1" x14ac:dyDescent="0.25">
      <c r="A36" s="11">
        <v>1979</v>
      </c>
      <c r="B36" s="36">
        <v>194</v>
      </c>
      <c r="D36" s="8"/>
    </row>
    <row r="37" spans="1:4" s="1" customFormat="1" x14ac:dyDescent="0.25">
      <c r="A37" s="11">
        <v>1980</v>
      </c>
      <c r="B37" s="36">
        <v>211</v>
      </c>
      <c r="D37" s="8"/>
    </row>
    <row r="38" spans="1:4" s="1" customFormat="1" x14ac:dyDescent="0.25">
      <c r="A38" s="11">
        <v>1981</v>
      </c>
      <c r="B38" s="36">
        <v>201</v>
      </c>
      <c r="D38" s="8"/>
    </row>
    <row r="39" spans="1:4" s="1" customFormat="1" x14ac:dyDescent="0.25">
      <c r="A39" s="11">
        <v>1982</v>
      </c>
      <c r="B39" s="36">
        <v>223</v>
      </c>
      <c r="D39" s="7"/>
    </row>
    <row r="40" spans="1:4" s="1" customFormat="1" x14ac:dyDescent="0.25">
      <c r="A40" s="11">
        <v>1983</v>
      </c>
      <c r="B40" s="36">
        <v>234</v>
      </c>
      <c r="D40" s="7"/>
    </row>
    <row r="41" spans="1:4" s="1" customFormat="1" x14ac:dyDescent="0.25">
      <c r="A41" s="11">
        <v>1984</v>
      </c>
      <c r="B41" s="36">
        <v>244</v>
      </c>
      <c r="D41" s="7"/>
    </row>
    <row r="42" spans="1:4" s="1" customFormat="1" x14ac:dyDescent="0.25">
      <c r="A42" s="11">
        <v>1985</v>
      </c>
      <c r="B42" s="36">
        <v>258</v>
      </c>
      <c r="D42" s="7"/>
    </row>
    <row r="43" spans="1:4" s="1" customFormat="1" x14ac:dyDescent="0.25">
      <c r="A43" s="11">
        <v>1986</v>
      </c>
      <c r="B43" s="36">
        <v>278</v>
      </c>
      <c r="D43" s="7"/>
    </row>
    <row r="44" spans="1:4" s="1" customFormat="1" x14ac:dyDescent="0.25">
      <c r="A44" s="11">
        <v>1987</v>
      </c>
      <c r="B44" s="36">
        <v>304</v>
      </c>
      <c r="D44" s="7"/>
    </row>
    <row r="45" spans="1:4" s="1" customFormat="1" x14ac:dyDescent="0.25">
      <c r="A45" s="11">
        <v>1988</v>
      </c>
      <c r="D45" s="7"/>
    </row>
    <row r="46" spans="1:4" s="1" customFormat="1" x14ac:dyDescent="0.25">
      <c r="A46" s="11">
        <v>1989</v>
      </c>
      <c r="D46" s="7"/>
    </row>
    <row r="47" spans="1:4" s="1" customFormat="1" x14ac:dyDescent="0.25">
      <c r="A47" s="11">
        <v>1990</v>
      </c>
      <c r="D47" s="7"/>
    </row>
    <row r="48" spans="1:4" s="1" customFormat="1" x14ac:dyDescent="0.25">
      <c r="A48" s="11">
        <v>1991</v>
      </c>
      <c r="D48" s="7"/>
    </row>
    <row r="49" spans="1:6" s="1" customFormat="1" x14ac:dyDescent="0.25">
      <c r="A49" s="11">
        <v>1992</v>
      </c>
      <c r="D49" s="7"/>
    </row>
    <row r="50" spans="1:6" s="1" customFormat="1" x14ac:dyDescent="0.25">
      <c r="A50" s="11">
        <v>1993</v>
      </c>
      <c r="D50" s="7"/>
    </row>
    <row r="51" spans="1:6" s="1" customFormat="1" x14ac:dyDescent="0.25">
      <c r="A51" s="11">
        <v>1994</v>
      </c>
      <c r="D51" s="7"/>
    </row>
    <row r="52" spans="1:6" s="1" customFormat="1" x14ac:dyDescent="0.25">
      <c r="A52" s="11">
        <v>1995</v>
      </c>
      <c r="C52" s="7"/>
      <c r="D52" s="7"/>
    </row>
    <row r="53" spans="1:6" s="1" customFormat="1" x14ac:dyDescent="0.25">
      <c r="A53" s="11">
        <v>1996</v>
      </c>
      <c r="C53" s="7"/>
      <c r="D53" s="7"/>
      <c r="F53" s="34"/>
    </row>
    <row r="54" spans="1:6" s="1" customFormat="1" x14ac:dyDescent="0.25">
      <c r="A54" s="11">
        <v>1997</v>
      </c>
      <c r="B54" s="7">
        <v>274</v>
      </c>
      <c r="C54" s="7">
        <v>907.14300000000003</v>
      </c>
      <c r="D54" s="7">
        <f t="shared" ref="D54:D76" si="0">C54*2.5*0.009</f>
        <v>20.410717500000001</v>
      </c>
      <c r="F54" s="34"/>
    </row>
    <row r="55" spans="1:6" s="1" customFormat="1" x14ac:dyDescent="0.25">
      <c r="A55" s="11">
        <v>1998</v>
      </c>
      <c r="B55" s="7">
        <v>282</v>
      </c>
      <c r="C55" s="7">
        <v>905.85</v>
      </c>
      <c r="D55" s="7">
        <f t="shared" si="0"/>
        <v>20.381625</v>
      </c>
      <c r="F55" s="34"/>
    </row>
    <row r="56" spans="1:6" s="1" customFormat="1" x14ac:dyDescent="0.25">
      <c r="A56" s="11">
        <v>1999</v>
      </c>
      <c r="B56" s="7">
        <v>313</v>
      </c>
      <c r="C56" s="7">
        <v>1316.0060000000001</v>
      </c>
      <c r="D56" s="7">
        <f t="shared" si="0"/>
        <v>29.610135</v>
      </c>
      <c r="F56" s="34"/>
    </row>
    <row r="57" spans="1:6" s="1" customFormat="1" x14ac:dyDescent="0.25">
      <c r="A57" s="11">
        <v>2000</v>
      </c>
      <c r="B57" s="7">
        <v>305</v>
      </c>
      <c r="C57" s="7">
        <v>1522.134</v>
      </c>
      <c r="D57" s="7">
        <f t="shared" si="0"/>
        <v>34.248014999999995</v>
      </c>
      <c r="F57" s="34"/>
    </row>
    <row r="58" spans="1:6" s="1" customFormat="1" x14ac:dyDescent="0.25">
      <c r="A58" s="11">
        <v>2001</v>
      </c>
      <c r="B58" s="7">
        <v>315</v>
      </c>
      <c r="C58" s="7">
        <v>1334.1020000000001</v>
      </c>
      <c r="D58" s="7">
        <f t="shared" si="0"/>
        <v>30.017294999999997</v>
      </c>
      <c r="F58" s="34"/>
    </row>
    <row r="59" spans="1:6" s="1" customFormat="1" x14ac:dyDescent="0.25">
      <c r="A59" s="11">
        <v>2002</v>
      </c>
      <c r="B59" s="7">
        <v>347</v>
      </c>
      <c r="C59" s="7">
        <v>1448.894</v>
      </c>
      <c r="D59" s="7">
        <f t="shared" si="0"/>
        <v>32.600114999999995</v>
      </c>
      <c r="F59" s="34"/>
    </row>
    <row r="60" spans="1:6" s="1" customFormat="1" x14ac:dyDescent="0.25">
      <c r="A60" s="11">
        <v>2003</v>
      </c>
      <c r="B60" s="7">
        <v>327</v>
      </c>
      <c r="C60" s="7">
        <v>1797.1279999999999</v>
      </c>
      <c r="D60" s="7">
        <f t="shared" si="0"/>
        <v>40.435379999999995</v>
      </c>
      <c r="F60" s="34"/>
    </row>
    <row r="61" spans="1:6" s="1" customFormat="1" x14ac:dyDescent="0.25">
      <c r="A61" s="11">
        <v>2004</v>
      </c>
      <c r="B61" s="7">
        <v>347</v>
      </c>
      <c r="C61" s="7">
        <v>1249.3679999999999</v>
      </c>
      <c r="D61" s="7">
        <f t="shared" si="0"/>
        <v>28.110779999999998</v>
      </c>
      <c r="F61" s="34"/>
    </row>
    <row r="62" spans="1:6" s="1" customFormat="1" x14ac:dyDescent="0.25">
      <c r="A62" s="11">
        <v>2005</v>
      </c>
      <c r="B62" s="7">
        <v>345</v>
      </c>
      <c r="C62" s="7">
        <v>1161.8030000000001</v>
      </c>
      <c r="D62" s="7">
        <f t="shared" si="0"/>
        <v>26.1405675</v>
      </c>
      <c r="F62" s="34"/>
    </row>
    <row r="63" spans="1:6" s="1" customFormat="1" x14ac:dyDescent="0.25">
      <c r="A63" s="11">
        <v>2006</v>
      </c>
      <c r="B63" s="7">
        <v>356</v>
      </c>
      <c r="C63" s="7">
        <v>1276.7460000000001</v>
      </c>
      <c r="D63" s="7">
        <f t="shared" si="0"/>
        <v>28.726785</v>
      </c>
      <c r="F63" s="34"/>
    </row>
    <row r="64" spans="1:6" s="1" customFormat="1" x14ac:dyDescent="0.25">
      <c r="A64" s="11">
        <v>2007</v>
      </c>
      <c r="B64" s="7">
        <v>402</v>
      </c>
      <c r="C64" s="7">
        <v>1605.365</v>
      </c>
      <c r="D64" s="7">
        <f t="shared" si="0"/>
        <v>36.120712499999996</v>
      </c>
      <c r="F64" s="34"/>
    </row>
    <row r="65" spans="1:68" s="1" customFormat="1" x14ac:dyDescent="0.25">
      <c r="A65" s="11">
        <v>2008</v>
      </c>
      <c r="B65" s="7">
        <v>402</v>
      </c>
      <c r="C65" s="7">
        <v>1534.673</v>
      </c>
      <c r="D65" s="7">
        <f t="shared" si="0"/>
        <v>34.530142499999997</v>
      </c>
      <c r="F65" s="34"/>
    </row>
    <row r="66" spans="1:68" s="1" customFormat="1" x14ac:dyDescent="0.25">
      <c r="A66" s="11">
        <v>2009</v>
      </c>
      <c r="B66" s="7">
        <v>425</v>
      </c>
      <c r="C66" s="7">
        <v>1130.6949999999999</v>
      </c>
      <c r="D66" s="7">
        <f t="shared" si="0"/>
        <v>25.440637499999994</v>
      </c>
      <c r="F66" s="34"/>
    </row>
    <row r="67" spans="1:68" s="1" customFormat="1" x14ac:dyDescent="0.25">
      <c r="A67" s="11">
        <v>2010</v>
      </c>
      <c r="B67" s="7">
        <v>359</v>
      </c>
      <c r="C67" s="7">
        <v>1329.6479999999999</v>
      </c>
      <c r="D67" s="7">
        <f t="shared" si="0"/>
        <v>29.917079999999995</v>
      </c>
      <c r="F67" s="34"/>
    </row>
    <row r="68" spans="1:68" s="1" customFormat="1" x14ac:dyDescent="0.25">
      <c r="A68" s="11">
        <v>2011</v>
      </c>
      <c r="B68" s="7">
        <v>389</v>
      </c>
      <c r="C68" s="7">
        <v>952.46199999999999</v>
      </c>
      <c r="D68" s="7">
        <f t="shared" si="0"/>
        <v>21.430394999999997</v>
      </c>
      <c r="F68" s="34"/>
    </row>
    <row r="69" spans="1:68" s="1" customFormat="1" x14ac:dyDescent="0.25">
      <c r="A69" s="11">
        <v>2012</v>
      </c>
      <c r="B69" s="7">
        <v>371</v>
      </c>
      <c r="C69" s="7">
        <v>628.72500000000002</v>
      </c>
      <c r="D69" s="7">
        <f t="shared" si="0"/>
        <v>14.146312499999999</v>
      </c>
      <c r="F69" s="34"/>
    </row>
    <row r="70" spans="1:68" s="1" customFormat="1" x14ac:dyDescent="0.25">
      <c r="A70" s="11">
        <v>2013</v>
      </c>
      <c r="B70" s="7">
        <v>392</v>
      </c>
      <c r="C70" s="7">
        <v>627.096</v>
      </c>
      <c r="D70" s="7">
        <f t="shared" si="0"/>
        <v>14.10966</v>
      </c>
      <c r="F70" s="34"/>
    </row>
    <row r="71" spans="1:68" s="1" customFormat="1" x14ac:dyDescent="0.25">
      <c r="A71" s="11">
        <v>2014</v>
      </c>
      <c r="B71" s="7">
        <v>352</v>
      </c>
      <c r="C71" s="7">
        <v>555.11800000000005</v>
      </c>
      <c r="D71" s="7">
        <f t="shared" si="0"/>
        <v>12.490155</v>
      </c>
      <c r="F71" s="34"/>
    </row>
    <row r="72" spans="1:68" s="1" customFormat="1" x14ac:dyDescent="0.25">
      <c r="A72" s="11">
        <v>2015</v>
      </c>
      <c r="B72" s="7">
        <v>372</v>
      </c>
      <c r="C72" s="7">
        <v>387.24</v>
      </c>
      <c r="D72" s="7">
        <f t="shared" si="0"/>
        <v>8.7128999999999994</v>
      </c>
      <c r="F72" s="34"/>
    </row>
    <row r="73" spans="1:68" s="1" customFormat="1" x14ac:dyDescent="0.25">
      <c r="A73" s="11">
        <v>2016</v>
      </c>
      <c r="B73" s="7">
        <v>370</v>
      </c>
      <c r="C73" s="7">
        <v>346.61599999999999</v>
      </c>
      <c r="D73" s="7">
        <f t="shared" si="0"/>
        <v>7.7988599999999995</v>
      </c>
      <c r="F73" s="34"/>
    </row>
    <row r="74" spans="1:68" s="1" customFormat="1" x14ac:dyDescent="0.25">
      <c r="A74" s="11">
        <v>2017</v>
      </c>
      <c r="B74" s="7">
        <v>401</v>
      </c>
      <c r="C74" s="7">
        <v>321.06</v>
      </c>
      <c r="D74" s="7">
        <f t="shared" si="0"/>
        <v>7.2238499999999997</v>
      </c>
      <c r="F74" s="34"/>
    </row>
    <row r="75" spans="1:68" s="1" customFormat="1" x14ac:dyDescent="0.25">
      <c r="A75" s="11">
        <v>2018</v>
      </c>
      <c r="B75" s="7">
        <v>355</v>
      </c>
      <c r="C75" s="7">
        <v>437.02</v>
      </c>
      <c r="D75" s="7">
        <f t="shared" si="0"/>
        <v>9.8329499999999985</v>
      </c>
      <c r="F75" s="34"/>
    </row>
    <row r="76" spans="1:68" s="1" customFormat="1" x14ac:dyDescent="0.25">
      <c r="A76" s="11">
        <v>2019</v>
      </c>
      <c r="B76" s="7">
        <v>352</v>
      </c>
      <c r="C76" s="7">
        <v>413.42700000000002</v>
      </c>
      <c r="D76" s="7">
        <f t="shared" si="0"/>
        <v>9.3021075</v>
      </c>
      <c r="F76" s="34"/>
    </row>
    <row r="77" spans="1:68" s="1" customFormat="1" x14ac:dyDescent="0.25">
      <c r="A77" s="11">
        <v>2020</v>
      </c>
      <c r="B77" s="7">
        <v>349</v>
      </c>
      <c r="D77" s="8"/>
    </row>
    <row r="78" spans="1:68" s="4" customFormat="1" x14ac:dyDescent="0.25">
      <c r="A78" s="2"/>
      <c r="B78" s="6"/>
      <c r="C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row>
    <row r="79" spans="1:68" s="4" customFormat="1" x14ac:dyDescent="0.25">
      <c r="A79" s="2"/>
      <c r="C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row>
    <row r="80" spans="1:68" s="4" customFormat="1" x14ac:dyDescent="0.25">
      <c r="A80" s="2"/>
      <c r="C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row>
    <row r="82" spans="1:68" x14ac:dyDescent="0.25">
      <c r="B82" s="14"/>
      <c r="C82" s="7"/>
    </row>
    <row r="83" spans="1:68" x14ac:dyDescent="0.25">
      <c r="B83" s="14"/>
      <c r="C83" s="7"/>
    </row>
    <row r="84" spans="1:68" x14ac:dyDescent="0.25">
      <c r="B84" s="14"/>
      <c r="C84" s="7"/>
    </row>
    <row r="85" spans="1:68" x14ac:dyDescent="0.25">
      <c r="B85" s="14"/>
      <c r="C85" s="7"/>
    </row>
    <row r="86" spans="1:68" x14ac:dyDescent="0.25">
      <c r="B86" s="14"/>
      <c r="C86" s="7"/>
    </row>
    <row r="87" spans="1:68" s="4" customFormat="1" x14ac:dyDescent="0.25">
      <c r="A87" s="2"/>
      <c r="B87" s="6"/>
      <c r="C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row>
    <row r="88" spans="1:68" s="4" customFormat="1" x14ac:dyDescent="0.25">
      <c r="A88" s="2"/>
      <c r="B88" s="6"/>
      <c r="C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9125-5F59-4D2B-B790-D44D45AA199C}">
  <dimension ref="A1:BN88"/>
  <sheetViews>
    <sheetView zoomScale="83" zoomScaleNormal="70" workbookViewId="0">
      <pane xSplit="1" ySplit="1" topLeftCell="B2" activePane="bottomRight" state="frozen"/>
      <selection pane="topRight" activeCell="B1" sqref="B1"/>
      <selection pane="bottomLeft" activeCell="A2" sqref="A2"/>
      <selection pane="bottomRight" activeCell="D20" sqref="D20"/>
    </sheetView>
  </sheetViews>
  <sheetFormatPr defaultColWidth="10.7109375" defaultRowHeight="15" x14ac:dyDescent="0.25"/>
  <cols>
    <col min="1" max="1" width="9.28515625" style="10" customWidth="1"/>
    <col min="2" max="3" width="20.7109375" style="7" customWidth="1"/>
    <col min="4" max="4" width="26.42578125" style="4" customWidth="1"/>
    <col min="6" max="16384" width="10.7109375" style="6"/>
  </cols>
  <sheetData>
    <row r="1" spans="1:4" s="21" customFormat="1" x14ac:dyDescent="0.25">
      <c r="A1" s="20" t="s">
        <v>0</v>
      </c>
      <c r="B1" s="33" t="s">
        <v>1</v>
      </c>
      <c r="C1" s="31" t="s">
        <v>2</v>
      </c>
      <c r="D1" s="5" t="s">
        <v>21</v>
      </c>
    </row>
    <row r="2" spans="1:4" x14ac:dyDescent="0.25">
      <c r="A2" s="11">
        <v>1945</v>
      </c>
      <c r="D2" s="8"/>
    </row>
    <row r="3" spans="1:4" x14ac:dyDescent="0.25">
      <c r="A3" s="11">
        <v>1946</v>
      </c>
      <c r="D3" s="8"/>
    </row>
    <row r="4" spans="1:4" x14ac:dyDescent="0.25">
      <c r="A4" s="11">
        <v>1947</v>
      </c>
      <c r="D4" s="8"/>
    </row>
    <row r="5" spans="1:4" x14ac:dyDescent="0.25">
      <c r="A5" s="11">
        <v>1948</v>
      </c>
      <c r="D5" s="8"/>
    </row>
    <row r="6" spans="1:4" x14ac:dyDescent="0.25">
      <c r="A6" s="11">
        <v>1949</v>
      </c>
    </row>
    <row r="7" spans="1:4" x14ac:dyDescent="0.25">
      <c r="A7" s="11">
        <v>1950</v>
      </c>
      <c r="B7" s="7">
        <f>43.23+12.37</f>
        <v>55.599999999999994</v>
      </c>
    </row>
    <row r="8" spans="1:4" x14ac:dyDescent="0.25">
      <c r="A8" s="11">
        <v>1951</v>
      </c>
      <c r="D8" s="8"/>
    </row>
    <row r="9" spans="1:4" x14ac:dyDescent="0.25">
      <c r="A9" s="11">
        <v>1952</v>
      </c>
      <c r="B9" s="7">
        <f>27.994+23.667</f>
        <v>51.661000000000001</v>
      </c>
      <c r="D9" s="8"/>
    </row>
    <row r="10" spans="1:4" x14ac:dyDescent="0.25">
      <c r="A10" s="11">
        <v>1953</v>
      </c>
      <c r="B10" s="7">
        <f>29.552+25.651</f>
        <v>55.203000000000003</v>
      </c>
      <c r="D10" s="8"/>
    </row>
    <row r="11" spans="1:4" x14ac:dyDescent="0.25">
      <c r="A11" s="11">
        <v>1954</v>
      </c>
      <c r="B11" s="7">
        <f>28.502+23.427</f>
        <v>51.929000000000002</v>
      </c>
      <c r="D11" s="8"/>
    </row>
    <row r="12" spans="1:4" x14ac:dyDescent="0.25">
      <c r="A12" s="11">
        <v>1955</v>
      </c>
      <c r="B12" s="7">
        <v>51.9</v>
      </c>
      <c r="D12" s="6"/>
    </row>
    <row r="13" spans="1:4" x14ac:dyDescent="0.25">
      <c r="A13" s="11">
        <v>1956</v>
      </c>
      <c r="B13" s="8"/>
      <c r="D13" s="6"/>
    </row>
    <row r="14" spans="1:4" x14ac:dyDescent="0.25">
      <c r="A14" s="11">
        <v>1957</v>
      </c>
      <c r="B14" s="7">
        <f>13.5/100*356.245</f>
        <v>48.093075000000006</v>
      </c>
      <c r="D14" s="6"/>
    </row>
    <row r="15" spans="1:4" x14ac:dyDescent="0.25">
      <c r="A15" s="11">
        <v>1958</v>
      </c>
      <c r="D15" s="8"/>
    </row>
    <row r="16" spans="1:4" x14ac:dyDescent="0.25">
      <c r="A16" s="11">
        <v>1959</v>
      </c>
      <c r="D16" s="8"/>
    </row>
    <row r="17" spans="1:4" x14ac:dyDescent="0.25">
      <c r="A17" s="11">
        <v>1960</v>
      </c>
      <c r="D17" s="8"/>
    </row>
    <row r="18" spans="1:4" x14ac:dyDescent="0.25">
      <c r="A18" s="11">
        <v>1961</v>
      </c>
      <c r="D18" s="8"/>
    </row>
    <row r="19" spans="1:4" x14ac:dyDescent="0.25">
      <c r="A19" s="11">
        <v>1962</v>
      </c>
      <c r="B19" s="7">
        <v>142.80000000000001</v>
      </c>
      <c r="D19" s="8"/>
    </row>
    <row r="20" spans="1:4" x14ac:dyDescent="0.25">
      <c r="A20" s="11">
        <v>1963</v>
      </c>
      <c r="D20" s="8"/>
    </row>
    <row r="21" spans="1:4" x14ac:dyDescent="0.25">
      <c r="A21" s="11">
        <v>1964</v>
      </c>
      <c r="D21" s="8"/>
    </row>
    <row r="22" spans="1:4" x14ac:dyDescent="0.25">
      <c r="A22" s="11">
        <v>1965</v>
      </c>
      <c r="D22" s="8"/>
    </row>
    <row r="23" spans="1:4" x14ac:dyDescent="0.25">
      <c r="A23" s="11">
        <v>1966</v>
      </c>
      <c r="B23" s="7">
        <v>137.1</v>
      </c>
      <c r="D23" s="8"/>
    </row>
    <row r="24" spans="1:4" x14ac:dyDescent="0.25">
      <c r="A24" s="11">
        <v>1967</v>
      </c>
      <c r="D24" s="8"/>
    </row>
    <row r="25" spans="1:4" x14ac:dyDescent="0.25">
      <c r="A25" s="11">
        <v>1968</v>
      </c>
      <c r="B25" s="7">
        <v>159</v>
      </c>
      <c r="D25" s="8"/>
    </row>
    <row r="26" spans="1:4" x14ac:dyDescent="0.25">
      <c r="A26" s="11">
        <v>1969</v>
      </c>
      <c r="D26" s="8"/>
    </row>
    <row r="27" spans="1:4" x14ac:dyDescent="0.25">
      <c r="A27" s="11">
        <v>1970</v>
      </c>
      <c r="B27" s="36">
        <v>150</v>
      </c>
      <c r="D27" s="7"/>
    </row>
    <row r="28" spans="1:4" x14ac:dyDescent="0.25">
      <c r="A28" s="11">
        <v>1971</v>
      </c>
      <c r="B28" s="36">
        <v>159.85</v>
      </c>
      <c r="D28" s="7"/>
    </row>
    <row r="29" spans="1:4" x14ac:dyDescent="0.25">
      <c r="A29" s="11">
        <v>1972</v>
      </c>
      <c r="B29" s="36">
        <v>179.55</v>
      </c>
      <c r="D29" s="7"/>
    </row>
    <row r="30" spans="1:4" x14ac:dyDescent="0.25">
      <c r="A30" s="11">
        <v>1973</v>
      </c>
      <c r="B30" s="36">
        <v>208.79</v>
      </c>
      <c r="D30" s="7"/>
    </row>
    <row r="31" spans="1:4" x14ac:dyDescent="0.25">
      <c r="A31" s="11">
        <v>1974</v>
      </c>
      <c r="B31" s="36">
        <v>233.89</v>
      </c>
      <c r="D31" s="7"/>
    </row>
    <row r="32" spans="1:4" x14ac:dyDescent="0.25">
      <c r="A32" s="11">
        <v>1975</v>
      </c>
      <c r="B32" s="36">
        <v>204.02</v>
      </c>
      <c r="D32" s="7"/>
    </row>
    <row r="33" spans="1:4" x14ac:dyDescent="0.25">
      <c r="A33" s="11">
        <v>1976</v>
      </c>
      <c r="B33" s="36">
        <v>225.31</v>
      </c>
      <c r="D33" s="7"/>
    </row>
    <row r="34" spans="1:4" x14ac:dyDescent="0.25">
      <c r="A34" s="11">
        <v>1977</v>
      </c>
      <c r="B34" s="36">
        <v>248.19</v>
      </c>
      <c r="D34" s="7"/>
    </row>
    <row r="35" spans="1:4" x14ac:dyDescent="0.25">
      <c r="A35" s="11">
        <v>1978</v>
      </c>
      <c r="B35" s="36">
        <v>263.45</v>
      </c>
      <c r="D35" s="7"/>
    </row>
    <row r="36" spans="1:4" x14ac:dyDescent="0.25">
      <c r="A36" s="11">
        <v>1979</v>
      </c>
      <c r="B36" s="36">
        <v>300.63</v>
      </c>
      <c r="D36" s="8"/>
    </row>
    <row r="37" spans="1:4" x14ac:dyDescent="0.25">
      <c r="A37" s="11">
        <v>1980</v>
      </c>
      <c r="B37" s="36">
        <v>317.79000000000002</v>
      </c>
      <c r="D37" s="8"/>
    </row>
    <row r="38" spans="1:4" x14ac:dyDescent="0.25">
      <c r="A38" s="11">
        <v>1981</v>
      </c>
      <c r="B38" s="36">
        <v>333.36</v>
      </c>
      <c r="D38" s="8"/>
    </row>
    <row r="39" spans="1:4" x14ac:dyDescent="0.25">
      <c r="A39" s="11">
        <v>1982</v>
      </c>
      <c r="B39" s="36">
        <v>332.41</v>
      </c>
      <c r="D39" s="7"/>
    </row>
    <row r="40" spans="1:4" x14ac:dyDescent="0.25">
      <c r="A40" s="11">
        <v>1983</v>
      </c>
      <c r="B40" s="36">
        <v>358.47</v>
      </c>
      <c r="D40" s="7"/>
    </row>
    <row r="41" spans="1:4" x14ac:dyDescent="0.25">
      <c r="A41" s="11">
        <v>1984</v>
      </c>
      <c r="B41" s="36">
        <v>381.67</v>
      </c>
      <c r="D41" s="7"/>
    </row>
    <row r="42" spans="1:4" x14ac:dyDescent="0.25">
      <c r="A42" s="11">
        <v>1985</v>
      </c>
      <c r="B42" s="36">
        <v>395.65</v>
      </c>
      <c r="D42" s="7"/>
    </row>
    <row r="43" spans="1:4" x14ac:dyDescent="0.25">
      <c r="A43" s="11">
        <v>1986</v>
      </c>
      <c r="B43" s="36">
        <v>360.69</v>
      </c>
      <c r="D43" s="7"/>
    </row>
    <row r="44" spans="1:4" x14ac:dyDescent="0.25">
      <c r="A44" s="11">
        <v>1987</v>
      </c>
      <c r="B44" s="36">
        <v>382.94</v>
      </c>
      <c r="D44" s="7"/>
    </row>
    <row r="45" spans="1:4" x14ac:dyDescent="0.25">
      <c r="A45" s="11">
        <v>1988</v>
      </c>
      <c r="D45" s="7"/>
    </row>
    <row r="46" spans="1:4" x14ac:dyDescent="0.25">
      <c r="A46" s="11">
        <v>1989</v>
      </c>
      <c r="B46" s="7">
        <f>2500*0.002*44706/1000</f>
        <v>223.53</v>
      </c>
      <c r="C46" s="7">
        <v>555</v>
      </c>
      <c r="D46" s="7">
        <f t="shared" ref="D46:D50" si="0">C46*2.5*0.009</f>
        <v>12.487499999999999</v>
      </c>
    </row>
    <row r="47" spans="1:4" x14ac:dyDescent="0.25">
      <c r="A47" s="11">
        <v>1990</v>
      </c>
      <c r="B47" s="7">
        <f>2500*0.002*63405/1000</f>
        <v>317.02499999999998</v>
      </c>
      <c r="C47" s="7">
        <v>673.33333333333337</v>
      </c>
      <c r="D47" s="7">
        <f t="shared" si="0"/>
        <v>15.15</v>
      </c>
    </row>
    <row r="48" spans="1:4" x14ac:dyDescent="0.25">
      <c r="A48" s="11">
        <v>1991</v>
      </c>
      <c r="B48" s="7">
        <f>2500*0.002*(524+52939)/1000</f>
        <v>267.315</v>
      </c>
      <c r="C48" s="7">
        <v>509.33333333333331</v>
      </c>
      <c r="D48" s="7">
        <f t="shared" si="0"/>
        <v>11.459999999999999</v>
      </c>
    </row>
    <row r="49" spans="1:4" x14ac:dyDescent="0.25">
      <c r="A49" s="11">
        <v>1992</v>
      </c>
      <c r="B49" s="7">
        <f>2500*0.002*(678+58555)/1000</f>
        <v>296.16500000000002</v>
      </c>
      <c r="C49" s="7">
        <v>506</v>
      </c>
      <c r="D49" s="7">
        <f t="shared" si="0"/>
        <v>11.385</v>
      </c>
    </row>
    <row r="50" spans="1:4" x14ac:dyDescent="0.25">
      <c r="A50" s="11">
        <v>1993</v>
      </c>
      <c r="B50" s="7">
        <f>2500*0.002*(590+62095)/1000</f>
        <v>313.42500000000001</v>
      </c>
      <c r="C50" s="7">
        <v>614.66666666666663</v>
      </c>
      <c r="D50" s="7">
        <f t="shared" si="0"/>
        <v>13.829999999999998</v>
      </c>
    </row>
    <row r="51" spans="1:4" x14ac:dyDescent="0.25">
      <c r="A51" s="11">
        <v>1994</v>
      </c>
      <c r="B51" s="7">
        <f>0.191*1900</f>
        <v>362.90000000000003</v>
      </c>
      <c r="D51" s="7"/>
    </row>
    <row r="52" spans="1:4" x14ac:dyDescent="0.25">
      <c r="A52" s="11">
        <v>1995</v>
      </c>
      <c r="B52" s="7">
        <v>263.60715000000005</v>
      </c>
      <c r="C52" s="8">
        <v>685.298</v>
      </c>
      <c r="D52" s="7">
        <f t="shared" ref="D52:D76" si="1">C52*2.5*0.009</f>
        <v>15.419204999999998</v>
      </c>
    </row>
    <row r="53" spans="1:4" x14ac:dyDescent="0.25">
      <c r="A53" s="11">
        <v>1996</v>
      </c>
      <c r="B53" s="7">
        <v>297.09339499999999</v>
      </c>
      <c r="C53" s="8">
        <v>765.65300000000002</v>
      </c>
      <c r="D53" s="7">
        <f t="shared" si="1"/>
        <v>17.227192500000001</v>
      </c>
    </row>
    <row r="54" spans="1:4" x14ac:dyDescent="0.25">
      <c r="A54" s="11">
        <v>1997</v>
      </c>
      <c r="B54" s="7">
        <v>335.95051499999994</v>
      </c>
      <c r="C54" s="8">
        <v>654.58600000000001</v>
      </c>
      <c r="D54" s="7">
        <f t="shared" si="1"/>
        <v>14.728185</v>
      </c>
    </row>
    <row r="55" spans="1:4" x14ac:dyDescent="0.25">
      <c r="A55" s="11">
        <v>1998</v>
      </c>
      <c r="B55" s="7">
        <v>322.95862500000004</v>
      </c>
      <c r="C55" s="8">
        <v>469.65499999999997</v>
      </c>
      <c r="D55" s="7">
        <f t="shared" si="1"/>
        <v>10.567237499999997</v>
      </c>
    </row>
    <row r="56" spans="1:4" x14ac:dyDescent="0.25">
      <c r="A56" s="11">
        <v>1999</v>
      </c>
      <c r="B56" s="7">
        <v>303.11563000000001</v>
      </c>
      <c r="C56" s="8">
        <v>281.13200000000001</v>
      </c>
      <c r="D56" s="7">
        <f t="shared" si="1"/>
        <v>6.3254700000000001</v>
      </c>
    </row>
    <row r="57" spans="1:4" x14ac:dyDescent="0.25">
      <c r="A57" s="11">
        <v>2000</v>
      </c>
      <c r="B57" s="7">
        <v>305.002365</v>
      </c>
      <c r="C57" s="8">
        <v>268.596</v>
      </c>
      <c r="D57" s="7">
        <f t="shared" si="1"/>
        <v>6.0434099999999997</v>
      </c>
    </row>
    <row r="58" spans="1:4" x14ac:dyDescent="0.25">
      <c r="A58" s="11">
        <v>2001</v>
      </c>
      <c r="B58" s="7">
        <v>288.50876499999993</v>
      </c>
      <c r="C58" s="8">
        <v>169.071</v>
      </c>
      <c r="D58" s="7">
        <f t="shared" si="1"/>
        <v>3.8040974999999997</v>
      </c>
    </row>
    <row r="59" spans="1:4" x14ac:dyDescent="0.25">
      <c r="A59" s="11">
        <v>2002</v>
      </c>
      <c r="B59" s="7">
        <v>382.51540500000004</v>
      </c>
      <c r="C59" s="8">
        <v>284.79199999999997</v>
      </c>
      <c r="D59" s="7">
        <f t="shared" si="1"/>
        <v>6.4078199999999983</v>
      </c>
    </row>
    <row r="60" spans="1:4" x14ac:dyDescent="0.25">
      <c r="A60" s="11">
        <v>2003</v>
      </c>
      <c r="B60" s="7">
        <f>0.32*937.14</f>
        <v>299.88479999999998</v>
      </c>
      <c r="C60" s="8">
        <v>317.03800000000001</v>
      </c>
      <c r="D60" s="7">
        <f t="shared" si="1"/>
        <v>7.1333549999999999</v>
      </c>
    </row>
    <row r="61" spans="1:4" x14ac:dyDescent="0.25">
      <c r="A61" s="11">
        <v>2004</v>
      </c>
      <c r="B61" s="7">
        <v>370</v>
      </c>
      <c r="C61" s="8">
        <v>320.613</v>
      </c>
      <c r="D61" s="7">
        <f t="shared" si="1"/>
        <v>7.2137924999999994</v>
      </c>
    </row>
    <row r="62" spans="1:4" x14ac:dyDescent="0.25">
      <c r="A62" s="11">
        <v>2005</v>
      </c>
      <c r="B62" s="7">
        <v>371.43020500000006</v>
      </c>
      <c r="C62" s="8">
        <v>459.02699999999999</v>
      </c>
      <c r="D62" s="7">
        <f t="shared" si="1"/>
        <v>10.328107499999998</v>
      </c>
    </row>
    <row r="63" spans="1:4" x14ac:dyDescent="0.25">
      <c r="A63" s="11">
        <v>2006</v>
      </c>
      <c r="B63" s="7">
        <f>0.32*1151.222</f>
        <v>368.39103999999998</v>
      </c>
      <c r="C63" s="8">
        <v>497.476</v>
      </c>
      <c r="D63" s="7">
        <f t="shared" si="1"/>
        <v>11.193209999999999</v>
      </c>
    </row>
    <row r="64" spans="1:4" x14ac:dyDescent="0.25">
      <c r="A64" s="11">
        <v>2007</v>
      </c>
      <c r="B64" s="7">
        <f>0.28*1154.847</f>
        <v>323.35716000000002</v>
      </c>
      <c r="C64" s="8">
        <v>459.43</v>
      </c>
      <c r="D64" s="7">
        <f t="shared" si="1"/>
        <v>10.337175</v>
      </c>
    </row>
    <row r="65" spans="1:66" x14ac:dyDescent="0.25">
      <c r="A65" s="11">
        <v>2008</v>
      </c>
      <c r="B65" s="7">
        <f>0.36*992.96</f>
        <v>357.46559999999999</v>
      </c>
      <c r="C65" s="8">
        <v>482.06700000000001</v>
      </c>
      <c r="D65" s="7">
        <f t="shared" si="1"/>
        <v>10.8465075</v>
      </c>
    </row>
    <row r="66" spans="1:66" x14ac:dyDescent="0.25">
      <c r="A66" s="11">
        <v>2009</v>
      </c>
      <c r="B66" s="7">
        <v>290.88218999999998</v>
      </c>
      <c r="C66" s="8">
        <v>415.94900000000001</v>
      </c>
      <c r="D66" s="7">
        <f t="shared" si="1"/>
        <v>9.3588524999999994</v>
      </c>
    </row>
    <row r="67" spans="1:66" x14ac:dyDescent="0.25">
      <c r="A67" s="11">
        <v>2010</v>
      </c>
      <c r="B67" s="7">
        <v>302.57254499999993</v>
      </c>
      <c r="C67" s="8">
        <v>492.572</v>
      </c>
      <c r="D67" s="7">
        <f t="shared" si="1"/>
        <v>11.08287</v>
      </c>
    </row>
    <row r="68" spans="1:66" x14ac:dyDescent="0.25">
      <c r="A68" s="11">
        <v>2011</v>
      </c>
      <c r="B68" s="7">
        <v>362.22924499999993</v>
      </c>
      <c r="C68" s="8">
        <v>405.72899999999998</v>
      </c>
      <c r="D68" s="7">
        <f t="shared" si="1"/>
        <v>9.1289024999999988</v>
      </c>
    </row>
    <row r="69" spans="1:66" x14ac:dyDescent="0.25">
      <c r="A69" s="11">
        <v>2012</v>
      </c>
      <c r="B69" s="7">
        <v>297.21083499999997</v>
      </c>
      <c r="C69" s="8">
        <v>429.05399999999997</v>
      </c>
      <c r="D69" s="7">
        <f t="shared" si="1"/>
        <v>9.653715</v>
      </c>
    </row>
    <row r="70" spans="1:66" x14ac:dyDescent="0.25">
      <c r="A70" s="11">
        <v>2013</v>
      </c>
      <c r="B70" s="7">
        <v>296.03326999999996</v>
      </c>
      <c r="C70" s="8">
        <v>462.90199999999999</v>
      </c>
      <c r="D70" s="7">
        <f t="shared" si="1"/>
        <v>10.415294999999999</v>
      </c>
    </row>
    <row r="71" spans="1:66" x14ac:dyDescent="0.25">
      <c r="A71" s="11">
        <v>2014</v>
      </c>
      <c r="B71" s="7">
        <v>283.83809999999994</v>
      </c>
      <c r="C71" s="8">
        <v>498.60500000000002</v>
      </c>
      <c r="D71" s="7">
        <f t="shared" si="1"/>
        <v>11.218612499999999</v>
      </c>
    </row>
    <row r="72" spans="1:66" x14ac:dyDescent="0.25">
      <c r="A72" s="11">
        <v>2015</v>
      </c>
      <c r="B72" s="7">
        <v>291.22283499999998</v>
      </c>
      <c r="C72" s="8">
        <v>476.73</v>
      </c>
      <c r="D72" s="7">
        <f t="shared" si="1"/>
        <v>10.726424999999999</v>
      </c>
    </row>
    <row r="73" spans="1:66" x14ac:dyDescent="0.25">
      <c r="A73" s="11">
        <v>2016</v>
      </c>
      <c r="B73" s="7">
        <v>300.83696999999989</v>
      </c>
      <c r="C73" s="8">
        <v>507.42700000000002</v>
      </c>
      <c r="D73" s="7">
        <f t="shared" si="1"/>
        <v>11.4171075</v>
      </c>
    </row>
    <row r="74" spans="1:66" x14ac:dyDescent="0.25">
      <c r="A74" s="11">
        <v>2017</v>
      </c>
      <c r="B74" s="7">
        <v>333.30807000000004</v>
      </c>
      <c r="C74" s="8">
        <v>630.41999999999996</v>
      </c>
      <c r="D74" s="7">
        <f t="shared" si="1"/>
        <v>14.184449999999998</v>
      </c>
    </row>
    <row r="75" spans="1:66" x14ac:dyDescent="0.25">
      <c r="A75" s="11">
        <v>2018</v>
      </c>
      <c r="B75" s="7">
        <v>349.18344500000001</v>
      </c>
      <c r="C75" s="8">
        <v>651.88099999999997</v>
      </c>
      <c r="D75" s="7">
        <f t="shared" si="1"/>
        <v>14.667322499999997</v>
      </c>
    </row>
    <row r="76" spans="1:66" x14ac:dyDescent="0.25">
      <c r="A76" s="11">
        <v>2019</v>
      </c>
      <c r="B76" s="7">
        <v>451.41748000000001</v>
      </c>
      <c r="C76" s="8">
        <v>820.09100000000001</v>
      </c>
      <c r="D76" s="7">
        <f t="shared" si="1"/>
        <v>18.452047499999999</v>
      </c>
    </row>
    <row r="77" spans="1:66" x14ac:dyDescent="0.25">
      <c r="A77" s="11">
        <v>2020</v>
      </c>
      <c r="D77" s="8"/>
    </row>
    <row r="78" spans="1:66" s="4" customFormat="1" x14ac:dyDescent="0.25">
      <c r="A78" s="10"/>
      <c r="B78" s="7"/>
      <c r="C78" s="7"/>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row>
    <row r="79" spans="1:66" s="4" customFormat="1" x14ac:dyDescent="0.25">
      <c r="A79" s="10"/>
      <c r="B79" s="7"/>
      <c r="C79" s="7"/>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row>
    <row r="80" spans="1:66" s="4" customFormat="1" x14ac:dyDescent="0.25">
      <c r="A80" s="10"/>
      <c r="B80" s="7"/>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row>
    <row r="87" spans="1:66" s="4" customFormat="1" x14ac:dyDescent="0.25">
      <c r="A87" s="10"/>
      <c r="B87" s="7"/>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row>
    <row r="88" spans="1:66" s="4" customFormat="1" x14ac:dyDescent="0.25">
      <c r="A88" s="10"/>
      <c r="B88" s="7"/>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8A2BA-3FC0-4741-B7C4-68BAB960C857}">
  <dimension ref="A1:F77"/>
  <sheetViews>
    <sheetView topLeftCell="A7" workbookViewId="0">
      <selection activeCell="E30" sqref="E30"/>
    </sheetView>
  </sheetViews>
  <sheetFormatPr defaultRowHeight="15" x14ac:dyDescent="0.25"/>
  <cols>
    <col min="1" max="1" width="9.28515625" style="2" customWidth="1"/>
    <col min="2" max="2" width="17" customWidth="1"/>
  </cols>
  <sheetData>
    <row r="1" spans="1:6" x14ac:dyDescent="0.25">
      <c r="A1" s="15" t="s">
        <v>0</v>
      </c>
      <c r="B1" s="5" t="s">
        <v>22</v>
      </c>
    </row>
    <row r="2" spans="1:6" x14ac:dyDescent="0.25">
      <c r="A2" s="11">
        <v>1945</v>
      </c>
      <c r="B2" s="38">
        <v>39660</v>
      </c>
    </row>
    <row r="3" spans="1:6" x14ac:dyDescent="0.25">
      <c r="A3" s="11">
        <v>1946</v>
      </c>
      <c r="B3" s="38">
        <v>40287</v>
      </c>
    </row>
    <row r="4" spans="1:6" x14ac:dyDescent="0.25">
      <c r="A4" s="11">
        <v>1947</v>
      </c>
      <c r="B4" s="38">
        <v>40679</v>
      </c>
    </row>
    <row r="5" spans="1:6" x14ac:dyDescent="0.25">
      <c r="A5" s="11">
        <v>1948</v>
      </c>
      <c r="B5" s="38">
        <v>41112</v>
      </c>
    </row>
    <row r="6" spans="1:6" x14ac:dyDescent="0.25">
      <c r="A6" s="11">
        <v>1949</v>
      </c>
      <c r="B6" s="38">
        <v>41480</v>
      </c>
    </row>
    <row r="7" spans="1:6" x14ac:dyDescent="0.25">
      <c r="A7" s="11">
        <v>1950</v>
      </c>
      <c r="B7" s="38">
        <v>41647.258000000002</v>
      </c>
      <c r="F7" s="37"/>
    </row>
    <row r="8" spans="1:6" x14ac:dyDescent="0.25">
      <c r="A8" s="11">
        <v>1951</v>
      </c>
      <c r="B8" s="38">
        <v>42010.088000000003</v>
      </c>
      <c r="E8" s="37"/>
      <c r="F8" s="37"/>
    </row>
    <row r="9" spans="1:6" x14ac:dyDescent="0.25">
      <c r="A9" s="11">
        <v>1952</v>
      </c>
      <c r="B9" s="38">
        <v>42300.981</v>
      </c>
      <c r="E9" s="37"/>
      <c r="F9" s="37"/>
    </row>
    <row r="10" spans="1:6" x14ac:dyDescent="0.25">
      <c r="A10" s="11">
        <v>1953</v>
      </c>
      <c r="B10" s="38">
        <v>42618.353999999999</v>
      </c>
      <c r="E10" s="37"/>
      <c r="F10" s="37"/>
    </row>
    <row r="11" spans="1:6" x14ac:dyDescent="0.25">
      <c r="A11" s="11">
        <v>1954</v>
      </c>
      <c r="B11" s="38">
        <v>42885.137999999999</v>
      </c>
      <c r="E11" s="37"/>
      <c r="F11" s="37"/>
    </row>
    <row r="12" spans="1:6" x14ac:dyDescent="0.25">
      <c r="A12" s="11">
        <v>1955</v>
      </c>
      <c r="B12" s="38">
        <v>43227.872000000003</v>
      </c>
      <c r="E12" s="37"/>
      <c r="F12" s="37"/>
    </row>
    <row r="13" spans="1:6" x14ac:dyDescent="0.25">
      <c r="A13" s="11">
        <v>1956</v>
      </c>
      <c r="B13" s="38">
        <v>43627.466999999997</v>
      </c>
      <c r="E13" s="37"/>
      <c r="F13" s="37"/>
    </row>
    <row r="14" spans="1:6" x14ac:dyDescent="0.25">
      <c r="A14" s="11">
        <v>1957</v>
      </c>
      <c r="B14" s="38">
        <v>44058.682999999997</v>
      </c>
      <c r="E14" s="37"/>
      <c r="F14" s="37"/>
    </row>
    <row r="15" spans="1:6" x14ac:dyDescent="0.25">
      <c r="A15" s="11">
        <v>1958</v>
      </c>
      <c r="B15" s="38">
        <v>44563.042999999998</v>
      </c>
      <c r="E15" s="37"/>
      <c r="F15" s="37"/>
    </row>
    <row r="16" spans="1:6" x14ac:dyDescent="0.25">
      <c r="A16" s="11">
        <v>1959</v>
      </c>
      <c r="B16" s="38">
        <v>45014.661999999997</v>
      </c>
      <c r="E16" s="37"/>
      <c r="F16" s="37"/>
    </row>
    <row r="17" spans="1:6" x14ac:dyDescent="0.25">
      <c r="A17" s="11">
        <v>1960</v>
      </c>
      <c r="B17" s="38">
        <v>45684</v>
      </c>
      <c r="E17" s="37"/>
      <c r="F17" s="37"/>
    </row>
    <row r="18" spans="1:6" x14ac:dyDescent="0.25">
      <c r="A18" s="11">
        <v>1961</v>
      </c>
      <c r="B18" s="38">
        <v>46163</v>
      </c>
      <c r="E18" s="37"/>
      <c r="F18" s="37"/>
    </row>
    <row r="19" spans="1:6" x14ac:dyDescent="0.25">
      <c r="A19" s="11">
        <v>1962</v>
      </c>
      <c r="B19" s="38">
        <v>46998</v>
      </c>
      <c r="E19" s="37"/>
      <c r="F19" s="37"/>
    </row>
    <row r="20" spans="1:6" x14ac:dyDescent="0.25">
      <c r="A20" s="11">
        <v>1963</v>
      </c>
      <c r="B20" s="38">
        <v>47816</v>
      </c>
      <c r="E20" s="37"/>
      <c r="F20" s="37"/>
    </row>
    <row r="21" spans="1:6" x14ac:dyDescent="0.25">
      <c r="A21" s="11">
        <v>1964</v>
      </c>
      <c r="B21" s="38">
        <v>48310</v>
      </c>
      <c r="E21" s="37"/>
      <c r="F21" s="37"/>
    </row>
    <row r="22" spans="1:6" x14ac:dyDescent="0.25">
      <c r="A22" s="11">
        <v>1965</v>
      </c>
      <c r="B22" s="38">
        <v>48758</v>
      </c>
    </row>
    <row r="23" spans="1:6" x14ac:dyDescent="0.25">
      <c r="A23" s="11">
        <v>1966</v>
      </c>
      <c r="B23" s="38">
        <v>49164</v>
      </c>
    </row>
    <row r="24" spans="1:6" x14ac:dyDescent="0.25">
      <c r="A24" s="11">
        <v>1967</v>
      </c>
      <c r="B24" s="38">
        <v>49548</v>
      </c>
    </row>
    <row r="25" spans="1:6" x14ac:dyDescent="0.25">
      <c r="A25" s="11">
        <v>1968</v>
      </c>
      <c r="B25" s="38">
        <v>49915</v>
      </c>
    </row>
    <row r="26" spans="1:6" x14ac:dyDescent="0.25">
      <c r="A26" s="11">
        <v>1969</v>
      </c>
      <c r="B26" s="38">
        <v>50318</v>
      </c>
    </row>
    <row r="27" spans="1:6" x14ac:dyDescent="0.25">
      <c r="A27" s="11">
        <v>1970</v>
      </c>
      <c r="B27" s="38">
        <v>50772</v>
      </c>
    </row>
    <row r="28" spans="1:6" x14ac:dyDescent="0.25">
      <c r="A28" s="11">
        <v>1971</v>
      </c>
      <c r="B28" s="38">
        <v>51251</v>
      </c>
    </row>
    <row r="29" spans="1:6" x14ac:dyDescent="0.25">
      <c r="A29" s="11">
        <v>1972</v>
      </c>
      <c r="B29" s="38">
        <v>51701</v>
      </c>
    </row>
    <row r="30" spans="1:6" x14ac:dyDescent="0.25">
      <c r="A30" s="11">
        <v>1973</v>
      </c>
      <c r="B30" s="38">
        <v>52118</v>
      </c>
    </row>
    <row r="31" spans="1:6" x14ac:dyDescent="0.25">
      <c r="A31" s="11">
        <v>1974</v>
      </c>
      <c r="B31" s="38">
        <v>52460</v>
      </c>
    </row>
    <row r="32" spans="1:6" x14ac:dyDescent="0.25">
      <c r="A32" s="11">
        <v>1975</v>
      </c>
      <c r="B32" s="38">
        <v>52699</v>
      </c>
    </row>
    <row r="33" spans="1:2" x14ac:dyDescent="0.25">
      <c r="A33" s="11">
        <v>1976</v>
      </c>
      <c r="B33" s="38">
        <v>52909</v>
      </c>
    </row>
    <row r="34" spans="1:2" x14ac:dyDescent="0.25">
      <c r="A34" s="11">
        <v>1977</v>
      </c>
      <c r="B34" s="38">
        <v>53145</v>
      </c>
    </row>
    <row r="35" spans="1:2" x14ac:dyDescent="0.25">
      <c r="A35" s="11">
        <v>1978</v>
      </c>
      <c r="B35" s="38">
        <v>53376</v>
      </c>
    </row>
    <row r="36" spans="1:2" x14ac:dyDescent="0.25">
      <c r="A36" s="11">
        <v>1979</v>
      </c>
      <c r="B36" s="38">
        <v>53606</v>
      </c>
    </row>
    <row r="37" spans="1:2" x14ac:dyDescent="0.25">
      <c r="A37" s="11">
        <v>1980</v>
      </c>
      <c r="B37" s="38">
        <v>53880</v>
      </c>
    </row>
    <row r="38" spans="1:2" x14ac:dyDescent="0.25">
      <c r="A38" s="11">
        <v>1981</v>
      </c>
      <c r="B38" s="38">
        <v>54182</v>
      </c>
    </row>
    <row r="39" spans="1:2" x14ac:dyDescent="0.25">
      <c r="A39" s="11">
        <v>1982</v>
      </c>
      <c r="B39" s="38">
        <v>54492</v>
      </c>
    </row>
    <row r="40" spans="1:2" x14ac:dyDescent="0.25">
      <c r="A40" s="11">
        <v>1983</v>
      </c>
      <c r="B40" s="38">
        <v>54772</v>
      </c>
    </row>
    <row r="41" spans="1:2" x14ac:dyDescent="0.25">
      <c r="A41" s="11">
        <v>1984</v>
      </c>
      <c r="B41" s="38">
        <v>55026</v>
      </c>
    </row>
    <row r="42" spans="1:2" x14ac:dyDescent="0.25">
      <c r="A42" s="11">
        <v>1985</v>
      </c>
      <c r="B42" s="38">
        <v>55284</v>
      </c>
    </row>
    <row r="43" spans="1:2" x14ac:dyDescent="0.25">
      <c r="A43" s="11">
        <v>1986</v>
      </c>
      <c r="B43" s="38">
        <v>55547</v>
      </c>
    </row>
    <row r="44" spans="1:2" x14ac:dyDescent="0.25">
      <c r="A44" s="11">
        <v>1987</v>
      </c>
      <c r="B44" s="38">
        <v>55824</v>
      </c>
    </row>
    <row r="45" spans="1:2" x14ac:dyDescent="0.25">
      <c r="A45" s="11">
        <v>1988</v>
      </c>
      <c r="B45" s="38">
        <v>56118</v>
      </c>
    </row>
    <row r="46" spans="1:2" x14ac:dyDescent="0.25">
      <c r="A46" s="11">
        <v>1989</v>
      </c>
      <c r="B46" s="38">
        <v>56423</v>
      </c>
    </row>
    <row r="47" spans="1:2" x14ac:dyDescent="0.25">
      <c r="A47" s="11">
        <v>1990</v>
      </c>
      <c r="B47" s="38">
        <v>56709</v>
      </c>
    </row>
    <row r="48" spans="1:2" x14ac:dyDescent="0.25">
      <c r="A48" s="11">
        <v>1991</v>
      </c>
      <c r="B48" s="38">
        <v>58426</v>
      </c>
    </row>
    <row r="49" spans="1:2" x14ac:dyDescent="0.25">
      <c r="A49" s="11">
        <v>1992</v>
      </c>
      <c r="B49" s="38">
        <v>58712</v>
      </c>
    </row>
    <row r="50" spans="1:2" x14ac:dyDescent="0.25">
      <c r="A50" s="11">
        <v>1993</v>
      </c>
      <c r="B50" s="38">
        <v>58961</v>
      </c>
    </row>
    <row r="51" spans="1:2" x14ac:dyDescent="0.25">
      <c r="A51" s="11">
        <v>1994</v>
      </c>
      <c r="B51" s="38">
        <v>59175</v>
      </c>
    </row>
    <row r="52" spans="1:2" x14ac:dyDescent="0.25">
      <c r="A52" s="11">
        <v>1995</v>
      </c>
      <c r="B52" s="38">
        <v>59384</v>
      </c>
    </row>
    <row r="53" spans="1:2" x14ac:dyDescent="0.25">
      <c r="A53" s="11">
        <v>1996</v>
      </c>
      <c r="B53" s="38">
        <v>59589</v>
      </c>
    </row>
    <row r="54" spans="1:2" x14ac:dyDescent="0.25">
      <c r="A54" s="11">
        <v>1997</v>
      </c>
      <c r="B54" s="38">
        <v>59795</v>
      </c>
    </row>
    <row r="55" spans="1:2" x14ac:dyDescent="0.25">
      <c r="A55" s="11">
        <v>1998</v>
      </c>
      <c r="B55" s="38">
        <v>60011</v>
      </c>
    </row>
    <row r="56" spans="1:2" x14ac:dyDescent="0.25">
      <c r="A56" s="11">
        <v>1999</v>
      </c>
      <c r="B56" s="38">
        <v>60315</v>
      </c>
    </row>
    <row r="57" spans="1:2" x14ac:dyDescent="0.25">
      <c r="A57" s="11">
        <v>2000</v>
      </c>
      <c r="B57" s="38">
        <v>60725</v>
      </c>
    </row>
    <row r="58" spans="1:2" x14ac:dyDescent="0.25">
      <c r="A58" s="11">
        <v>2001</v>
      </c>
      <c r="B58" s="38">
        <v>61163</v>
      </c>
    </row>
    <row r="59" spans="1:2" x14ac:dyDescent="0.25">
      <c r="A59" s="11">
        <v>2002</v>
      </c>
      <c r="B59" s="38">
        <v>61605</v>
      </c>
    </row>
    <row r="60" spans="1:2" x14ac:dyDescent="0.25">
      <c r="A60" s="11">
        <v>2003</v>
      </c>
      <c r="B60" s="38">
        <v>62038</v>
      </c>
    </row>
    <row r="61" spans="1:2" x14ac:dyDescent="0.25">
      <c r="A61" s="11">
        <v>2004</v>
      </c>
      <c r="B61" s="38">
        <v>62491</v>
      </c>
    </row>
    <row r="62" spans="1:2" x14ac:dyDescent="0.25">
      <c r="A62" s="11">
        <v>2005</v>
      </c>
      <c r="B62" s="38">
        <v>62958</v>
      </c>
    </row>
    <row r="63" spans="1:2" x14ac:dyDescent="0.25">
      <c r="A63" s="11">
        <v>2006</v>
      </c>
      <c r="B63" s="38">
        <v>63393</v>
      </c>
    </row>
    <row r="64" spans="1:2" x14ac:dyDescent="0.25">
      <c r="A64" s="11">
        <v>2007</v>
      </c>
      <c r="B64" s="38">
        <v>63781</v>
      </c>
    </row>
    <row r="65" spans="1:2" x14ac:dyDescent="0.25">
      <c r="A65" s="11">
        <v>2008</v>
      </c>
      <c r="B65" s="38">
        <v>64133</v>
      </c>
    </row>
    <row r="66" spans="1:2" x14ac:dyDescent="0.25">
      <c r="A66" s="11">
        <v>2009</v>
      </c>
      <c r="B66" s="38">
        <v>64459</v>
      </c>
    </row>
    <row r="67" spans="1:2" x14ac:dyDescent="0.25">
      <c r="A67" s="11">
        <v>2010</v>
      </c>
      <c r="B67" s="38">
        <v>64773</v>
      </c>
    </row>
    <row r="68" spans="1:2" x14ac:dyDescent="0.25">
      <c r="A68" s="11">
        <v>2011</v>
      </c>
      <c r="B68" s="38">
        <v>65087</v>
      </c>
    </row>
    <row r="69" spans="1:2" x14ac:dyDescent="0.25">
      <c r="A69" s="11">
        <v>2012</v>
      </c>
      <c r="B69" s="38">
        <v>65403</v>
      </c>
    </row>
    <row r="70" spans="1:2" x14ac:dyDescent="0.25">
      <c r="A70" s="11">
        <v>2013</v>
      </c>
      <c r="B70" s="38">
        <v>65736</v>
      </c>
    </row>
    <row r="71" spans="1:2" x14ac:dyDescent="0.25">
      <c r="A71" s="11">
        <v>2014</v>
      </c>
      <c r="B71" s="38">
        <v>66277</v>
      </c>
    </row>
    <row r="72" spans="1:2" x14ac:dyDescent="0.25">
      <c r="A72" s="11">
        <v>2015</v>
      </c>
      <c r="B72" s="38">
        <v>66513</v>
      </c>
    </row>
    <row r="73" spans="1:2" x14ac:dyDescent="0.25">
      <c r="A73" s="11">
        <v>2016</v>
      </c>
      <c r="B73" s="38">
        <v>66686</v>
      </c>
    </row>
    <row r="74" spans="1:2" x14ac:dyDescent="0.25">
      <c r="A74" s="11">
        <v>2017</v>
      </c>
      <c r="B74" s="38">
        <v>66830</v>
      </c>
    </row>
    <row r="75" spans="1:2" x14ac:dyDescent="0.25">
      <c r="A75" s="11">
        <v>2018</v>
      </c>
      <c r="B75" s="38">
        <v>66942</v>
      </c>
    </row>
    <row r="76" spans="1:2" x14ac:dyDescent="0.25">
      <c r="A76" s="11">
        <v>2019</v>
      </c>
      <c r="B76" s="38">
        <v>66990</v>
      </c>
    </row>
    <row r="77" spans="1:2" x14ac:dyDescent="0.25">
      <c r="A77" s="11">
        <v>2020</v>
      </c>
      <c r="B77" s="38">
        <v>67064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A48E-779E-40C0-89AF-5B4D7F3C0E50}">
  <dimension ref="A1:BF88"/>
  <sheetViews>
    <sheetView zoomScale="85" zoomScaleNormal="85" workbookViewId="0">
      <pane xSplit="1" ySplit="1" topLeftCell="F2" activePane="bottomRight" state="frozen"/>
      <selection pane="topRight" activeCell="B1" sqref="B1"/>
      <selection pane="bottomLeft" activeCell="A2" sqref="A2"/>
      <selection pane="bottomRight" activeCell="F37" sqref="F37"/>
    </sheetView>
  </sheetViews>
  <sheetFormatPr defaultColWidth="10.7109375" defaultRowHeight="15" x14ac:dyDescent="0.25"/>
  <cols>
    <col min="1" max="1" width="8" style="27" bestFit="1" customWidth="1"/>
    <col min="2" max="9" width="15.140625" style="24" customWidth="1"/>
    <col min="10" max="10" width="3" style="56" customWidth="1"/>
    <col min="11" max="15" width="12.7109375" style="24" customWidth="1"/>
    <col min="16" max="16384" width="10.7109375" style="24"/>
  </cols>
  <sheetData>
    <row r="1" spans="1:16" s="30" customFormat="1" ht="45" x14ac:dyDescent="0.25">
      <c r="A1" s="29" t="s">
        <v>0</v>
      </c>
      <c r="B1" s="22" t="s">
        <v>15</v>
      </c>
      <c r="C1" s="69" t="s">
        <v>16</v>
      </c>
      <c r="D1" s="69" t="s">
        <v>7</v>
      </c>
      <c r="E1" s="69" t="s">
        <v>17</v>
      </c>
      <c r="F1" s="69" t="s">
        <v>12</v>
      </c>
      <c r="G1" s="69" t="s">
        <v>5</v>
      </c>
      <c r="H1" s="69" t="s">
        <v>6</v>
      </c>
      <c r="I1" s="69" t="s">
        <v>8</v>
      </c>
      <c r="J1" s="51"/>
      <c r="K1" s="5" t="s">
        <v>23</v>
      </c>
      <c r="L1" s="5" t="s">
        <v>18</v>
      </c>
      <c r="M1" s="5" t="s">
        <v>24</v>
      </c>
      <c r="N1" s="5" t="s">
        <v>19</v>
      </c>
      <c r="O1" s="5" t="s">
        <v>20</v>
      </c>
    </row>
    <row r="2" spans="1:16" x14ac:dyDescent="0.25">
      <c r="A2" s="16">
        <v>1945</v>
      </c>
      <c r="B2" s="40">
        <f>1.99/5-C2</f>
        <v>0.38</v>
      </c>
      <c r="C2" s="40">
        <f>0.09/5</f>
        <v>1.7999999999999999E-2</v>
      </c>
      <c r="D2" s="40">
        <f>3.43/5</f>
        <v>0.68600000000000005</v>
      </c>
      <c r="E2" s="40">
        <f>1.03/5</f>
        <v>0.20600000000000002</v>
      </c>
      <c r="F2" s="40">
        <f>0.21/5</f>
        <v>4.1999999999999996E-2</v>
      </c>
      <c r="G2" s="40">
        <f>0.34/5</f>
        <v>6.8000000000000005E-2</v>
      </c>
      <c r="H2" s="40">
        <f>0.69/5</f>
        <v>0.13799999999999998</v>
      </c>
      <c r="I2" s="40">
        <f>0.1/5</f>
        <v>0.02</v>
      </c>
      <c r="J2" s="52"/>
    </row>
    <row r="3" spans="1:16" x14ac:dyDescent="0.25">
      <c r="A3" s="16">
        <v>1946</v>
      </c>
      <c r="B3" s="40">
        <f t="shared" ref="B3:B28" si="0">1.99/5-C3</f>
        <v>0.38</v>
      </c>
      <c r="C3" s="40">
        <f t="shared" ref="C3:C28" si="1">0.09/5</f>
        <v>1.7999999999999999E-2</v>
      </c>
      <c r="D3" s="40">
        <f t="shared" ref="D3:D28" si="2">3.43/5</f>
        <v>0.68600000000000005</v>
      </c>
      <c r="E3" s="40">
        <f t="shared" ref="E3:E28" si="3">1.03/5</f>
        <v>0.20600000000000002</v>
      </c>
      <c r="F3" s="40">
        <f t="shared" ref="F3:F22" si="4">0.21/5</f>
        <v>4.1999999999999996E-2</v>
      </c>
      <c r="G3" s="40">
        <f t="shared" ref="G3:G28" si="5">0.34/5</f>
        <v>6.8000000000000005E-2</v>
      </c>
      <c r="H3" s="40">
        <f t="shared" ref="H3:H28" si="6">0.69/5</f>
        <v>0.13799999999999998</v>
      </c>
      <c r="I3" s="40">
        <f t="shared" ref="I3:I28" si="7">0.1/5</f>
        <v>0.02</v>
      </c>
      <c r="J3" s="52"/>
    </row>
    <row r="4" spans="1:16" x14ac:dyDescent="0.25">
      <c r="A4" s="16">
        <v>1947</v>
      </c>
      <c r="B4" s="40">
        <f t="shared" si="0"/>
        <v>0.38</v>
      </c>
      <c r="C4" s="40">
        <f t="shared" si="1"/>
        <v>1.7999999999999999E-2</v>
      </c>
      <c r="D4" s="40">
        <f t="shared" si="2"/>
        <v>0.68600000000000005</v>
      </c>
      <c r="E4" s="40">
        <f t="shared" si="3"/>
        <v>0.20600000000000002</v>
      </c>
      <c r="F4" s="40">
        <f t="shared" si="4"/>
        <v>4.1999999999999996E-2</v>
      </c>
      <c r="G4" s="40">
        <f t="shared" si="5"/>
        <v>6.8000000000000005E-2</v>
      </c>
      <c r="H4" s="40">
        <f t="shared" si="6"/>
        <v>0.13799999999999998</v>
      </c>
      <c r="I4" s="40">
        <f t="shared" si="7"/>
        <v>0.02</v>
      </c>
      <c r="J4" s="52"/>
      <c r="K4" s="40">
        <f>3.57/5</f>
        <v>0.71399999999999997</v>
      </c>
      <c r="L4" s="59">
        <f>K4*0.05*1000</f>
        <v>35.700000000000003</v>
      </c>
      <c r="M4" s="40">
        <f>0.4/5</f>
        <v>0.08</v>
      </c>
      <c r="N4" s="59">
        <f>M4/278*1000</f>
        <v>0.28776978417266186</v>
      </c>
      <c r="O4" s="24">
        <v>0</v>
      </c>
      <c r="P4" s="25"/>
    </row>
    <row r="5" spans="1:16" x14ac:dyDescent="0.25">
      <c r="A5" s="16">
        <v>1948</v>
      </c>
      <c r="B5" s="40">
        <f t="shared" si="0"/>
        <v>0.38</v>
      </c>
      <c r="C5" s="40">
        <f t="shared" si="1"/>
        <v>1.7999999999999999E-2</v>
      </c>
      <c r="D5" s="40">
        <f t="shared" si="2"/>
        <v>0.68600000000000005</v>
      </c>
      <c r="E5" s="40">
        <f t="shared" si="3"/>
        <v>0.20600000000000002</v>
      </c>
      <c r="F5" s="40">
        <f t="shared" si="4"/>
        <v>4.1999999999999996E-2</v>
      </c>
      <c r="G5" s="40">
        <f t="shared" si="5"/>
        <v>6.8000000000000005E-2</v>
      </c>
      <c r="H5" s="40">
        <f t="shared" si="6"/>
        <v>0.13799999999999998</v>
      </c>
      <c r="I5" s="40">
        <f t="shared" si="7"/>
        <v>0.02</v>
      </c>
      <c r="J5" s="53"/>
      <c r="K5" s="40"/>
      <c r="M5" s="40"/>
      <c r="P5" s="25"/>
    </row>
    <row r="6" spans="1:16" x14ac:dyDescent="0.25">
      <c r="A6" s="16">
        <v>1949</v>
      </c>
      <c r="B6" s="40">
        <f t="shared" si="0"/>
        <v>0.38</v>
      </c>
      <c r="C6" s="40">
        <f t="shared" si="1"/>
        <v>1.7999999999999999E-2</v>
      </c>
      <c r="D6" s="40">
        <f t="shared" si="2"/>
        <v>0.68600000000000005</v>
      </c>
      <c r="E6" s="40">
        <f t="shared" si="3"/>
        <v>0.20600000000000002</v>
      </c>
      <c r="F6" s="40">
        <f t="shared" si="4"/>
        <v>4.1999999999999996E-2</v>
      </c>
      <c r="G6" s="40">
        <f t="shared" si="5"/>
        <v>6.8000000000000005E-2</v>
      </c>
      <c r="H6" s="40">
        <f t="shared" si="6"/>
        <v>0.13799999999999998</v>
      </c>
      <c r="I6" s="40">
        <f t="shared" si="7"/>
        <v>0.02</v>
      </c>
      <c r="J6" s="53"/>
      <c r="K6" s="40"/>
      <c r="M6" s="40"/>
      <c r="P6" s="25"/>
    </row>
    <row r="7" spans="1:16" x14ac:dyDescent="0.25">
      <c r="A7" s="16">
        <v>1950</v>
      </c>
      <c r="B7" s="40">
        <f t="shared" si="0"/>
        <v>0.38</v>
      </c>
      <c r="C7" s="40">
        <f t="shared" si="1"/>
        <v>1.7999999999999999E-2</v>
      </c>
      <c r="D7" s="40">
        <f t="shared" si="2"/>
        <v>0.68600000000000005</v>
      </c>
      <c r="E7" s="40">
        <f t="shared" si="3"/>
        <v>0.20600000000000002</v>
      </c>
      <c r="F7" s="40">
        <f t="shared" si="4"/>
        <v>4.1999999999999996E-2</v>
      </c>
      <c r="G7" s="40">
        <f t="shared" si="5"/>
        <v>6.8000000000000005E-2</v>
      </c>
      <c r="H7" s="40">
        <f t="shared" si="6"/>
        <v>0.13799999999999998</v>
      </c>
      <c r="I7" s="40">
        <f t="shared" si="7"/>
        <v>0.02</v>
      </c>
      <c r="J7" s="53"/>
      <c r="K7" s="40">
        <f>3.31/5</f>
        <v>0.66200000000000003</v>
      </c>
      <c r="L7" s="59">
        <f>K7*0.05*1000</f>
        <v>33.1</v>
      </c>
      <c r="M7" s="40">
        <f>0.5/5</f>
        <v>0.1</v>
      </c>
      <c r="N7" s="59">
        <f>M7/278*1000</f>
        <v>0.35971223021582732</v>
      </c>
      <c r="O7" s="24">
        <v>0</v>
      </c>
      <c r="P7" s="25"/>
    </row>
    <row r="8" spans="1:16" x14ac:dyDescent="0.25">
      <c r="A8" s="16">
        <v>1951</v>
      </c>
      <c r="B8" s="40">
        <f t="shared" si="0"/>
        <v>0.38</v>
      </c>
      <c r="C8" s="40">
        <f t="shared" si="1"/>
        <v>1.7999999999999999E-2</v>
      </c>
      <c r="D8" s="40">
        <f t="shared" si="2"/>
        <v>0.68600000000000005</v>
      </c>
      <c r="E8" s="40">
        <f t="shared" si="3"/>
        <v>0.20600000000000002</v>
      </c>
      <c r="F8" s="40">
        <f t="shared" si="4"/>
        <v>4.1999999999999996E-2</v>
      </c>
      <c r="G8" s="40">
        <f t="shared" si="5"/>
        <v>6.8000000000000005E-2</v>
      </c>
      <c r="H8" s="40">
        <f t="shared" si="6"/>
        <v>0.13799999999999998</v>
      </c>
      <c r="I8" s="40">
        <f t="shared" si="7"/>
        <v>0.02</v>
      </c>
      <c r="J8" s="53"/>
      <c r="K8" s="40"/>
      <c r="M8" s="40"/>
      <c r="P8" s="25"/>
    </row>
    <row r="9" spans="1:16" x14ac:dyDescent="0.25">
      <c r="A9" s="16">
        <v>1952</v>
      </c>
      <c r="B9" s="40">
        <f t="shared" si="0"/>
        <v>0.38</v>
      </c>
      <c r="C9" s="40">
        <f t="shared" si="1"/>
        <v>1.7999999999999999E-2</v>
      </c>
      <c r="D9" s="40">
        <f t="shared" si="2"/>
        <v>0.68600000000000005</v>
      </c>
      <c r="E9" s="40">
        <f t="shared" si="3"/>
        <v>0.20600000000000002</v>
      </c>
      <c r="F9" s="40">
        <f t="shared" si="4"/>
        <v>4.1999999999999996E-2</v>
      </c>
      <c r="G9" s="40">
        <f t="shared" si="5"/>
        <v>6.8000000000000005E-2</v>
      </c>
      <c r="H9" s="40">
        <f t="shared" si="6"/>
        <v>0.13799999999999998</v>
      </c>
      <c r="I9" s="40">
        <f t="shared" si="7"/>
        <v>0.02</v>
      </c>
      <c r="J9" s="53"/>
      <c r="K9" s="40"/>
      <c r="M9" s="40"/>
      <c r="P9" s="25"/>
    </row>
    <row r="10" spans="1:16" x14ac:dyDescent="0.25">
      <c r="A10" s="16">
        <v>1953</v>
      </c>
      <c r="B10" s="40">
        <f t="shared" si="0"/>
        <v>0.38</v>
      </c>
      <c r="C10" s="40">
        <f t="shared" si="1"/>
        <v>1.7999999999999999E-2</v>
      </c>
      <c r="D10" s="40">
        <f t="shared" si="2"/>
        <v>0.68600000000000005</v>
      </c>
      <c r="E10" s="40">
        <f t="shared" si="3"/>
        <v>0.20600000000000002</v>
      </c>
      <c r="F10" s="40">
        <f t="shared" si="4"/>
        <v>4.1999999999999996E-2</v>
      </c>
      <c r="G10" s="40">
        <f t="shared" si="5"/>
        <v>6.8000000000000005E-2</v>
      </c>
      <c r="H10" s="40">
        <f t="shared" si="6"/>
        <v>0.13799999999999998</v>
      </c>
      <c r="I10" s="40">
        <f t="shared" si="7"/>
        <v>0.02</v>
      </c>
      <c r="J10" s="53"/>
      <c r="K10" s="40"/>
      <c r="M10" s="40"/>
      <c r="P10" s="25"/>
    </row>
    <row r="11" spans="1:16" x14ac:dyDescent="0.25">
      <c r="A11" s="16">
        <v>1954</v>
      </c>
      <c r="B11" s="40">
        <f t="shared" si="0"/>
        <v>0.38</v>
      </c>
      <c r="C11" s="40">
        <v>1.7999999999999999E-2</v>
      </c>
      <c r="D11" s="40">
        <v>0.68600000000000005</v>
      </c>
      <c r="E11" s="40">
        <v>0.20600000000000002</v>
      </c>
      <c r="F11" s="40">
        <v>4.1999999999999996E-2</v>
      </c>
      <c r="G11" s="40">
        <v>6.8000000000000005E-2</v>
      </c>
      <c r="H11" s="40">
        <v>0.13799999999999998</v>
      </c>
      <c r="I11" s="40">
        <v>0.02</v>
      </c>
      <c r="J11" s="53"/>
      <c r="K11" s="40"/>
      <c r="M11" s="40"/>
      <c r="P11" s="25"/>
    </row>
    <row r="12" spans="1:16" x14ac:dyDescent="0.25">
      <c r="A12" s="16">
        <v>1955</v>
      </c>
      <c r="B12" s="40">
        <f t="shared" si="0"/>
        <v>0.38</v>
      </c>
      <c r="C12" s="40">
        <f t="shared" si="1"/>
        <v>1.7999999999999999E-2</v>
      </c>
      <c r="D12" s="40">
        <f t="shared" si="2"/>
        <v>0.68600000000000005</v>
      </c>
      <c r="E12" s="40">
        <f t="shared" si="3"/>
        <v>0.20600000000000002</v>
      </c>
      <c r="F12" s="40">
        <f t="shared" si="4"/>
        <v>4.1999999999999996E-2</v>
      </c>
      <c r="G12" s="40">
        <f t="shared" si="5"/>
        <v>6.8000000000000005E-2</v>
      </c>
      <c r="H12" s="40">
        <f t="shared" si="6"/>
        <v>0.13799999999999998</v>
      </c>
      <c r="I12" s="40">
        <f t="shared" si="7"/>
        <v>0.02</v>
      </c>
      <c r="J12" s="53"/>
      <c r="K12" s="40"/>
      <c r="M12" s="40"/>
      <c r="P12" s="25"/>
    </row>
    <row r="13" spans="1:16" x14ac:dyDescent="0.25">
      <c r="A13" s="16">
        <v>1956</v>
      </c>
      <c r="B13" s="40">
        <f t="shared" si="0"/>
        <v>0.38</v>
      </c>
      <c r="C13" s="40">
        <f t="shared" si="1"/>
        <v>1.7999999999999999E-2</v>
      </c>
      <c r="D13" s="40">
        <f t="shared" si="2"/>
        <v>0.68600000000000005</v>
      </c>
      <c r="E13" s="40">
        <f t="shared" si="3"/>
        <v>0.20600000000000002</v>
      </c>
      <c r="F13" s="40">
        <f t="shared" si="4"/>
        <v>4.1999999999999996E-2</v>
      </c>
      <c r="G13" s="40">
        <f t="shared" si="5"/>
        <v>6.8000000000000005E-2</v>
      </c>
      <c r="H13" s="40">
        <f t="shared" si="6"/>
        <v>0.13799999999999998</v>
      </c>
      <c r="I13" s="40">
        <f t="shared" si="7"/>
        <v>0.02</v>
      </c>
      <c r="J13" s="53"/>
      <c r="K13" s="40"/>
      <c r="M13" s="40"/>
      <c r="P13" s="25"/>
    </row>
    <row r="14" spans="1:16" x14ac:dyDescent="0.25">
      <c r="A14" s="16">
        <v>1957</v>
      </c>
      <c r="B14" s="40">
        <v>0.38</v>
      </c>
      <c r="C14" s="40">
        <v>1.7999999999999999E-2</v>
      </c>
      <c r="D14" s="40">
        <v>0.68600000000000005</v>
      </c>
      <c r="E14" s="40">
        <v>0.20600000000000002</v>
      </c>
      <c r="F14" s="40">
        <v>4.1999999999999996E-2</v>
      </c>
      <c r="G14" s="40">
        <v>6.8000000000000005E-2</v>
      </c>
      <c r="H14" s="40">
        <v>0.13799999999999998</v>
      </c>
      <c r="I14" s="40">
        <v>0.02</v>
      </c>
      <c r="J14" s="53"/>
      <c r="K14" s="40"/>
      <c r="M14" s="40"/>
      <c r="P14" s="25"/>
    </row>
    <row r="15" spans="1:16" x14ac:dyDescent="0.25">
      <c r="A15" s="16">
        <v>1958</v>
      </c>
      <c r="B15" s="40">
        <f t="shared" si="0"/>
        <v>0.38</v>
      </c>
      <c r="C15" s="40">
        <f t="shared" si="1"/>
        <v>1.7999999999999999E-2</v>
      </c>
      <c r="D15" s="40">
        <f t="shared" si="2"/>
        <v>0.68600000000000005</v>
      </c>
      <c r="E15" s="40">
        <f t="shared" si="3"/>
        <v>0.20600000000000002</v>
      </c>
      <c r="F15" s="40">
        <f t="shared" si="4"/>
        <v>4.1999999999999996E-2</v>
      </c>
      <c r="G15" s="40">
        <f t="shared" si="5"/>
        <v>6.8000000000000005E-2</v>
      </c>
      <c r="H15" s="40">
        <f t="shared" si="6"/>
        <v>0.13799999999999998</v>
      </c>
      <c r="I15" s="40">
        <f t="shared" si="7"/>
        <v>0.02</v>
      </c>
      <c r="J15" s="53"/>
      <c r="K15" s="40"/>
      <c r="M15" s="40"/>
      <c r="P15" s="25"/>
    </row>
    <row r="16" spans="1:16" x14ac:dyDescent="0.25">
      <c r="A16" s="16">
        <v>1959</v>
      </c>
      <c r="B16" s="40">
        <f t="shared" si="0"/>
        <v>0.38</v>
      </c>
      <c r="C16" s="40">
        <f t="shared" si="1"/>
        <v>1.7999999999999999E-2</v>
      </c>
      <c r="D16" s="40">
        <f t="shared" si="2"/>
        <v>0.68600000000000005</v>
      </c>
      <c r="E16" s="40">
        <f t="shared" si="3"/>
        <v>0.20600000000000002</v>
      </c>
      <c r="F16" s="40">
        <f t="shared" si="4"/>
        <v>4.1999999999999996E-2</v>
      </c>
      <c r="G16" s="40">
        <f t="shared" si="5"/>
        <v>6.8000000000000005E-2</v>
      </c>
      <c r="H16" s="40">
        <f t="shared" si="6"/>
        <v>0.13799999999999998</v>
      </c>
      <c r="I16" s="40">
        <f t="shared" si="7"/>
        <v>0.02</v>
      </c>
      <c r="J16" s="53"/>
      <c r="K16" s="40"/>
      <c r="M16" s="40"/>
      <c r="P16" s="25"/>
    </row>
    <row r="17" spans="1:16" x14ac:dyDescent="0.25">
      <c r="A17" s="16">
        <v>1960</v>
      </c>
      <c r="B17" s="40">
        <f t="shared" si="0"/>
        <v>0.38</v>
      </c>
      <c r="C17" s="40">
        <f t="shared" si="1"/>
        <v>1.7999999999999999E-2</v>
      </c>
      <c r="D17" s="40">
        <f t="shared" si="2"/>
        <v>0.68600000000000005</v>
      </c>
      <c r="E17" s="40">
        <f t="shared" si="3"/>
        <v>0.20600000000000002</v>
      </c>
      <c r="F17" s="40">
        <f t="shared" si="4"/>
        <v>4.1999999999999996E-2</v>
      </c>
      <c r="G17" s="40">
        <f t="shared" si="5"/>
        <v>6.8000000000000005E-2</v>
      </c>
      <c r="H17" s="40">
        <f t="shared" si="6"/>
        <v>0.13799999999999998</v>
      </c>
      <c r="I17" s="40">
        <f t="shared" si="7"/>
        <v>0.02</v>
      </c>
      <c r="J17" s="53"/>
      <c r="K17" s="40">
        <f>2.85/5</f>
        <v>0.57000000000000006</v>
      </c>
      <c r="L17" s="59">
        <f>K17*0.05*1000</f>
        <v>28.500000000000004</v>
      </c>
      <c r="M17" s="40">
        <f>0.6/5</f>
        <v>0.12</v>
      </c>
      <c r="N17" s="59">
        <f>M17/278*1000</f>
        <v>0.43165467625899279</v>
      </c>
      <c r="O17" s="24">
        <v>0</v>
      </c>
      <c r="P17" s="25"/>
    </row>
    <row r="18" spans="1:16" x14ac:dyDescent="0.25">
      <c r="A18" s="16">
        <v>1961</v>
      </c>
      <c r="B18" s="40">
        <f t="shared" si="0"/>
        <v>0.38</v>
      </c>
      <c r="C18" s="40">
        <f t="shared" si="1"/>
        <v>1.7999999999999999E-2</v>
      </c>
      <c r="D18" s="40">
        <f t="shared" si="2"/>
        <v>0.68600000000000005</v>
      </c>
      <c r="E18" s="40">
        <f t="shared" si="3"/>
        <v>0.20600000000000002</v>
      </c>
      <c r="F18" s="40">
        <f t="shared" si="4"/>
        <v>4.1999999999999996E-2</v>
      </c>
      <c r="G18" s="40">
        <f t="shared" si="5"/>
        <v>6.8000000000000005E-2</v>
      </c>
      <c r="H18" s="40">
        <f t="shared" si="6"/>
        <v>0.13799999999999998</v>
      </c>
      <c r="I18" s="40">
        <f t="shared" si="7"/>
        <v>0.02</v>
      </c>
      <c r="J18" s="53"/>
      <c r="K18" s="40"/>
      <c r="M18" s="40"/>
      <c r="P18" s="25"/>
    </row>
    <row r="19" spans="1:16" x14ac:dyDescent="0.25">
      <c r="A19" s="16">
        <v>1962</v>
      </c>
      <c r="B19" s="40">
        <f t="shared" si="0"/>
        <v>0.38</v>
      </c>
      <c r="C19" s="40">
        <f t="shared" si="1"/>
        <v>1.7999999999999999E-2</v>
      </c>
      <c r="D19" s="40">
        <f t="shared" si="2"/>
        <v>0.68600000000000005</v>
      </c>
      <c r="E19" s="40">
        <f t="shared" si="3"/>
        <v>0.20600000000000002</v>
      </c>
      <c r="F19" s="40">
        <f t="shared" si="4"/>
        <v>4.1999999999999996E-2</v>
      </c>
      <c r="G19" s="40">
        <f t="shared" si="5"/>
        <v>6.8000000000000005E-2</v>
      </c>
      <c r="H19" s="40">
        <f t="shared" si="6"/>
        <v>0.13799999999999998</v>
      </c>
      <c r="I19" s="40">
        <f t="shared" si="7"/>
        <v>0.02</v>
      </c>
      <c r="J19" s="53"/>
      <c r="K19" s="40"/>
      <c r="M19" s="40"/>
      <c r="P19" s="25"/>
    </row>
    <row r="20" spans="1:16" x14ac:dyDescent="0.25">
      <c r="A20" s="16">
        <v>1963</v>
      </c>
      <c r="B20" s="40">
        <f t="shared" si="0"/>
        <v>0.38</v>
      </c>
      <c r="C20" s="40">
        <f t="shared" si="1"/>
        <v>1.7999999999999999E-2</v>
      </c>
      <c r="D20" s="40">
        <f t="shared" si="2"/>
        <v>0.68600000000000005</v>
      </c>
      <c r="E20" s="40">
        <f t="shared" si="3"/>
        <v>0.20600000000000002</v>
      </c>
      <c r="F20" s="40">
        <f t="shared" si="4"/>
        <v>4.1999999999999996E-2</v>
      </c>
      <c r="G20" s="40">
        <f t="shared" si="5"/>
        <v>6.8000000000000005E-2</v>
      </c>
      <c r="H20" s="40">
        <f t="shared" si="6"/>
        <v>0.13799999999999998</v>
      </c>
      <c r="I20" s="40">
        <f t="shared" si="7"/>
        <v>0.02</v>
      </c>
      <c r="J20" s="53"/>
      <c r="K20" s="40"/>
      <c r="M20" s="40"/>
      <c r="P20" s="25"/>
    </row>
    <row r="21" spans="1:16" x14ac:dyDescent="0.25">
      <c r="A21" s="16">
        <v>1964</v>
      </c>
      <c r="B21" s="40">
        <f t="shared" si="0"/>
        <v>0.38</v>
      </c>
      <c r="C21" s="40">
        <f t="shared" si="1"/>
        <v>1.7999999999999999E-2</v>
      </c>
      <c r="D21" s="40">
        <f t="shared" si="2"/>
        <v>0.68600000000000005</v>
      </c>
      <c r="E21" s="40">
        <f t="shared" si="3"/>
        <v>0.20600000000000002</v>
      </c>
      <c r="F21" s="40">
        <f t="shared" si="4"/>
        <v>4.1999999999999996E-2</v>
      </c>
      <c r="G21" s="40">
        <f t="shared" si="5"/>
        <v>6.8000000000000005E-2</v>
      </c>
      <c r="H21" s="40">
        <f t="shared" si="6"/>
        <v>0.13799999999999998</v>
      </c>
      <c r="I21" s="40">
        <f t="shared" si="7"/>
        <v>0.02</v>
      </c>
      <c r="J21" s="53"/>
      <c r="K21" s="40"/>
      <c r="M21" s="40"/>
      <c r="P21" s="25"/>
    </row>
    <row r="22" spans="1:16" x14ac:dyDescent="0.25">
      <c r="A22" s="16">
        <v>1965</v>
      </c>
      <c r="B22" s="40">
        <f t="shared" si="0"/>
        <v>0.38</v>
      </c>
      <c r="C22" s="40">
        <f t="shared" si="1"/>
        <v>1.7999999999999999E-2</v>
      </c>
      <c r="D22" s="40">
        <f t="shared" si="2"/>
        <v>0.68600000000000005</v>
      </c>
      <c r="E22" s="40">
        <f t="shared" si="3"/>
        <v>0.20600000000000002</v>
      </c>
      <c r="F22" s="40">
        <f t="shared" si="4"/>
        <v>4.1999999999999996E-2</v>
      </c>
      <c r="G22" s="40">
        <f t="shared" si="5"/>
        <v>6.8000000000000005E-2</v>
      </c>
      <c r="H22" s="40">
        <f t="shared" si="6"/>
        <v>0.13799999999999998</v>
      </c>
      <c r="I22" s="40">
        <f t="shared" si="7"/>
        <v>0.02</v>
      </c>
      <c r="J22" s="53"/>
      <c r="K22" s="40"/>
      <c r="M22" s="40"/>
      <c r="P22" s="25"/>
    </row>
    <row r="23" spans="1:16" x14ac:dyDescent="0.25">
      <c r="A23" s="16">
        <v>1966</v>
      </c>
      <c r="B23" s="40">
        <f t="shared" si="0"/>
        <v>0.38</v>
      </c>
      <c r="C23" s="40">
        <f t="shared" si="1"/>
        <v>1.7999999999999999E-2</v>
      </c>
      <c r="D23" s="40">
        <f t="shared" si="2"/>
        <v>0.68600000000000005</v>
      </c>
      <c r="E23" s="40">
        <f t="shared" si="3"/>
        <v>0.20600000000000002</v>
      </c>
      <c r="F23" s="40">
        <f>0.07/5</f>
        <v>1.4000000000000002E-2</v>
      </c>
      <c r="G23" s="40">
        <f t="shared" si="5"/>
        <v>6.8000000000000005E-2</v>
      </c>
      <c r="H23" s="40">
        <f t="shared" si="6"/>
        <v>0.13799999999999998</v>
      </c>
      <c r="I23" s="40">
        <f t="shared" si="7"/>
        <v>0.02</v>
      </c>
      <c r="J23" s="53"/>
      <c r="K23" s="40"/>
      <c r="M23" s="40"/>
      <c r="P23" s="25"/>
    </row>
    <row r="24" spans="1:16" x14ac:dyDescent="0.25">
      <c r="A24" s="16">
        <v>1967</v>
      </c>
      <c r="B24" s="40">
        <f t="shared" si="0"/>
        <v>0.38</v>
      </c>
      <c r="C24" s="40">
        <f t="shared" si="1"/>
        <v>1.7999999999999999E-2</v>
      </c>
      <c r="D24" s="40">
        <f t="shared" si="2"/>
        <v>0.68600000000000005</v>
      </c>
      <c r="E24" s="40">
        <f t="shared" si="3"/>
        <v>0.20600000000000002</v>
      </c>
      <c r="F24" s="40">
        <f t="shared" ref="F24:F28" si="8">0.07/5</f>
        <v>1.4000000000000002E-2</v>
      </c>
      <c r="G24" s="40">
        <f t="shared" si="5"/>
        <v>6.8000000000000005E-2</v>
      </c>
      <c r="H24" s="40">
        <f t="shared" si="6"/>
        <v>0.13799999999999998</v>
      </c>
      <c r="I24" s="40">
        <f t="shared" si="7"/>
        <v>0.02</v>
      </c>
      <c r="J24" s="53"/>
      <c r="K24" s="40"/>
      <c r="M24" s="40"/>
      <c r="P24" s="25"/>
    </row>
    <row r="25" spans="1:16" x14ac:dyDescent="0.25">
      <c r="A25" s="16">
        <v>1968</v>
      </c>
      <c r="B25" s="40">
        <f t="shared" si="0"/>
        <v>0.38</v>
      </c>
      <c r="C25" s="40">
        <f t="shared" si="1"/>
        <v>1.7999999999999999E-2</v>
      </c>
      <c r="D25" s="40">
        <f t="shared" si="2"/>
        <v>0.68600000000000005</v>
      </c>
      <c r="E25" s="40">
        <f t="shared" si="3"/>
        <v>0.20600000000000002</v>
      </c>
      <c r="F25" s="40">
        <f t="shared" si="8"/>
        <v>1.4000000000000002E-2</v>
      </c>
      <c r="G25" s="40">
        <f t="shared" si="5"/>
        <v>6.8000000000000005E-2</v>
      </c>
      <c r="H25" s="40">
        <f t="shared" si="6"/>
        <v>0.13799999999999998</v>
      </c>
      <c r="I25" s="40">
        <f t="shared" si="7"/>
        <v>0.02</v>
      </c>
      <c r="J25" s="53"/>
      <c r="K25" s="40"/>
      <c r="M25" s="40"/>
      <c r="P25" s="25"/>
    </row>
    <row r="26" spans="1:16" x14ac:dyDescent="0.25">
      <c r="A26" s="16">
        <v>1969</v>
      </c>
      <c r="B26" s="40">
        <f t="shared" si="0"/>
        <v>0.38</v>
      </c>
      <c r="C26" s="40">
        <f t="shared" si="1"/>
        <v>1.7999999999999999E-2</v>
      </c>
      <c r="D26" s="40">
        <f t="shared" si="2"/>
        <v>0.68600000000000005</v>
      </c>
      <c r="E26" s="40">
        <f t="shared" si="3"/>
        <v>0.20600000000000002</v>
      </c>
      <c r="F26" s="40">
        <f t="shared" si="8"/>
        <v>1.4000000000000002E-2</v>
      </c>
      <c r="G26" s="40">
        <f t="shared" si="5"/>
        <v>6.8000000000000005E-2</v>
      </c>
      <c r="H26" s="40">
        <f t="shared" si="6"/>
        <v>0.13799999999999998</v>
      </c>
      <c r="I26" s="40">
        <f t="shared" si="7"/>
        <v>0.02</v>
      </c>
      <c r="J26" s="53"/>
      <c r="K26" s="40"/>
      <c r="M26" s="40"/>
      <c r="P26" s="25"/>
    </row>
    <row r="27" spans="1:16" x14ac:dyDescent="0.25">
      <c r="A27" s="16">
        <v>1970</v>
      </c>
      <c r="B27" s="40">
        <f t="shared" si="0"/>
        <v>0.38</v>
      </c>
      <c r="C27" s="40">
        <f t="shared" si="1"/>
        <v>1.7999999999999999E-2</v>
      </c>
      <c r="D27" s="40">
        <f t="shared" si="2"/>
        <v>0.68600000000000005</v>
      </c>
      <c r="E27" s="40">
        <f t="shared" si="3"/>
        <v>0.20600000000000002</v>
      </c>
      <c r="F27" s="40">
        <f t="shared" si="8"/>
        <v>1.4000000000000002E-2</v>
      </c>
      <c r="G27" s="40">
        <f t="shared" si="5"/>
        <v>6.8000000000000005E-2</v>
      </c>
      <c r="H27" s="40">
        <f t="shared" si="6"/>
        <v>0.13799999999999998</v>
      </c>
      <c r="I27" s="40">
        <f t="shared" si="7"/>
        <v>0.02</v>
      </c>
      <c r="J27" s="53"/>
      <c r="K27" s="40">
        <f>2.11/5</f>
        <v>0.42199999999999999</v>
      </c>
      <c r="L27" s="59">
        <f>K27*0.05*1000</f>
        <v>21.1</v>
      </c>
      <c r="M27" s="40">
        <f>1/5</f>
        <v>0.2</v>
      </c>
      <c r="N27" s="59">
        <f>M27/278*1000</f>
        <v>0.71942446043165464</v>
      </c>
      <c r="O27" s="23">
        <v>2.1743999999999999</v>
      </c>
      <c r="P27" s="25"/>
    </row>
    <row r="28" spans="1:16" x14ac:dyDescent="0.25">
      <c r="A28" s="16">
        <v>1971</v>
      </c>
      <c r="B28" s="40">
        <f t="shared" si="0"/>
        <v>0.38</v>
      </c>
      <c r="C28" s="40">
        <f t="shared" si="1"/>
        <v>1.7999999999999999E-2</v>
      </c>
      <c r="D28" s="40">
        <f t="shared" si="2"/>
        <v>0.68600000000000005</v>
      </c>
      <c r="E28" s="40">
        <f t="shared" si="3"/>
        <v>0.20600000000000002</v>
      </c>
      <c r="F28" s="40">
        <f t="shared" si="8"/>
        <v>1.4000000000000002E-2</v>
      </c>
      <c r="G28" s="40">
        <f t="shared" si="5"/>
        <v>6.8000000000000005E-2</v>
      </c>
      <c r="H28" s="40">
        <f t="shared" si="6"/>
        <v>0.13799999999999998</v>
      </c>
      <c r="I28" s="40">
        <f t="shared" si="7"/>
        <v>0.02</v>
      </c>
      <c r="J28" s="53"/>
      <c r="K28" s="40"/>
      <c r="M28" s="40"/>
      <c r="P28" s="25"/>
    </row>
    <row r="29" spans="1:16" x14ac:dyDescent="0.25">
      <c r="A29" s="16">
        <v>1972</v>
      </c>
      <c r="B29" s="40">
        <v>0.38</v>
      </c>
      <c r="C29" s="40">
        <v>1.7999999999999999E-2</v>
      </c>
      <c r="D29" s="40">
        <v>0.68600000000000005</v>
      </c>
      <c r="E29" s="40">
        <v>0.20600000000000002</v>
      </c>
      <c r="F29" s="40">
        <v>1.4000000000000002E-2</v>
      </c>
      <c r="G29" s="40">
        <v>6.8000000000000005E-2</v>
      </c>
      <c r="H29" s="40">
        <v>0.13799999999999998</v>
      </c>
      <c r="I29" s="40">
        <v>0.02</v>
      </c>
      <c r="J29" s="53"/>
      <c r="K29" s="40"/>
      <c r="M29" s="40"/>
      <c r="P29" s="25"/>
    </row>
    <row r="30" spans="1:16" x14ac:dyDescent="0.25">
      <c r="A30" s="16">
        <v>1973</v>
      </c>
      <c r="B30" s="25"/>
      <c r="C30" s="25"/>
      <c r="D30" s="25"/>
      <c r="E30" s="25"/>
      <c r="F30" s="25"/>
      <c r="G30" s="25"/>
      <c r="H30" s="25"/>
      <c r="I30" s="25"/>
      <c r="J30" s="53"/>
      <c r="K30" s="40"/>
      <c r="M30" s="40"/>
      <c r="P30" s="25"/>
    </row>
    <row r="31" spans="1:16" x14ac:dyDescent="0.25">
      <c r="A31" s="16">
        <v>1974</v>
      </c>
      <c r="B31" s="25"/>
      <c r="C31" s="25"/>
      <c r="D31" s="25"/>
      <c r="E31" s="25"/>
      <c r="F31" s="25"/>
      <c r="G31" s="25"/>
      <c r="H31" s="25"/>
      <c r="I31" s="25"/>
      <c r="J31" s="53"/>
      <c r="K31" s="40"/>
      <c r="M31" s="40"/>
      <c r="P31" s="25"/>
    </row>
    <row r="32" spans="1:16" x14ac:dyDescent="0.25">
      <c r="A32" s="16">
        <v>1975</v>
      </c>
      <c r="J32" s="53"/>
      <c r="K32" s="40">
        <f>1.81/5</f>
        <v>0.36199999999999999</v>
      </c>
      <c r="L32" s="59">
        <f>K32*0.05*1000</f>
        <v>18.100000000000001</v>
      </c>
      <c r="M32" s="40">
        <f>1/5</f>
        <v>0.2</v>
      </c>
      <c r="N32" s="59">
        <f>M32/278*1000</f>
        <v>0.71942446043165464</v>
      </c>
      <c r="P32" s="25"/>
    </row>
    <row r="33" spans="1:16" x14ac:dyDescent="0.25">
      <c r="A33" s="16">
        <v>1976</v>
      </c>
      <c r="B33" s="25"/>
      <c r="C33" s="25"/>
      <c r="D33" s="25"/>
      <c r="E33" s="25"/>
      <c r="F33" s="25"/>
      <c r="G33" s="25"/>
      <c r="H33" s="25"/>
      <c r="I33" s="25"/>
      <c r="J33" s="53"/>
      <c r="K33" s="40"/>
      <c r="M33" s="40"/>
      <c r="P33" s="25"/>
    </row>
    <row r="34" spans="1:16" x14ac:dyDescent="0.25">
      <c r="A34" s="16">
        <v>1977</v>
      </c>
      <c r="B34" s="25"/>
      <c r="C34" s="25"/>
      <c r="D34" s="25"/>
      <c r="E34" s="25"/>
      <c r="F34" s="25"/>
      <c r="G34" s="25"/>
      <c r="H34" s="25"/>
      <c r="I34" s="25"/>
      <c r="J34" s="53"/>
      <c r="K34" s="40"/>
      <c r="L34" s="59"/>
      <c r="M34" s="40"/>
      <c r="N34" s="59"/>
      <c r="P34" s="25"/>
    </row>
    <row r="35" spans="1:16" x14ac:dyDescent="0.25">
      <c r="A35" s="16">
        <v>1978</v>
      </c>
      <c r="B35" s="25"/>
      <c r="C35" s="25"/>
      <c r="D35" s="25"/>
      <c r="E35" s="25"/>
      <c r="F35" s="25"/>
      <c r="G35" s="25"/>
      <c r="H35" s="25"/>
      <c r="I35" s="25"/>
      <c r="J35" s="53"/>
      <c r="P35" s="25"/>
    </row>
    <row r="36" spans="1:16" x14ac:dyDescent="0.25">
      <c r="A36" s="16">
        <v>1979</v>
      </c>
      <c r="B36" s="25"/>
      <c r="C36" s="25"/>
      <c r="D36" s="25"/>
      <c r="E36" s="25"/>
      <c r="F36" s="25"/>
      <c r="G36" s="25"/>
      <c r="H36" s="25"/>
      <c r="I36" s="25"/>
      <c r="J36" s="53"/>
      <c r="P36" s="25"/>
    </row>
    <row r="37" spans="1:16" x14ac:dyDescent="0.25">
      <c r="A37" s="16">
        <v>1980</v>
      </c>
      <c r="B37" s="25"/>
      <c r="C37" s="25"/>
      <c r="D37" s="25"/>
      <c r="E37" s="25"/>
      <c r="F37" s="25"/>
      <c r="G37" s="25"/>
      <c r="H37" s="25"/>
      <c r="I37" s="25"/>
      <c r="J37" s="53"/>
      <c r="P37" s="25"/>
    </row>
    <row r="38" spans="1:16" x14ac:dyDescent="0.25">
      <c r="A38" s="16">
        <v>1981</v>
      </c>
      <c r="B38" s="25"/>
      <c r="C38" s="25"/>
      <c r="D38" s="25"/>
      <c r="E38" s="25"/>
      <c r="F38" s="25"/>
      <c r="G38" s="25"/>
      <c r="H38" s="25"/>
      <c r="I38" s="25"/>
      <c r="J38" s="53"/>
      <c r="O38" s="23">
        <v>4.7478000000000007</v>
      </c>
      <c r="P38" s="25"/>
    </row>
    <row r="39" spans="1:16" x14ac:dyDescent="0.25">
      <c r="A39" s="16">
        <v>1982</v>
      </c>
      <c r="B39" s="25"/>
      <c r="C39" s="25"/>
      <c r="D39" s="25"/>
      <c r="E39" s="25"/>
      <c r="F39" s="25"/>
      <c r="G39" s="25"/>
      <c r="H39" s="25"/>
      <c r="I39" s="25"/>
      <c r="J39" s="53"/>
      <c r="P39" s="25"/>
    </row>
    <row r="40" spans="1:16" x14ac:dyDescent="0.25">
      <c r="A40" s="16">
        <v>1983</v>
      </c>
      <c r="B40" s="25"/>
      <c r="C40" s="25"/>
      <c r="D40" s="25"/>
      <c r="E40" s="25"/>
      <c r="F40" s="25"/>
      <c r="G40" s="25"/>
      <c r="H40" s="25"/>
      <c r="I40" s="25"/>
      <c r="J40" s="53"/>
      <c r="P40" s="25"/>
    </row>
    <row r="41" spans="1:16" x14ac:dyDescent="0.25">
      <c r="A41" s="16">
        <v>1984</v>
      </c>
      <c r="B41" s="25"/>
      <c r="C41" s="25"/>
      <c r="D41" s="25"/>
      <c r="E41" s="25"/>
      <c r="F41" s="25"/>
      <c r="G41" s="25"/>
      <c r="H41" s="25"/>
      <c r="I41" s="25"/>
      <c r="J41" s="53"/>
      <c r="P41" s="25"/>
    </row>
    <row r="42" spans="1:16" x14ac:dyDescent="0.25">
      <c r="A42" s="16">
        <v>1985</v>
      </c>
      <c r="B42" s="40"/>
      <c r="C42" s="40"/>
      <c r="D42" s="40"/>
      <c r="E42" s="40"/>
      <c r="F42" s="40"/>
      <c r="G42" s="40"/>
      <c r="H42" s="40"/>
      <c r="I42" s="40"/>
      <c r="J42" s="53"/>
      <c r="P42" s="25"/>
    </row>
    <row r="43" spans="1:16" x14ac:dyDescent="0.25">
      <c r="A43" s="16">
        <v>1986</v>
      </c>
      <c r="B43" s="25"/>
      <c r="C43" s="25"/>
      <c r="D43" s="25"/>
      <c r="E43" s="25"/>
      <c r="F43" s="25"/>
      <c r="G43" s="25"/>
      <c r="H43" s="25"/>
      <c r="I43" s="25"/>
      <c r="J43" s="53"/>
      <c r="P43" s="25"/>
    </row>
    <row r="44" spans="1:16" x14ac:dyDescent="0.25">
      <c r="A44" s="16">
        <v>1987</v>
      </c>
      <c r="J44" s="53"/>
      <c r="P44" s="25"/>
    </row>
    <row r="45" spans="1:16" x14ac:dyDescent="0.25">
      <c r="A45" s="16">
        <v>1988</v>
      </c>
      <c r="J45" s="53"/>
    </row>
    <row r="46" spans="1:16" x14ac:dyDescent="0.25">
      <c r="A46" s="16">
        <v>1989</v>
      </c>
      <c r="B46" s="25"/>
      <c r="C46" s="25"/>
      <c r="D46" s="25"/>
      <c r="E46" s="25"/>
      <c r="F46" s="25"/>
      <c r="G46" s="25"/>
      <c r="H46" s="25"/>
      <c r="I46" s="25"/>
      <c r="J46" s="53"/>
    </row>
    <row r="47" spans="1:16" x14ac:dyDescent="0.25">
      <c r="A47" s="16">
        <v>1990</v>
      </c>
      <c r="B47" s="25"/>
      <c r="C47" s="25"/>
      <c r="D47" s="25"/>
      <c r="E47" s="25"/>
      <c r="F47" s="25"/>
      <c r="G47" s="25"/>
      <c r="H47" s="25"/>
      <c r="I47" s="25"/>
      <c r="J47" s="53"/>
    </row>
    <row r="48" spans="1:16" x14ac:dyDescent="0.25">
      <c r="A48" s="16">
        <v>1991</v>
      </c>
      <c r="B48" s="25"/>
      <c r="C48" s="25"/>
      <c r="D48" s="25"/>
      <c r="E48" s="25"/>
      <c r="F48" s="25"/>
      <c r="G48" s="25"/>
      <c r="H48" s="25"/>
      <c r="I48" s="25"/>
      <c r="J48" s="54"/>
    </row>
    <row r="49" spans="1:10" x14ac:dyDescent="0.25">
      <c r="A49" s="16">
        <v>1992</v>
      </c>
      <c r="B49" s="25"/>
      <c r="C49" s="25"/>
      <c r="D49" s="25"/>
      <c r="E49" s="25"/>
      <c r="F49" s="25"/>
      <c r="G49" s="25"/>
      <c r="H49" s="25"/>
      <c r="I49" s="25"/>
      <c r="J49" s="52"/>
    </row>
    <row r="50" spans="1:10" x14ac:dyDescent="0.25">
      <c r="A50" s="16">
        <v>1993</v>
      </c>
      <c r="B50" s="25"/>
      <c r="C50" s="25"/>
      <c r="D50" s="25"/>
      <c r="E50" s="25"/>
      <c r="F50" s="25"/>
      <c r="G50" s="25"/>
      <c r="H50" s="25"/>
      <c r="I50" s="25"/>
      <c r="J50" s="52"/>
    </row>
    <row r="51" spans="1:10" x14ac:dyDescent="0.25">
      <c r="A51" s="16">
        <v>1994</v>
      </c>
      <c r="B51" s="25"/>
      <c r="C51" s="25"/>
      <c r="D51" s="25"/>
      <c r="E51" s="25"/>
      <c r="F51" s="25"/>
      <c r="G51" s="25"/>
      <c r="H51" s="25"/>
      <c r="I51" s="25"/>
      <c r="J51" s="52"/>
    </row>
    <row r="52" spans="1:10" x14ac:dyDescent="0.25">
      <c r="A52" s="16">
        <v>1995</v>
      </c>
      <c r="B52" s="25"/>
      <c r="C52" s="25"/>
      <c r="D52" s="25"/>
      <c r="E52" s="25"/>
      <c r="F52" s="25"/>
      <c r="G52" s="25"/>
      <c r="H52" s="25"/>
      <c r="I52" s="25"/>
      <c r="J52" s="52"/>
    </row>
    <row r="53" spans="1:10" x14ac:dyDescent="0.25">
      <c r="A53" s="16">
        <v>1996</v>
      </c>
      <c r="B53" s="25"/>
      <c r="C53" s="25"/>
      <c r="D53" s="25"/>
      <c r="E53" s="25"/>
      <c r="F53" s="25"/>
      <c r="G53" s="25"/>
      <c r="H53" s="25"/>
      <c r="I53" s="25"/>
      <c r="J53" s="52"/>
    </row>
    <row r="54" spans="1:10" x14ac:dyDescent="0.25">
      <c r="A54" s="16">
        <v>1997</v>
      </c>
      <c r="B54" s="25"/>
      <c r="C54" s="25"/>
      <c r="D54" s="25"/>
      <c r="E54" s="25"/>
      <c r="F54" s="25"/>
      <c r="G54" s="25"/>
      <c r="H54" s="25"/>
      <c r="I54" s="25"/>
      <c r="J54" s="55"/>
    </row>
    <row r="55" spans="1:10" x14ac:dyDescent="0.25">
      <c r="A55" s="16">
        <v>1998</v>
      </c>
      <c r="B55" s="25"/>
      <c r="C55" s="25"/>
      <c r="D55" s="25"/>
      <c r="E55" s="25"/>
      <c r="F55" s="25"/>
      <c r="G55" s="25"/>
      <c r="H55" s="25"/>
      <c r="I55" s="25"/>
      <c r="J55" s="55"/>
    </row>
    <row r="56" spans="1:10" x14ac:dyDescent="0.25">
      <c r="A56" s="16">
        <v>1999</v>
      </c>
      <c r="B56" s="25"/>
      <c r="C56" s="25"/>
      <c r="D56" s="25"/>
      <c r="E56" s="25"/>
      <c r="F56" s="25"/>
      <c r="G56" s="25"/>
      <c r="H56" s="25"/>
      <c r="I56" s="25"/>
      <c r="J56" s="55"/>
    </row>
    <row r="57" spans="1:10" x14ac:dyDescent="0.25">
      <c r="A57" s="16">
        <v>2000</v>
      </c>
      <c r="B57" s="25"/>
      <c r="C57" s="25"/>
      <c r="D57" s="25"/>
      <c r="E57" s="25"/>
      <c r="F57" s="25"/>
      <c r="G57" s="25"/>
      <c r="H57" s="25"/>
      <c r="I57" s="25"/>
      <c r="J57" s="55"/>
    </row>
    <row r="58" spans="1:10" x14ac:dyDescent="0.25">
      <c r="A58" s="16">
        <v>2001</v>
      </c>
      <c r="B58" s="25"/>
      <c r="C58" s="25"/>
      <c r="D58" s="25"/>
      <c r="E58" s="25"/>
      <c r="F58" s="25"/>
      <c r="G58" s="25"/>
      <c r="H58" s="25"/>
      <c r="I58" s="25"/>
      <c r="J58" s="55"/>
    </row>
    <row r="59" spans="1:10" x14ac:dyDescent="0.25">
      <c r="A59" s="16">
        <v>2002</v>
      </c>
      <c r="B59" s="25"/>
      <c r="C59" s="25"/>
      <c r="D59" s="25"/>
      <c r="E59" s="25"/>
      <c r="F59" s="25"/>
      <c r="G59" s="25"/>
      <c r="H59" s="25"/>
      <c r="I59" s="25"/>
      <c r="J59" s="55"/>
    </row>
    <row r="60" spans="1:10" x14ac:dyDescent="0.25">
      <c r="A60" s="16">
        <v>2003</v>
      </c>
      <c r="B60" s="25"/>
      <c r="C60" s="25"/>
      <c r="D60" s="25"/>
      <c r="E60" s="25"/>
      <c r="F60" s="25"/>
      <c r="G60" s="25"/>
      <c r="H60" s="25"/>
      <c r="I60" s="25"/>
      <c r="J60" s="55"/>
    </row>
    <row r="61" spans="1:10" x14ac:dyDescent="0.25">
      <c r="A61" s="16">
        <v>2004</v>
      </c>
      <c r="B61" s="25"/>
      <c r="C61" s="25"/>
      <c r="D61" s="25"/>
      <c r="E61" s="25"/>
      <c r="F61" s="25"/>
      <c r="G61" s="25"/>
      <c r="H61" s="25"/>
      <c r="I61" s="25"/>
      <c r="J61" s="55"/>
    </row>
    <row r="62" spans="1:10" x14ac:dyDescent="0.25">
      <c r="A62" s="16">
        <v>2005</v>
      </c>
      <c r="B62" s="25"/>
      <c r="C62" s="25"/>
      <c r="D62" s="25"/>
      <c r="E62" s="25"/>
      <c r="F62" s="25"/>
      <c r="G62" s="25"/>
      <c r="H62" s="25"/>
      <c r="I62" s="25"/>
      <c r="J62" s="55"/>
    </row>
    <row r="63" spans="1:10" x14ac:dyDescent="0.25">
      <c r="A63" s="16">
        <v>2006</v>
      </c>
      <c r="B63" s="25"/>
      <c r="C63" s="25"/>
      <c r="D63" s="25"/>
      <c r="E63" s="25"/>
      <c r="F63" s="25"/>
      <c r="G63" s="25"/>
      <c r="H63" s="25"/>
      <c r="I63" s="25"/>
      <c r="J63" s="55"/>
    </row>
    <row r="64" spans="1:10" x14ac:dyDescent="0.25">
      <c r="A64" s="16">
        <v>2007</v>
      </c>
      <c r="B64" s="25"/>
      <c r="C64" s="25"/>
      <c r="D64" s="25"/>
      <c r="E64" s="25"/>
      <c r="F64" s="25"/>
      <c r="G64" s="25"/>
      <c r="H64" s="25"/>
      <c r="I64" s="25"/>
      <c r="J64" s="55"/>
    </row>
    <row r="65" spans="1:58" x14ac:dyDescent="0.25">
      <c r="A65" s="16">
        <v>2008</v>
      </c>
      <c r="B65" s="25"/>
      <c r="C65" s="25"/>
      <c r="D65" s="25"/>
      <c r="E65" s="25"/>
      <c r="F65" s="25"/>
      <c r="G65" s="25"/>
      <c r="H65" s="25"/>
      <c r="I65" s="25"/>
    </row>
    <row r="66" spans="1:58" x14ac:dyDescent="0.25">
      <c r="A66" s="16">
        <v>2009</v>
      </c>
    </row>
    <row r="67" spans="1:58" x14ac:dyDescent="0.25">
      <c r="A67" s="16">
        <v>2010</v>
      </c>
      <c r="B67" s="25"/>
      <c r="C67" s="25"/>
      <c r="D67" s="25"/>
      <c r="E67" s="25"/>
      <c r="F67" s="25"/>
      <c r="G67" s="25"/>
      <c r="H67" s="25"/>
      <c r="I67" s="39"/>
      <c r="J67" s="52"/>
    </row>
    <row r="68" spans="1:58" x14ac:dyDescent="0.25">
      <c r="A68" s="16">
        <v>2011</v>
      </c>
      <c r="J68" s="55"/>
    </row>
    <row r="69" spans="1:58" x14ac:dyDescent="0.25">
      <c r="A69" s="16">
        <v>2012</v>
      </c>
      <c r="B69" s="25"/>
      <c r="C69" s="25"/>
      <c r="D69" s="25"/>
      <c r="E69" s="25"/>
      <c r="F69" s="25"/>
      <c r="G69" s="25"/>
      <c r="H69" s="25"/>
      <c r="I69" s="25"/>
      <c r="J69" s="55"/>
    </row>
    <row r="70" spans="1:58" x14ac:dyDescent="0.25">
      <c r="A70" s="16">
        <v>2013</v>
      </c>
      <c r="B70" s="25"/>
      <c r="C70" s="25"/>
      <c r="D70" s="25"/>
      <c r="E70" s="25"/>
      <c r="F70" s="25"/>
      <c r="G70" s="25"/>
      <c r="H70" s="25"/>
      <c r="I70" s="25"/>
      <c r="J70" s="55"/>
    </row>
    <row r="71" spans="1:58" x14ac:dyDescent="0.25">
      <c r="A71" s="16">
        <v>2014</v>
      </c>
      <c r="B71" s="25"/>
      <c r="C71" s="25"/>
      <c r="D71" s="25"/>
      <c r="E71" s="25"/>
      <c r="F71" s="25"/>
      <c r="G71" s="25"/>
      <c r="H71" s="25"/>
      <c r="I71" s="25"/>
      <c r="J71" s="55"/>
    </row>
    <row r="72" spans="1:58" x14ac:dyDescent="0.25">
      <c r="A72" s="16">
        <v>2015</v>
      </c>
      <c r="B72" s="25"/>
      <c r="C72" s="25"/>
      <c r="D72" s="25"/>
      <c r="E72" s="25"/>
      <c r="F72" s="25"/>
      <c r="G72" s="25"/>
      <c r="H72" s="25"/>
      <c r="I72" s="25"/>
      <c r="J72" s="55"/>
    </row>
    <row r="73" spans="1:58" x14ac:dyDescent="0.25">
      <c r="A73" s="16">
        <v>2016</v>
      </c>
      <c r="B73" s="25"/>
      <c r="C73" s="25"/>
      <c r="D73" s="25"/>
      <c r="E73" s="25"/>
      <c r="F73" s="25"/>
      <c r="G73" s="25"/>
      <c r="H73" s="25"/>
      <c r="I73" s="25"/>
      <c r="J73" s="55"/>
    </row>
    <row r="74" spans="1:58" x14ac:dyDescent="0.25">
      <c r="A74" s="16">
        <v>2017</v>
      </c>
      <c r="B74" s="25"/>
      <c r="C74" s="25"/>
      <c r="D74" s="25"/>
      <c r="E74" s="25"/>
      <c r="F74" s="25"/>
      <c r="G74" s="25"/>
      <c r="H74" s="25"/>
      <c r="I74" s="25"/>
      <c r="J74" s="55"/>
    </row>
    <row r="75" spans="1:58" x14ac:dyDescent="0.25">
      <c r="A75" s="16">
        <v>2018</v>
      </c>
      <c r="B75" s="25"/>
      <c r="C75" s="25"/>
      <c r="D75" s="25"/>
      <c r="E75" s="25"/>
      <c r="F75" s="25"/>
      <c r="G75" s="25"/>
      <c r="H75" s="25"/>
      <c r="I75" s="25"/>
      <c r="J75" s="55"/>
    </row>
    <row r="76" spans="1:58" x14ac:dyDescent="0.25">
      <c r="A76" s="16">
        <v>2019</v>
      </c>
      <c r="B76" s="25"/>
      <c r="C76" s="25"/>
      <c r="D76" s="25"/>
      <c r="E76" s="25"/>
      <c r="F76" s="25"/>
      <c r="G76" s="25"/>
      <c r="H76" s="25"/>
      <c r="I76" s="39"/>
      <c r="J76" s="55"/>
    </row>
    <row r="77" spans="1:58" x14ac:dyDescent="0.25">
      <c r="A77" s="16">
        <v>2020</v>
      </c>
      <c r="B77" s="25"/>
      <c r="C77" s="25"/>
      <c r="D77" s="25"/>
      <c r="E77" s="25"/>
      <c r="F77" s="25"/>
      <c r="G77" s="25"/>
      <c r="H77" s="25"/>
      <c r="I77" s="25"/>
      <c r="J77" s="55"/>
    </row>
    <row r="78" spans="1:58" s="28" customFormat="1" x14ac:dyDescent="0.25">
      <c r="A78" s="27"/>
      <c r="B78" s="26"/>
      <c r="C78" s="26"/>
      <c r="D78" s="26"/>
      <c r="E78" s="26"/>
      <c r="F78" s="26"/>
      <c r="G78" s="26"/>
      <c r="H78" s="26"/>
      <c r="I78" s="26"/>
      <c r="J78" s="55"/>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row>
    <row r="79" spans="1:58" s="28" customFormat="1" x14ac:dyDescent="0.25">
      <c r="A79" s="27"/>
      <c r="B79" s="24"/>
      <c r="C79" s="24"/>
      <c r="D79" s="24"/>
      <c r="E79" s="24"/>
      <c r="F79" s="24"/>
      <c r="G79" s="24"/>
      <c r="H79" s="24"/>
      <c r="I79" s="24"/>
      <c r="J79" s="56"/>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row>
    <row r="80" spans="1:58" s="28" customFormat="1" x14ac:dyDescent="0.25">
      <c r="A80" s="27"/>
      <c r="B80" s="24"/>
      <c r="C80" s="24"/>
      <c r="D80" s="24"/>
      <c r="E80" s="24"/>
      <c r="F80" s="24"/>
      <c r="G80" s="24"/>
      <c r="H80" s="24"/>
      <c r="I80" s="24"/>
      <c r="J80" s="56"/>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row>
    <row r="87" spans="1:58" s="28" customFormat="1" x14ac:dyDescent="0.25">
      <c r="A87" s="27"/>
      <c r="B87" s="24"/>
      <c r="C87" s="24"/>
      <c r="D87" s="24"/>
      <c r="E87" s="24"/>
      <c r="F87" s="24"/>
      <c r="G87" s="24"/>
      <c r="H87" s="24"/>
      <c r="I87" s="24"/>
      <c r="J87" s="56"/>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row>
    <row r="88" spans="1:58" s="28" customFormat="1" x14ac:dyDescent="0.25">
      <c r="A88" s="27"/>
      <c r="B88" s="24"/>
      <c r="C88" s="24"/>
      <c r="D88" s="24"/>
      <c r="E88" s="24"/>
      <c r="F88" s="24"/>
      <c r="G88" s="24"/>
      <c r="H88" s="24"/>
      <c r="I88" s="24"/>
      <c r="J88" s="56"/>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3A8A3-A812-4831-9B9C-082F2B0CDB10}">
  <dimension ref="A1:BQ88"/>
  <sheetViews>
    <sheetView zoomScale="85" zoomScaleNormal="85" workbookViewId="0">
      <pane xSplit="1" ySplit="1" topLeftCell="F2" activePane="bottomRight" state="frozen"/>
      <selection pane="topRight" activeCell="B1" sqref="B1"/>
      <selection pane="bottomLeft" activeCell="A2" sqref="A2"/>
      <selection pane="bottomRight" activeCell="F14" sqref="F14"/>
    </sheetView>
  </sheetViews>
  <sheetFormatPr defaultColWidth="10.7109375" defaultRowHeight="15" x14ac:dyDescent="0.25"/>
  <cols>
    <col min="1" max="1" width="8" style="27" bestFit="1" customWidth="1"/>
    <col min="2" max="9" width="15.140625" style="24" customWidth="1"/>
    <col min="10" max="10" width="4.42578125" style="48" customWidth="1"/>
    <col min="11" max="14" width="14.140625" style="1" customWidth="1"/>
    <col min="15" max="15" width="12.7109375" style="24" customWidth="1"/>
    <col min="16" max="16384" width="10.7109375" style="24"/>
  </cols>
  <sheetData>
    <row r="1" spans="1:18" s="30" customFormat="1" ht="45" x14ac:dyDescent="0.25">
      <c r="A1" s="29" t="s">
        <v>0</v>
      </c>
      <c r="B1" s="22" t="s">
        <v>15</v>
      </c>
      <c r="C1" s="22" t="s">
        <v>16</v>
      </c>
      <c r="D1" s="22" t="s">
        <v>7</v>
      </c>
      <c r="E1" s="22" t="s">
        <v>17</v>
      </c>
      <c r="F1" s="22" t="s">
        <v>12</v>
      </c>
      <c r="G1" s="22" t="s">
        <v>5</v>
      </c>
      <c r="H1" s="22" t="s">
        <v>6</v>
      </c>
      <c r="I1" s="22" t="s">
        <v>8</v>
      </c>
      <c r="J1" s="45"/>
      <c r="K1" s="5" t="s">
        <v>23</v>
      </c>
      <c r="L1" s="5" t="s">
        <v>18</v>
      </c>
      <c r="M1" s="5" t="s">
        <v>24</v>
      </c>
      <c r="N1" s="5" t="s">
        <v>19</v>
      </c>
      <c r="O1" s="5" t="s">
        <v>20</v>
      </c>
    </row>
    <row r="2" spans="1:18" x14ac:dyDescent="0.25">
      <c r="A2" s="16">
        <v>1945</v>
      </c>
      <c r="B2" s="43">
        <f>6.17/15-C2</f>
        <v>5.8666666666666645E-2</v>
      </c>
      <c r="C2" s="43">
        <f>5.29/15</f>
        <v>0.35266666666666668</v>
      </c>
      <c r="D2" s="43">
        <f>8.12/15</f>
        <v>0.54133333333333333</v>
      </c>
      <c r="E2" s="43">
        <f>2.68/15</f>
        <v>0.17866666666666667</v>
      </c>
      <c r="F2" s="43">
        <f>0.24/15</f>
        <v>1.6E-2</v>
      </c>
      <c r="G2" s="44">
        <f>1.46/15</f>
        <v>9.7333333333333327E-2</v>
      </c>
      <c r="H2" s="1">
        <f>1.62/15</f>
        <v>0.10800000000000001</v>
      </c>
      <c r="I2" s="44">
        <f>0.41/15</f>
        <v>2.7333333333333331E-2</v>
      </c>
      <c r="J2" s="46"/>
      <c r="K2" s="34"/>
      <c r="L2" s="34"/>
      <c r="M2" s="34"/>
      <c r="N2" s="34"/>
    </row>
    <row r="3" spans="1:18" x14ac:dyDescent="0.25">
      <c r="A3" s="16">
        <v>1946</v>
      </c>
      <c r="B3" s="43">
        <f t="shared" ref="B3:B22" si="0">6.17/15-C3</f>
        <v>5.8666666666666645E-2</v>
      </c>
      <c r="C3" s="43">
        <f t="shared" ref="C3:C22" si="1">5.29/15</f>
        <v>0.35266666666666668</v>
      </c>
      <c r="D3" s="43">
        <f t="shared" ref="D3:D22" si="2">8.12/15</f>
        <v>0.54133333333333333</v>
      </c>
      <c r="E3" s="43">
        <f t="shared" ref="E3:E22" si="3">2.68/15</f>
        <v>0.17866666666666667</v>
      </c>
      <c r="F3" s="43">
        <f t="shared" ref="F3:F22" si="4">0.24/15</f>
        <v>1.6E-2</v>
      </c>
      <c r="G3" s="44">
        <f t="shared" ref="G3:G22" si="5">1.46/15</f>
        <v>9.7333333333333327E-2</v>
      </c>
      <c r="H3" s="1">
        <f t="shared" ref="H3:H22" si="6">1.62/15</f>
        <v>0.10800000000000001</v>
      </c>
      <c r="I3" s="44">
        <f t="shared" ref="I3:I22" si="7">0.41/15</f>
        <v>2.7333333333333331E-2</v>
      </c>
      <c r="J3" s="46"/>
      <c r="K3" s="34"/>
      <c r="L3" s="34"/>
      <c r="M3" s="34"/>
      <c r="N3" s="34"/>
    </row>
    <row r="4" spans="1:18" x14ac:dyDescent="0.25">
      <c r="A4" s="16">
        <v>1947</v>
      </c>
      <c r="B4" s="43">
        <f t="shared" si="0"/>
        <v>5.8666666666666645E-2</v>
      </c>
      <c r="C4" s="43">
        <f t="shared" si="1"/>
        <v>0.35266666666666668</v>
      </c>
      <c r="D4" s="43">
        <f t="shared" si="2"/>
        <v>0.54133333333333333</v>
      </c>
      <c r="E4" s="43">
        <f t="shared" si="3"/>
        <v>0.17866666666666667</v>
      </c>
      <c r="F4" s="43">
        <f t="shared" si="4"/>
        <v>1.6E-2</v>
      </c>
      <c r="G4" s="44">
        <f t="shared" si="5"/>
        <v>9.7333333333333327E-2</v>
      </c>
      <c r="H4" s="1">
        <f t="shared" si="6"/>
        <v>0.10800000000000001</v>
      </c>
      <c r="I4" s="44">
        <f t="shared" si="7"/>
        <v>2.7333333333333331E-2</v>
      </c>
      <c r="J4" s="46"/>
      <c r="K4" s="34">
        <f>19.39/15</f>
        <v>1.2926666666666666</v>
      </c>
      <c r="L4" s="59">
        <f>K4*0.05*1000</f>
        <v>64.63333333333334</v>
      </c>
      <c r="M4" s="34">
        <f>10.05/15</f>
        <v>0.67</v>
      </c>
      <c r="N4" s="59">
        <f>M4/278*1000</f>
        <v>2.4100719424460433</v>
      </c>
      <c r="O4" s="24">
        <v>0</v>
      </c>
      <c r="Q4" s="40"/>
      <c r="R4" s="40"/>
    </row>
    <row r="5" spans="1:18" x14ac:dyDescent="0.25">
      <c r="A5" s="16">
        <v>1948</v>
      </c>
      <c r="B5" s="43">
        <f t="shared" si="0"/>
        <v>5.8666666666666645E-2</v>
      </c>
      <c r="C5" s="43">
        <f t="shared" si="1"/>
        <v>0.35266666666666668</v>
      </c>
      <c r="D5" s="43">
        <f t="shared" si="2"/>
        <v>0.54133333333333333</v>
      </c>
      <c r="E5" s="43">
        <f t="shared" si="3"/>
        <v>0.17866666666666667</v>
      </c>
      <c r="F5" s="43">
        <f t="shared" si="4"/>
        <v>1.6E-2</v>
      </c>
      <c r="G5" s="44">
        <f t="shared" si="5"/>
        <v>9.7333333333333327E-2</v>
      </c>
      <c r="H5" s="1">
        <f t="shared" si="6"/>
        <v>0.10800000000000001</v>
      </c>
      <c r="I5" s="44">
        <f t="shared" si="7"/>
        <v>2.7333333333333331E-2</v>
      </c>
      <c r="J5" s="46"/>
      <c r="K5" s="34"/>
      <c r="L5" s="58"/>
      <c r="M5" s="34"/>
      <c r="N5" s="34"/>
      <c r="Q5" s="40"/>
      <c r="R5" s="40"/>
    </row>
    <row r="6" spans="1:18" x14ac:dyDescent="0.25">
      <c r="A6" s="16">
        <v>1949</v>
      </c>
      <c r="B6" s="43">
        <f t="shared" si="0"/>
        <v>5.8666666666666645E-2</v>
      </c>
      <c r="C6" s="43">
        <f t="shared" si="1"/>
        <v>0.35266666666666668</v>
      </c>
      <c r="D6" s="43">
        <f t="shared" si="2"/>
        <v>0.54133333333333333</v>
      </c>
      <c r="E6" s="43">
        <f t="shared" si="3"/>
        <v>0.17866666666666667</v>
      </c>
      <c r="F6" s="43">
        <f t="shared" si="4"/>
        <v>1.6E-2</v>
      </c>
      <c r="G6" s="44">
        <f t="shared" si="5"/>
        <v>9.7333333333333327E-2</v>
      </c>
      <c r="H6" s="1">
        <f t="shared" si="6"/>
        <v>0.10800000000000001</v>
      </c>
      <c r="I6" s="44">
        <f t="shared" si="7"/>
        <v>2.7333333333333331E-2</v>
      </c>
      <c r="J6" s="46"/>
      <c r="K6" s="34"/>
      <c r="L6" s="58"/>
      <c r="M6" s="34"/>
      <c r="N6" s="34"/>
      <c r="Q6" s="40"/>
      <c r="R6" s="40"/>
    </row>
    <row r="7" spans="1:18" x14ac:dyDescent="0.25">
      <c r="A7" s="16">
        <v>1950</v>
      </c>
      <c r="B7" s="43">
        <f t="shared" si="0"/>
        <v>5.8666666666666645E-2</v>
      </c>
      <c r="C7" s="43">
        <f t="shared" si="1"/>
        <v>0.35266666666666668</v>
      </c>
      <c r="D7" s="43">
        <f t="shared" si="2"/>
        <v>0.54133333333333333</v>
      </c>
      <c r="E7" s="43">
        <f t="shared" si="3"/>
        <v>0.17866666666666667</v>
      </c>
      <c r="F7" s="43">
        <f t="shared" si="4"/>
        <v>1.6E-2</v>
      </c>
      <c r="G7" s="44">
        <f t="shared" si="5"/>
        <v>9.7333333333333327E-2</v>
      </c>
      <c r="H7" s="1">
        <f t="shared" si="6"/>
        <v>0.10800000000000001</v>
      </c>
      <c r="I7" s="44">
        <f t="shared" si="7"/>
        <v>2.7333333333333331E-2</v>
      </c>
      <c r="J7" s="46"/>
      <c r="K7" s="34">
        <f>16.15/15</f>
        <v>1.0766666666666667</v>
      </c>
      <c r="L7" s="59">
        <f>K7*0.05*1000</f>
        <v>53.833333333333336</v>
      </c>
      <c r="M7" s="34">
        <f>7.5/15</f>
        <v>0.5</v>
      </c>
      <c r="N7" s="59">
        <f>M7/278*1000</f>
        <v>1.7985611510791368</v>
      </c>
      <c r="O7" s="24">
        <v>0</v>
      </c>
      <c r="Q7" s="40"/>
      <c r="R7" s="40"/>
    </row>
    <row r="8" spans="1:18" x14ac:dyDescent="0.25">
      <c r="A8" s="16">
        <v>1951</v>
      </c>
      <c r="B8" s="43">
        <f t="shared" si="0"/>
        <v>5.8666666666666645E-2</v>
      </c>
      <c r="C8" s="43">
        <f t="shared" si="1"/>
        <v>0.35266666666666668</v>
      </c>
      <c r="D8" s="43">
        <f t="shared" si="2"/>
        <v>0.54133333333333333</v>
      </c>
      <c r="E8" s="43">
        <f t="shared" si="3"/>
        <v>0.17866666666666667</v>
      </c>
      <c r="F8" s="43">
        <f t="shared" si="4"/>
        <v>1.6E-2</v>
      </c>
      <c r="G8" s="44">
        <f t="shared" si="5"/>
        <v>9.7333333333333327E-2</v>
      </c>
      <c r="H8" s="1">
        <f t="shared" si="6"/>
        <v>0.10800000000000001</v>
      </c>
      <c r="I8" s="44">
        <f t="shared" si="7"/>
        <v>2.7333333333333331E-2</v>
      </c>
      <c r="J8" s="46"/>
      <c r="K8" s="34"/>
      <c r="L8" s="34"/>
      <c r="M8" s="34"/>
      <c r="N8" s="34"/>
      <c r="Q8" s="40"/>
      <c r="R8" s="40"/>
    </row>
    <row r="9" spans="1:18" x14ac:dyDescent="0.25">
      <c r="A9" s="16">
        <v>1952</v>
      </c>
      <c r="B9" s="43">
        <f t="shared" si="0"/>
        <v>5.8666666666666645E-2</v>
      </c>
      <c r="C9" s="43">
        <f t="shared" si="1"/>
        <v>0.35266666666666668</v>
      </c>
      <c r="D9" s="43">
        <f t="shared" si="2"/>
        <v>0.54133333333333333</v>
      </c>
      <c r="E9" s="43">
        <f t="shared" si="3"/>
        <v>0.17866666666666667</v>
      </c>
      <c r="F9" s="43">
        <f t="shared" si="4"/>
        <v>1.6E-2</v>
      </c>
      <c r="G9" s="44">
        <f t="shared" si="5"/>
        <v>9.7333333333333327E-2</v>
      </c>
      <c r="H9" s="1">
        <f t="shared" si="6"/>
        <v>0.10800000000000001</v>
      </c>
      <c r="I9" s="44">
        <f t="shared" si="7"/>
        <v>2.7333333333333331E-2</v>
      </c>
      <c r="J9" s="46"/>
      <c r="K9" s="34"/>
      <c r="L9" s="34"/>
      <c r="M9" s="34"/>
      <c r="N9" s="34"/>
      <c r="Q9" s="40"/>
      <c r="R9" s="40"/>
    </row>
    <row r="10" spans="1:18" x14ac:dyDescent="0.25">
      <c r="A10" s="16">
        <v>1953</v>
      </c>
      <c r="B10" s="43">
        <f t="shared" si="0"/>
        <v>5.8666666666666645E-2</v>
      </c>
      <c r="C10" s="43">
        <f t="shared" si="1"/>
        <v>0.35266666666666668</v>
      </c>
      <c r="D10" s="43">
        <f t="shared" si="2"/>
        <v>0.54133333333333333</v>
      </c>
      <c r="E10" s="43">
        <f t="shared" si="3"/>
        <v>0.17866666666666667</v>
      </c>
      <c r="F10" s="43">
        <f t="shared" si="4"/>
        <v>1.6E-2</v>
      </c>
      <c r="G10" s="44">
        <f t="shared" si="5"/>
        <v>9.7333333333333327E-2</v>
      </c>
      <c r="H10" s="1">
        <f t="shared" si="6"/>
        <v>0.10800000000000001</v>
      </c>
      <c r="I10" s="44">
        <f t="shared" si="7"/>
        <v>2.7333333333333331E-2</v>
      </c>
      <c r="J10" s="46"/>
      <c r="K10" s="34"/>
      <c r="L10" s="34"/>
      <c r="M10" s="34"/>
      <c r="N10" s="34"/>
      <c r="Q10" s="40"/>
      <c r="R10" s="40"/>
    </row>
    <row r="11" spans="1:18" x14ac:dyDescent="0.25">
      <c r="A11" s="16">
        <v>1954</v>
      </c>
      <c r="B11" s="43">
        <f t="shared" si="0"/>
        <v>5.8666666666666645E-2</v>
      </c>
      <c r="C11" s="43">
        <f t="shared" si="1"/>
        <v>0.35266666666666668</v>
      </c>
      <c r="D11" s="43">
        <f t="shared" si="2"/>
        <v>0.54133333333333333</v>
      </c>
      <c r="E11" s="43">
        <f t="shared" si="3"/>
        <v>0.17866666666666667</v>
      </c>
      <c r="F11" s="43">
        <f t="shared" si="4"/>
        <v>1.6E-2</v>
      </c>
      <c r="G11" s="44">
        <f t="shared" si="5"/>
        <v>9.7333333333333327E-2</v>
      </c>
      <c r="H11" s="1">
        <f t="shared" si="6"/>
        <v>0.10800000000000001</v>
      </c>
      <c r="I11" s="44">
        <f t="shared" si="7"/>
        <v>2.7333333333333331E-2</v>
      </c>
      <c r="J11" s="46"/>
      <c r="K11" s="34"/>
      <c r="L11" s="34"/>
      <c r="M11" s="34"/>
      <c r="N11" s="34"/>
      <c r="Q11" s="40"/>
      <c r="R11" s="40"/>
    </row>
    <row r="12" spans="1:18" x14ac:dyDescent="0.25">
      <c r="A12" s="16">
        <v>1955</v>
      </c>
      <c r="B12" s="43">
        <f t="shared" si="0"/>
        <v>5.8666666666666645E-2</v>
      </c>
      <c r="C12" s="43">
        <f t="shared" si="1"/>
        <v>0.35266666666666668</v>
      </c>
      <c r="D12" s="43">
        <f t="shared" si="2"/>
        <v>0.54133333333333333</v>
      </c>
      <c r="E12" s="43">
        <f t="shared" si="3"/>
        <v>0.17866666666666667</v>
      </c>
      <c r="F12" s="43">
        <f t="shared" si="4"/>
        <v>1.6E-2</v>
      </c>
      <c r="G12" s="44">
        <f t="shared" si="5"/>
        <v>9.7333333333333327E-2</v>
      </c>
      <c r="H12" s="1">
        <f t="shared" si="6"/>
        <v>0.10800000000000001</v>
      </c>
      <c r="I12" s="44">
        <f t="shared" si="7"/>
        <v>2.7333333333333331E-2</v>
      </c>
      <c r="J12" s="46"/>
      <c r="K12" s="34"/>
      <c r="L12" s="34"/>
      <c r="M12" s="34"/>
      <c r="N12" s="34"/>
      <c r="Q12" s="40"/>
      <c r="R12" s="40"/>
    </row>
    <row r="13" spans="1:18" x14ac:dyDescent="0.25">
      <c r="A13" s="16">
        <v>1956</v>
      </c>
      <c r="B13" s="43">
        <f t="shared" si="0"/>
        <v>5.8666666666666645E-2</v>
      </c>
      <c r="C13" s="43">
        <f t="shared" si="1"/>
        <v>0.35266666666666668</v>
      </c>
      <c r="D13" s="43">
        <f t="shared" si="2"/>
        <v>0.54133333333333333</v>
      </c>
      <c r="E13" s="43">
        <f t="shared" si="3"/>
        <v>0.17866666666666667</v>
      </c>
      <c r="F13" s="43">
        <f t="shared" si="4"/>
        <v>1.6E-2</v>
      </c>
      <c r="G13" s="44">
        <f t="shared" si="5"/>
        <v>9.7333333333333327E-2</v>
      </c>
      <c r="H13" s="1">
        <f t="shared" si="6"/>
        <v>0.10800000000000001</v>
      </c>
      <c r="I13" s="44">
        <f t="shared" si="7"/>
        <v>2.7333333333333331E-2</v>
      </c>
      <c r="J13" s="46"/>
      <c r="K13" s="34"/>
      <c r="L13" s="34"/>
      <c r="M13" s="34"/>
      <c r="N13" s="34"/>
      <c r="Q13" s="40"/>
      <c r="R13" s="40"/>
    </row>
    <row r="14" spans="1:18" x14ac:dyDescent="0.25">
      <c r="A14" s="16">
        <v>1957</v>
      </c>
      <c r="B14" s="43">
        <f t="shared" si="0"/>
        <v>5.8666666666666645E-2</v>
      </c>
      <c r="C14" s="43">
        <f t="shared" si="1"/>
        <v>0.35266666666666668</v>
      </c>
      <c r="D14" s="43">
        <f t="shared" si="2"/>
        <v>0.54133333333333333</v>
      </c>
      <c r="E14" s="43">
        <f t="shared" si="3"/>
        <v>0.17866666666666667</v>
      </c>
      <c r="F14" s="43">
        <f t="shared" si="4"/>
        <v>1.6E-2</v>
      </c>
      <c r="G14" s="44">
        <f t="shared" si="5"/>
        <v>9.7333333333333327E-2</v>
      </c>
      <c r="H14" s="1">
        <f t="shared" si="6"/>
        <v>0.10800000000000001</v>
      </c>
      <c r="I14" s="44">
        <f t="shared" si="7"/>
        <v>2.7333333333333331E-2</v>
      </c>
      <c r="J14" s="46"/>
      <c r="K14" s="34"/>
      <c r="L14" s="34"/>
      <c r="M14" s="34"/>
      <c r="N14" s="34"/>
      <c r="Q14" s="40"/>
      <c r="R14" s="40"/>
    </row>
    <row r="15" spans="1:18" x14ac:dyDescent="0.25">
      <c r="A15" s="16">
        <v>1958</v>
      </c>
      <c r="B15" s="43">
        <f t="shared" si="0"/>
        <v>5.8666666666666645E-2</v>
      </c>
      <c r="C15" s="43">
        <f t="shared" si="1"/>
        <v>0.35266666666666668</v>
      </c>
      <c r="D15" s="43">
        <f t="shared" si="2"/>
        <v>0.54133333333333333</v>
      </c>
      <c r="E15" s="43">
        <f t="shared" si="3"/>
        <v>0.17866666666666667</v>
      </c>
      <c r="F15" s="43">
        <f t="shared" si="4"/>
        <v>1.6E-2</v>
      </c>
      <c r="G15" s="44">
        <f t="shared" si="5"/>
        <v>9.7333333333333327E-2</v>
      </c>
      <c r="H15" s="1">
        <f t="shared" si="6"/>
        <v>0.10800000000000001</v>
      </c>
      <c r="I15" s="44">
        <f t="shared" si="7"/>
        <v>2.7333333333333331E-2</v>
      </c>
      <c r="J15" s="46"/>
      <c r="K15" s="34"/>
      <c r="L15" s="34"/>
      <c r="M15" s="34"/>
      <c r="N15" s="34"/>
      <c r="Q15" s="40"/>
      <c r="R15" s="40"/>
    </row>
    <row r="16" spans="1:18" x14ac:dyDescent="0.25">
      <c r="A16" s="16">
        <v>1959</v>
      </c>
      <c r="B16" s="43">
        <f t="shared" si="0"/>
        <v>5.8666666666666645E-2</v>
      </c>
      <c r="C16" s="43">
        <f t="shared" si="1"/>
        <v>0.35266666666666668</v>
      </c>
      <c r="D16" s="43">
        <f t="shared" si="2"/>
        <v>0.54133333333333333</v>
      </c>
      <c r="E16" s="43">
        <f t="shared" si="3"/>
        <v>0.17866666666666667</v>
      </c>
      <c r="F16" s="43">
        <f t="shared" si="4"/>
        <v>1.6E-2</v>
      </c>
      <c r="G16" s="44">
        <f t="shared" si="5"/>
        <v>9.7333333333333327E-2</v>
      </c>
      <c r="H16" s="1">
        <f t="shared" si="6"/>
        <v>0.10800000000000001</v>
      </c>
      <c r="I16" s="44">
        <f t="shared" si="7"/>
        <v>2.7333333333333331E-2</v>
      </c>
      <c r="J16" s="46"/>
      <c r="K16" s="34"/>
      <c r="L16" s="34"/>
      <c r="M16" s="34"/>
      <c r="N16" s="34"/>
      <c r="Q16" s="40"/>
      <c r="R16" s="40"/>
    </row>
    <row r="17" spans="1:18" x14ac:dyDescent="0.25">
      <c r="A17" s="16">
        <v>1960</v>
      </c>
      <c r="B17" s="43">
        <f t="shared" si="0"/>
        <v>5.8666666666666645E-2</v>
      </c>
      <c r="C17" s="43">
        <f t="shared" si="1"/>
        <v>0.35266666666666668</v>
      </c>
      <c r="D17" s="43">
        <f t="shared" si="2"/>
        <v>0.54133333333333333</v>
      </c>
      <c r="E17" s="43">
        <f t="shared" si="3"/>
        <v>0.17866666666666667</v>
      </c>
      <c r="F17" s="43">
        <f t="shared" si="4"/>
        <v>1.6E-2</v>
      </c>
      <c r="G17" s="44">
        <f t="shared" si="5"/>
        <v>9.7333333333333327E-2</v>
      </c>
      <c r="H17" s="1">
        <f t="shared" si="6"/>
        <v>0.10800000000000001</v>
      </c>
      <c r="I17" s="44">
        <f t="shared" si="7"/>
        <v>2.7333333333333331E-2</v>
      </c>
      <c r="J17" s="46"/>
      <c r="K17" s="34">
        <f>9.3/15</f>
        <v>0.62</v>
      </c>
      <c r="L17" s="59">
        <f>K17*0.05*1000</f>
        <v>31</v>
      </c>
      <c r="M17" s="34">
        <f>5.24/15</f>
        <v>0.34933333333333333</v>
      </c>
      <c r="N17" s="59">
        <f>M17/278*1000</f>
        <v>1.2565947242206235</v>
      </c>
      <c r="O17" s="24">
        <v>0</v>
      </c>
      <c r="Q17" s="40"/>
      <c r="R17" s="40"/>
    </row>
    <row r="18" spans="1:18" x14ac:dyDescent="0.25">
      <c r="A18" s="16">
        <v>1961</v>
      </c>
      <c r="B18" s="43">
        <f t="shared" si="0"/>
        <v>5.8666666666666645E-2</v>
      </c>
      <c r="C18" s="43">
        <f t="shared" si="1"/>
        <v>0.35266666666666668</v>
      </c>
      <c r="D18" s="43">
        <f t="shared" si="2"/>
        <v>0.54133333333333333</v>
      </c>
      <c r="E18" s="43">
        <f t="shared" si="3"/>
        <v>0.17866666666666667</v>
      </c>
      <c r="F18" s="43">
        <f t="shared" si="4"/>
        <v>1.6E-2</v>
      </c>
      <c r="G18" s="44">
        <f t="shared" si="5"/>
        <v>9.7333333333333327E-2</v>
      </c>
      <c r="H18" s="1">
        <f t="shared" si="6"/>
        <v>0.10800000000000001</v>
      </c>
      <c r="I18" s="44">
        <f t="shared" si="7"/>
        <v>2.7333333333333331E-2</v>
      </c>
      <c r="J18" s="46"/>
      <c r="K18" s="34"/>
      <c r="L18" s="34"/>
      <c r="M18" s="34"/>
      <c r="N18" s="34"/>
      <c r="Q18" s="40"/>
      <c r="R18" s="40"/>
    </row>
    <row r="19" spans="1:18" x14ac:dyDescent="0.25">
      <c r="A19" s="16">
        <v>1962</v>
      </c>
      <c r="B19" s="43">
        <f t="shared" si="0"/>
        <v>5.8666666666666645E-2</v>
      </c>
      <c r="C19" s="43">
        <f t="shared" si="1"/>
        <v>0.35266666666666668</v>
      </c>
      <c r="D19" s="43">
        <f t="shared" si="2"/>
        <v>0.54133333333333333</v>
      </c>
      <c r="E19" s="43">
        <f t="shared" si="3"/>
        <v>0.17866666666666667</v>
      </c>
      <c r="F19" s="43">
        <f t="shared" si="4"/>
        <v>1.6E-2</v>
      </c>
      <c r="G19" s="44">
        <f t="shared" si="5"/>
        <v>9.7333333333333327E-2</v>
      </c>
      <c r="H19" s="1">
        <f t="shared" si="6"/>
        <v>0.10800000000000001</v>
      </c>
      <c r="I19" s="44">
        <f t="shared" si="7"/>
        <v>2.7333333333333331E-2</v>
      </c>
      <c r="J19" s="46"/>
      <c r="K19" s="34"/>
      <c r="L19" s="34"/>
      <c r="M19" s="34"/>
      <c r="N19" s="34"/>
      <c r="Q19" s="40"/>
      <c r="R19" s="40"/>
    </row>
    <row r="20" spans="1:18" x14ac:dyDescent="0.25">
      <c r="A20" s="16">
        <v>1963</v>
      </c>
      <c r="B20" s="43">
        <f t="shared" si="0"/>
        <v>5.8666666666666645E-2</v>
      </c>
      <c r="C20" s="43">
        <f t="shared" si="1"/>
        <v>0.35266666666666668</v>
      </c>
      <c r="D20" s="43">
        <f t="shared" si="2"/>
        <v>0.54133333333333333</v>
      </c>
      <c r="E20" s="43">
        <f t="shared" si="3"/>
        <v>0.17866666666666667</v>
      </c>
      <c r="F20" s="43">
        <f t="shared" si="4"/>
        <v>1.6E-2</v>
      </c>
      <c r="G20" s="44">
        <f t="shared" si="5"/>
        <v>9.7333333333333327E-2</v>
      </c>
      <c r="H20" s="1">
        <f t="shared" si="6"/>
        <v>0.10800000000000001</v>
      </c>
      <c r="I20" s="44">
        <f t="shared" si="7"/>
        <v>2.7333333333333331E-2</v>
      </c>
      <c r="J20" s="46"/>
      <c r="K20" s="34"/>
      <c r="L20" s="34"/>
      <c r="M20" s="34"/>
      <c r="N20" s="34"/>
      <c r="Q20" s="40"/>
      <c r="R20" s="40"/>
    </row>
    <row r="21" spans="1:18" x14ac:dyDescent="0.25">
      <c r="A21" s="16">
        <v>1964</v>
      </c>
      <c r="B21" s="43">
        <f t="shared" si="0"/>
        <v>5.8666666666666645E-2</v>
      </c>
      <c r="C21" s="43">
        <f t="shared" si="1"/>
        <v>0.35266666666666668</v>
      </c>
      <c r="D21" s="43">
        <f t="shared" si="2"/>
        <v>0.54133333333333333</v>
      </c>
      <c r="E21" s="43">
        <f t="shared" si="3"/>
        <v>0.17866666666666667</v>
      </c>
      <c r="F21" s="43">
        <f t="shared" si="4"/>
        <v>1.6E-2</v>
      </c>
      <c r="G21" s="44">
        <f t="shared" si="5"/>
        <v>9.7333333333333327E-2</v>
      </c>
      <c r="H21" s="1">
        <f t="shared" si="6"/>
        <v>0.10800000000000001</v>
      </c>
      <c r="I21" s="44">
        <f t="shared" si="7"/>
        <v>2.7333333333333331E-2</v>
      </c>
      <c r="J21" s="46"/>
      <c r="K21" s="34"/>
      <c r="L21" s="34"/>
      <c r="M21" s="34"/>
      <c r="N21" s="34"/>
      <c r="Q21" s="40"/>
      <c r="R21" s="40"/>
    </row>
    <row r="22" spans="1:18" x14ac:dyDescent="0.25">
      <c r="A22" s="16">
        <v>1965</v>
      </c>
      <c r="B22" s="43">
        <f t="shared" si="0"/>
        <v>5.8666666666666645E-2</v>
      </c>
      <c r="C22" s="43">
        <f t="shared" si="1"/>
        <v>0.35266666666666668</v>
      </c>
      <c r="D22" s="43">
        <f t="shared" si="2"/>
        <v>0.54133333333333333</v>
      </c>
      <c r="E22" s="43">
        <f t="shared" si="3"/>
        <v>0.17866666666666667</v>
      </c>
      <c r="F22" s="43">
        <f t="shared" si="4"/>
        <v>1.6E-2</v>
      </c>
      <c r="G22" s="44">
        <f t="shared" si="5"/>
        <v>9.7333333333333327E-2</v>
      </c>
      <c r="H22" s="1">
        <f t="shared" si="6"/>
        <v>0.10800000000000001</v>
      </c>
      <c r="I22" s="44">
        <f t="shared" si="7"/>
        <v>2.7333333333333331E-2</v>
      </c>
      <c r="J22" s="46"/>
      <c r="K22" s="34"/>
      <c r="L22" s="34"/>
      <c r="M22" s="34"/>
      <c r="N22" s="34"/>
      <c r="Q22" s="40"/>
      <c r="R22" s="40"/>
    </row>
    <row r="23" spans="1:18" x14ac:dyDescent="0.25">
      <c r="A23" s="16">
        <v>1966</v>
      </c>
      <c r="B23" s="43">
        <f t="shared" ref="B23:B30" si="8">5.39/15-C23</f>
        <v>5.1333333333333342E-2</v>
      </c>
      <c r="C23" s="43">
        <f>4.62/15</f>
        <v>0.308</v>
      </c>
      <c r="D23" s="43">
        <f t="shared" ref="D23:D50" si="9">6.83/15</f>
        <v>0.45533333333333331</v>
      </c>
      <c r="E23" s="43">
        <f>2.12/15</f>
        <v>0.14133333333333334</v>
      </c>
      <c r="F23" s="43">
        <f>0.2/15</f>
        <v>1.3333333333333334E-2</v>
      </c>
      <c r="G23" s="44">
        <f>0.91/15</f>
        <v>6.0666666666666667E-2</v>
      </c>
      <c r="H23" s="44">
        <f>1.71/15</f>
        <v>0.114</v>
      </c>
      <c r="I23" s="44">
        <f>0.82/15</f>
        <v>5.4666666666666662E-2</v>
      </c>
      <c r="J23" s="46"/>
      <c r="K23" s="34"/>
      <c r="L23" s="34"/>
      <c r="M23" s="34"/>
      <c r="N23" s="34"/>
      <c r="Q23" s="40"/>
      <c r="R23" s="40"/>
    </row>
    <row r="24" spans="1:18" x14ac:dyDescent="0.25">
      <c r="A24" s="16">
        <v>1967</v>
      </c>
      <c r="B24" s="43">
        <f t="shared" si="8"/>
        <v>5.1333333333333342E-2</v>
      </c>
      <c r="C24" s="43">
        <f t="shared" ref="C24:C50" si="10">4.62/15</f>
        <v>0.308</v>
      </c>
      <c r="D24" s="43">
        <f t="shared" si="9"/>
        <v>0.45533333333333331</v>
      </c>
      <c r="E24" s="43">
        <f t="shared" ref="E24:E50" si="11">2.12/15</f>
        <v>0.14133333333333334</v>
      </c>
      <c r="F24" s="43">
        <f t="shared" ref="F24:F31" si="12">0.2/15</f>
        <v>1.3333333333333334E-2</v>
      </c>
      <c r="G24" s="44">
        <f t="shared" ref="G24:G50" si="13">0.91/15</f>
        <v>6.0666666666666667E-2</v>
      </c>
      <c r="H24" s="44">
        <f t="shared" ref="H24:H50" si="14">1.71/15</f>
        <v>0.114</v>
      </c>
      <c r="I24" s="44">
        <f t="shared" ref="I24:I50" si="15">0.82/15</f>
        <v>5.4666666666666662E-2</v>
      </c>
      <c r="J24" s="46"/>
      <c r="K24" s="34"/>
      <c r="L24" s="34"/>
      <c r="M24" s="34"/>
      <c r="N24" s="34"/>
      <c r="Q24" s="40"/>
      <c r="R24" s="40"/>
    </row>
    <row r="25" spans="1:18" x14ac:dyDescent="0.25">
      <c r="A25" s="16">
        <v>1968</v>
      </c>
      <c r="B25" s="43">
        <f t="shared" si="8"/>
        <v>5.1333333333333342E-2</v>
      </c>
      <c r="C25" s="43">
        <f t="shared" si="10"/>
        <v>0.308</v>
      </c>
      <c r="D25" s="43">
        <f t="shared" si="9"/>
        <v>0.45533333333333331</v>
      </c>
      <c r="E25" s="43">
        <f t="shared" si="11"/>
        <v>0.14133333333333334</v>
      </c>
      <c r="F25" s="43">
        <f t="shared" si="12"/>
        <v>1.3333333333333334E-2</v>
      </c>
      <c r="G25" s="44">
        <f t="shared" si="13"/>
        <v>6.0666666666666667E-2</v>
      </c>
      <c r="H25" s="44">
        <f t="shared" si="14"/>
        <v>0.114</v>
      </c>
      <c r="I25" s="44">
        <f t="shared" si="15"/>
        <v>5.4666666666666662E-2</v>
      </c>
      <c r="J25" s="46"/>
      <c r="K25" s="34"/>
      <c r="L25" s="34"/>
      <c r="M25" s="34"/>
      <c r="N25" s="34"/>
      <c r="Q25" s="40"/>
      <c r="R25" s="40"/>
    </row>
    <row r="26" spans="1:18" x14ac:dyDescent="0.25">
      <c r="A26" s="16">
        <v>1969</v>
      </c>
      <c r="B26" s="43">
        <f t="shared" si="8"/>
        <v>5.1333333333333342E-2</v>
      </c>
      <c r="C26" s="43">
        <f t="shared" si="10"/>
        <v>0.308</v>
      </c>
      <c r="D26" s="43">
        <f t="shared" si="9"/>
        <v>0.45533333333333331</v>
      </c>
      <c r="E26" s="43">
        <f t="shared" si="11"/>
        <v>0.14133333333333334</v>
      </c>
      <c r="F26" s="43">
        <f t="shared" si="12"/>
        <v>1.3333333333333334E-2</v>
      </c>
      <c r="G26" s="44">
        <f t="shared" si="13"/>
        <v>6.0666666666666667E-2</v>
      </c>
      <c r="H26" s="44">
        <f t="shared" si="14"/>
        <v>0.114</v>
      </c>
      <c r="I26" s="44">
        <f t="shared" si="15"/>
        <v>5.4666666666666662E-2</v>
      </c>
      <c r="J26" s="46"/>
      <c r="K26" s="34"/>
      <c r="L26" s="34"/>
      <c r="M26" s="34"/>
      <c r="N26" s="34"/>
      <c r="Q26" s="40"/>
      <c r="R26" s="40"/>
    </row>
    <row r="27" spans="1:18" x14ac:dyDescent="0.25">
      <c r="A27" s="16">
        <v>1970</v>
      </c>
      <c r="B27" s="43">
        <f t="shared" si="8"/>
        <v>5.1333333333333342E-2</v>
      </c>
      <c r="C27" s="43">
        <f t="shared" si="10"/>
        <v>0.308</v>
      </c>
      <c r="D27" s="43">
        <f t="shared" si="9"/>
        <v>0.45533333333333331</v>
      </c>
      <c r="E27" s="43">
        <f t="shared" si="11"/>
        <v>0.14133333333333334</v>
      </c>
      <c r="F27" s="43">
        <f t="shared" si="12"/>
        <v>1.3333333333333334E-2</v>
      </c>
      <c r="G27" s="44">
        <f t="shared" si="13"/>
        <v>6.0666666666666667E-2</v>
      </c>
      <c r="H27" s="44">
        <f t="shared" si="14"/>
        <v>0.114</v>
      </c>
      <c r="I27" s="44">
        <f t="shared" si="15"/>
        <v>5.4666666666666662E-2</v>
      </c>
      <c r="J27" s="46"/>
      <c r="K27" s="34">
        <f>6.74/15</f>
        <v>0.44933333333333336</v>
      </c>
      <c r="L27" s="59">
        <f>K27*0.05*1000</f>
        <v>22.466666666666669</v>
      </c>
      <c r="M27" s="34">
        <f>5.4/15</f>
        <v>0.36000000000000004</v>
      </c>
      <c r="N27" s="59">
        <f>M27/278*1000</f>
        <v>1.2949640287769786</v>
      </c>
      <c r="O27" s="23">
        <v>2.1743999999999999</v>
      </c>
      <c r="Q27" s="40"/>
      <c r="R27" s="40"/>
    </row>
    <row r="28" spans="1:18" x14ac:dyDescent="0.25">
      <c r="A28" s="16">
        <v>1971</v>
      </c>
      <c r="B28" s="43">
        <f t="shared" si="8"/>
        <v>5.1333333333333342E-2</v>
      </c>
      <c r="C28" s="43">
        <f t="shared" si="10"/>
        <v>0.308</v>
      </c>
      <c r="D28" s="43">
        <f t="shared" si="9"/>
        <v>0.45533333333333331</v>
      </c>
      <c r="E28" s="43">
        <f t="shared" si="11"/>
        <v>0.14133333333333334</v>
      </c>
      <c r="F28" s="43">
        <f t="shared" si="12"/>
        <v>1.3333333333333334E-2</v>
      </c>
      <c r="G28" s="44">
        <f t="shared" si="13"/>
        <v>6.0666666666666667E-2</v>
      </c>
      <c r="H28" s="44">
        <f t="shared" si="14"/>
        <v>0.114</v>
      </c>
      <c r="I28" s="44">
        <f t="shared" si="15"/>
        <v>5.4666666666666662E-2</v>
      </c>
      <c r="J28" s="46"/>
      <c r="K28" s="34"/>
      <c r="L28" s="34"/>
      <c r="M28" s="34"/>
      <c r="N28" s="34"/>
      <c r="Q28" s="40"/>
      <c r="R28" s="40"/>
    </row>
    <row r="29" spans="1:18" x14ac:dyDescent="0.25">
      <c r="A29" s="16">
        <v>1972</v>
      </c>
      <c r="B29" s="43">
        <f t="shared" si="8"/>
        <v>5.1333333333333342E-2</v>
      </c>
      <c r="C29" s="43">
        <f t="shared" si="10"/>
        <v>0.308</v>
      </c>
      <c r="D29" s="43">
        <f t="shared" si="9"/>
        <v>0.45533333333333331</v>
      </c>
      <c r="E29" s="43">
        <f t="shared" si="11"/>
        <v>0.14133333333333334</v>
      </c>
      <c r="F29" s="43">
        <f t="shared" si="12"/>
        <v>1.3333333333333334E-2</v>
      </c>
      <c r="G29" s="44">
        <f t="shared" si="13"/>
        <v>6.0666666666666667E-2</v>
      </c>
      <c r="H29" s="44">
        <f t="shared" si="14"/>
        <v>0.114</v>
      </c>
      <c r="I29" s="44">
        <f t="shared" si="15"/>
        <v>5.4666666666666662E-2</v>
      </c>
      <c r="J29" s="46"/>
      <c r="K29" s="34"/>
      <c r="L29" s="34"/>
      <c r="M29" s="34"/>
      <c r="N29" s="34"/>
      <c r="Q29" s="40"/>
      <c r="R29" s="40"/>
    </row>
    <row r="30" spans="1:18" x14ac:dyDescent="0.25">
      <c r="A30" s="16">
        <v>1973</v>
      </c>
      <c r="B30" s="43">
        <f t="shared" si="8"/>
        <v>5.1333333333333342E-2</v>
      </c>
      <c r="C30" s="43">
        <f t="shared" si="10"/>
        <v>0.308</v>
      </c>
      <c r="D30" s="43">
        <f t="shared" si="9"/>
        <v>0.45533333333333331</v>
      </c>
      <c r="E30" s="43">
        <f t="shared" si="11"/>
        <v>0.14133333333333334</v>
      </c>
      <c r="F30" s="43">
        <f t="shared" si="12"/>
        <v>1.3333333333333334E-2</v>
      </c>
      <c r="G30" s="44">
        <f t="shared" si="13"/>
        <v>6.0666666666666667E-2</v>
      </c>
      <c r="H30" s="44">
        <f t="shared" si="14"/>
        <v>0.114</v>
      </c>
      <c r="I30" s="44">
        <f t="shared" si="15"/>
        <v>5.4666666666666662E-2</v>
      </c>
      <c r="J30" s="46"/>
      <c r="K30" s="34"/>
      <c r="L30" s="34"/>
      <c r="M30" s="34"/>
      <c r="N30" s="34"/>
      <c r="Q30" s="40"/>
      <c r="R30" s="40"/>
    </row>
    <row r="31" spans="1:18" x14ac:dyDescent="0.25">
      <c r="A31" s="16">
        <v>1974</v>
      </c>
      <c r="B31" s="43">
        <f>5.39/15-C31</f>
        <v>5.1333333333333342E-2</v>
      </c>
      <c r="C31" s="43">
        <f t="shared" si="10"/>
        <v>0.308</v>
      </c>
      <c r="D31" s="43">
        <f t="shared" si="9"/>
        <v>0.45533333333333331</v>
      </c>
      <c r="E31" s="43">
        <f t="shared" si="11"/>
        <v>0.14133333333333334</v>
      </c>
      <c r="F31" s="43">
        <f t="shared" si="12"/>
        <v>1.3333333333333334E-2</v>
      </c>
      <c r="G31" s="44">
        <f t="shared" si="13"/>
        <v>6.0666666666666667E-2</v>
      </c>
      <c r="H31" s="44">
        <f t="shared" si="14"/>
        <v>0.114</v>
      </c>
      <c r="I31" s="44">
        <f t="shared" si="15"/>
        <v>5.4666666666666662E-2</v>
      </c>
      <c r="J31" s="46"/>
      <c r="K31" s="34"/>
      <c r="L31" s="34"/>
      <c r="M31" s="34"/>
      <c r="N31" s="34"/>
      <c r="Q31" s="40"/>
      <c r="R31" s="40"/>
    </row>
    <row r="32" spans="1:18" x14ac:dyDescent="0.25">
      <c r="A32" s="16">
        <v>1975</v>
      </c>
      <c r="B32" s="43">
        <f>5.39/15-C32</f>
        <v>5.1333333333333342E-2</v>
      </c>
      <c r="C32" s="43">
        <f t="shared" si="10"/>
        <v>0.308</v>
      </c>
      <c r="D32" s="43">
        <f t="shared" si="9"/>
        <v>0.45533333333333331</v>
      </c>
      <c r="E32" s="43">
        <f t="shared" si="11"/>
        <v>0.14133333333333334</v>
      </c>
      <c r="F32" s="43">
        <f>0.2/15</f>
        <v>1.3333333333333334E-2</v>
      </c>
      <c r="G32" s="44">
        <f t="shared" si="13"/>
        <v>6.0666666666666667E-2</v>
      </c>
      <c r="H32" s="44">
        <f t="shared" si="14"/>
        <v>0.114</v>
      </c>
      <c r="I32" s="44">
        <f t="shared" si="15"/>
        <v>5.4666666666666662E-2</v>
      </c>
      <c r="J32" s="46"/>
      <c r="K32" s="34">
        <f>5.53/15</f>
        <v>0.3686666666666667</v>
      </c>
      <c r="L32" s="59">
        <f>K32*0.05*1000</f>
        <v>18.433333333333337</v>
      </c>
      <c r="M32" s="34">
        <f>5.42/15</f>
        <v>0.36133333333333334</v>
      </c>
      <c r="N32" s="59">
        <f>M32/278*1000</f>
        <v>1.2997601918465229</v>
      </c>
      <c r="Q32" s="40"/>
      <c r="R32" s="40"/>
    </row>
    <row r="33" spans="1:18" x14ac:dyDescent="0.25">
      <c r="A33" s="16">
        <v>1976</v>
      </c>
      <c r="B33" s="43">
        <f t="shared" ref="B33:B47" si="16">5.39/15-C33</f>
        <v>5.1333333333333342E-2</v>
      </c>
      <c r="C33" s="43">
        <f t="shared" si="10"/>
        <v>0.308</v>
      </c>
      <c r="D33" s="43">
        <f t="shared" si="9"/>
        <v>0.45533333333333331</v>
      </c>
      <c r="E33" s="43">
        <f t="shared" si="11"/>
        <v>0.14133333333333334</v>
      </c>
      <c r="F33" s="43">
        <f t="shared" ref="F33:F50" si="17">0.2/15</f>
        <v>1.3333333333333334E-2</v>
      </c>
      <c r="G33" s="44">
        <f t="shared" si="13"/>
        <v>6.0666666666666667E-2</v>
      </c>
      <c r="H33" s="44">
        <f t="shared" si="14"/>
        <v>0.114</v>
      </c>
      <c r="I33" s="44">
        <f t="shared" si="15"/>
        <v>5.4666666666666662E-2</v>
      </c>
      <c r="J33" s="47"/>
      <c r="Q33" s="40"/>
      <c r="R33" s="40"/>
    </row>
    <row r="34" spans="1:18" x14ac:dyDescent="0.25">
      <c r="A34" s="16">
        <v>1977</v>
      </c>
      <c r="B34" s="43">
        <f t="shared" si="16"/>
        <v>5.1333333333333342E-2</v>
      </c>
      <c r="C34" s="43">
        <f t="shared" si="10"/>
        <v>0.308</v>
      </c>
      <c r="D34" s="43">
        <f t="shared" si="9"/>
        <v>0.45533333333333331</v>
      </c>
      <c r="E34" s="43">
        <f t="shared" si="11"/>
        <v>0.14133333333333334</v>
      </c>
      <c r="F34" s="43">
        <f t="shared" si="17"/>
        <v>1.3333333333333334E-2</v>
      </c>
      <c r="G34" s="44">
        <f t="shared" si="13"/>
        <v>6.0666666666666667E-2</v>
      </c>
      <c r="H34" s="44">
        <f t="shared" si="14"/>
        <v>0.114</v>
      </c>
      <c r="I34" s="44">
        <f t="shared" si="15"/>
        <v>5.4666666666666662E-2</v>
      </c>
      <c r="J34" s="47"/>
      <c r="Q34" s="40"/>
      <c r="R34" s="40"/>
    </row>
    <row r="35" spans="1:18" x14ac:dyDescent="0.25">
      <c r="A35" s="16">
        <v>1978</v>
      </c>
      <c r="B35" s="43">
        <f t="shared" si="16"/>
        <v>5.1333333333333342E-2</v>
      </c>
      <c r="C35" s="43">
        <f t="shared" si="10"/>
        <v>0.308</v>
      </c>
      <c r="D35" s="43">
        <f t="shared" si="9"/>
        <v>0.45533333333333331</v>
      </c>
      <c r="E35" s="43">
        <f t="shared" si="11"/>
        <v>0.14133333333333334</v>
      </c>
      <c r="F35" s="43">
        <f t="shared" si="17"/>
        <v>1.3333333333333334E-2</v>
      </c>
      <c r="G35" s="44">
        <f t="shared" si="13"/>
        <v>6.0666666666666667E-2</v>
      </c>
      <c r="H35" s="44">
        <f t="shared" si="14"/>
        <v>0.114</v>
      </c>
      <c r="I35" s="44">
        <f t="shared" si="15"/>
        <v>5.4666666666666662E-2</v>
      </c>
    </row>
    <row r="36" spans="1:18" x14ac:dyDescent="0.25">
      <c r="A36" s="16">
        <v>1979</v>
      </c>
      <c r="B36" s="43">
        <f t="shared" si="16"/>
        <v>5.1333333333333342E-2</v>
      </c>
      <c r="C36" s="43">
        <f t="shared" si="10"/>
        <v>0.308</v>
      </c>
      <c r="D36" s="43">
        <f t="shared" si="9"/>
        <v>0.45533333333333331</v>
      </c>
      <c r="E36" s="43">
        <f t="shared" si="11"/>
        <v>0.14133333333333334</v>
      </c>
      <c r="F36" s="43">
        <f t="shared" si="17"/>
        <v>1.3333333333333334E-2</v>
      </c>
      <c r="G36" s="44">
        <f t="shared" si="13"/>
        <v>6.0666666666666667E-2</v>
      </c>
      <c r="H36" s="44">
        <f t="shared" si="14"/>
        <v>0.114</v>
      </c>
      <c r="I36" s="44">
        <f t="shared" si="15"/>
        <v>5.4666666666666662E-2</v>
      </c>
    </row>
    <row r="37" spans="1:18" x14ac:dyDescent="0.25">
      <c r="A37" s="16">
        <v>1980</v>
      </c>
      <c r="B37" s="43">
        <f t="shared" si="16"/>
        <v>5.1333333333333342E-2</v>
      </c>
      <c r="C37" s="43">
        <f t="shared" si="10"/>
        <v>0.308</v>
      </c>
      <c r="D37" s="43">
        <f t="shared" si="9"/>
        <v>0.45533333333333331</v>
      </c>
      <c r="E37" s="43">
        <f t="shared" si="11"/>
        <v>0.14133333333333334</v>
      </c>
      <c r="F37" s="43">
        <f t="shared" si="17"/>
        <v>1.3333333333333334E-2</v>
      </c>
      <c r="G37" s="44">
        <f t="shared" si="13"/>
        <v>6.0666666666666667E-2</v>
      </c>
      <c r="H37" s="44">
        <f t="shared" si="14"/>
        <v>0.114</v>
      </c>
      <c r="I37" s="44">
        <f t="shared" si="15"/>
        <v>5.4666666666666662E-2</v>
      </c>
    </row>
    <row r="38" spans="1:18" x14ac:dyDescent="0.25">
      <c r="A38" s="16">
        <v>1981</v>
      </c>
      <c r="B38" s="43">
        <f t="shared" si="16"/>
        <v>5.1333333333333342E-2</v>
      </c>
      <c r="C38" s="43">
        <f t="shared" si="10"/>
        <v>0.308</v>
      </c>
      <c r="D38" s="43">
        <f t="shared" si="9"/>
        <v>0.45533333333333331</v>
      </c>
      <c r="E38" s="43">
        <f t="shared" si="11"/>
        <v>0.14133333333333334</v>
      </c>
      <c r="F38" s="43">
        <f t="shared" si="17"/>
        <v>1.3333333333333334E-2</v>
      </c>
      <c r="G38" s="44">
        <f t="shared" si="13"/>
        <v>6.0666666666666667E-2</v>
      </c>
      <c r="H38" s="44">
        <f t="shared" si="14"/>
        <v>0.114</v>
      </c>
      <c r="I38" s="44">
        <f t="shared" si="15"/>
        <v>5.4666666666666662E-2</v>
      </c>
      <c r="O38" s="23">
        <v>4.7478000000000007</v>
      </c>
    </row>
    <row r="39" spans="1:18" x14ac:dyDescent="0.25">
      <c r="A39" s="16">
        <v>1982</v>
      </c>
      <c r="B39" s="43">
        <f t="shared" si="16"/>
        <v>5.1333333333333342E-2</v>
      </c>
      <c r="C39" s="43">
        <f t="shared" si="10"/>
        <v>0.308</v>
      </c>
      <c r="D39" s="43">
        <f t="shared" si="9"/>
        <v>0.45533333333333331</v>
      </c>
      <c r="E39" s="43">
        <f t="shared" si="11"/>
        <v>0.14133333333333334</v>
      </c>
      <c r="F39" s="43">
        <f t="shared" si="17"/>
        <v>1.3333333333333334E-2</v>
      </c>
      <c r="G39" s="44">
        <f t="shared" si="13"/>
        <v>6.0666666666666667E-2</v>
      </c>
      <c r="H39" s="44">
        <f t="shared" si="14"/>
        <v>0.114</v>
      </c>
      <c r="I39" s="44">
        <f t="shared" si="15"/>
        <v>5.4666666666666662E-2</v>
      </c>
    </row>
    <row r="40" spans="1:18" x14ac:dyDescent="0.25">
      <c r="A40" s="16">
        <v>1983</v>
      </c>
      <c r="B40" s="43">
        <f t="shared" si="16"/>
        <v>5.1333333333333342E-2</v>
      </c>
      <c r="C40" s="43">
        <f t="shared" si="10"/>
        <v>0.308</v>
      </c>
      <c r="D40" s="43">
        <f t="shared" si="9"/>
        <v>0.45533333333333331</v>
      </c>
      <c r="E40" s="43">
        <f t="shared" si="11"/>
        <v>0.14133333333333334</v>
      </c>
      <c r="F40" s="43">
        <f t="shared" si="17"/>
        <v>1.3333333333333334E-2</v>
      </c>
      <c r="G40" s="44">
        <f t="shared" si="13"/>
        <v>6.0666666666666667E-2</v>
      </c>
      <c r="H40" s="44">
        <f t="shared" si="14"/>
        <v>0.114</v>
      </c>
      <c r="I40" s="44">
        <f t="shared" si="15"/>
        <v>5.4666666666666662E-2</v>
      </c>
    </row>
    <row r="41" spans="1:18" x14ac:dyDescent="0.25">
      <c r="A41" s="16">
        <v>1984</v>
      </c>
      <c r="B41" s="43">
        <f t="shared" si="16"/>
        <v>5.1333333333333342E-2</v>
      </c>
      <c r="C41" s="43">
        <f t="shared" si="10"/>
        <v>0.308</v>
      </c>
      <c r="D41" s="43">
        <f t="shared" si="9"/>
        <v>0.45533333333333331</v>
      </c>
      <c r="E41" s="43">
        <f t="shared" si="11"/>
        <v>0.14133333333333334</v>
      </c>
      <c r="F41" s="43">
        <f t="shared" si="17"/>
        <v>1.3333333333333334E-2</v>
      </c>
      <c r="G41" s="44">
        <f t="shared" si="13"/>
        <v>6.0666666666666667E-2</v>
      </c>
      <c r="H41" s="44">
        <f t="shared" si="14"/>
        <v>0.114</v>
      </c>
      <c r="I41" s="44">
        <f t="shared" si="15"/>
        <v>5.4666666666666662E-2</v>
      </c>
    </row>
    <row r="42" spans="1:18" x14ac:dyDescent="0.25">
      <c r="A42" s="16">
        <v>1985</v>
      </c>
      <c r="B42" s="43">
        <f t="shared" si="16"/>
        <v>5.1333333333333342E-2</v>
      </c>
      <c r="C42" s="43">
        <f t="shared" si="10"/>
        <v>0.308</v>
      </c>
      <c r="D42" s="43">
        <f t="shared" si="9"/>
        <v>0.45533333333333331</v>
      </c>
      <c r="E42" s="43">
        <f t="shared" si="11"/>
        <v>0.14133333333333334</v>
      </c>
      <c r="F42" s="43">
        <f t="shared" si="17"/>
        <v>1.3333333333333334E-2</v>
      </c>
      <c r="G42" s="44">
        <f t="shared" si="13"/>
        <v>6.0666666666666667E-2</v>
      </c>
      <c r="H42" s="44">
        <f t="shared" si="14"/>
        <v>0.114</v>
      </c>
      <c r="I42" s="44">
        <f t="shared" si="15"/>
        <v>5.4666666666666662E-2</v>
      </c>
    </row>
    <row r="43" spans="1:18" x14ac:dyDescent="0.25">
      <c r="A43" s="16">
        <v>1986</v>
      </c>
      <c r="B43" s="43">
        <f t="shared" si="16"/>
        <v>5.1333333333333342E-2</v>
      </c>
      <c r="C43" s="43">
        <f t="shared" si="10"/>
        <v>0.308</v>
      </c>
      <c r="D43" s="43">
        <f t="shared" si="9"/>
        <v>0.45533333333333331</v>
      </c>
      <c r="E43" s="43">
        <f t="shared" si="11"/>
        <v>0.14133333333333334</v>
      </c>
      <c r="F43" s="43">
        <f t="shared" si="17"/>
        <v>1.3333333333333334E-2</v>
      </c>
      <c r="G43" s="44">
        <f t="shared" si="13"/>
        <v>6.0666666666666667E-2</v>
      </c>
      <c r="H43" s="44">
        <f t="shared" si="14"/>
        <v>0.114</v>
      </c>
      <c r="I43" s="44">
        <f t="shared" si="15"/>
        <v>5.4666666666666662E-2</v>
      </c>
    </row>
    <row r="44" spans="1:18" x14ac:dyDescent="0.25">
      <c r="A44" s="16">
        <v>1987</v>
      </c>
      <c r="B44" s="43">
        <f t="shared" si="16"/>
        <v>5.1333333333333342E-2</v>
      </c>
      <c r="C44" s="43">
        <f t="shared" si="10"/>
        <v>0.308</v>
      </c>
      <c r="D44" s="43">
        <f t="shared" si="9"/>
        <v>0.45533333333333331</v>
      </c>
      <c r="E44" s="43">
        <f t="shared" si="11"/>
        <v>0.14133333333333334</v>
      </c>
      <c r="F44" s="43">
        <f t="shared" si="17"/>
        <v>1.3333333333333334E-2</v>
      </c>
      <c r="G44" s="44">
        <f t="shared" si="13"/>
        <v>6.0666666666666667E-2</v>
      </c>
      <c r="H44" s="44">
        <f t="shared" si="14"/>
        <v>0.114</v>
      </c>
      <c r="I44" s="44">
        <f t="shared" si="15"/>
        <v>5.4666666666666662E-2</v>
      </c>
    </row>
    <row r="45" spans="1:18" x14ac:dyDescent="0.25">
      <c r="A45" s="16">
        <v>1988</v>
      </c>
      <c r="B45" s="43">
        <f t="shared" si="16"/>
        <v>5.1333333333333342E-2</v>
      </c>
      <c r="C45" s="43">
        <f t="shared" si="10"/>
        <v>0.308</v>
      </c>
      <c r="D45" s="43">
        <f t="shared" si="9"/>
        <v>0.45533333333333331</v>
      </c>
      <c r="E45" s="43">
        <f t="shared" si="11"/>
        <v>0.14133333333333334</v>
      </c>
      <c r="F45" s="43">
        <f t="shared" si="17"/>
        <v>1.3333333333333334E-2</v>
      </c>
      <c r="G45" s="44">
        <f t="shared" si="13"/>
        <v>6.0666666666666667E-2</v>
      </c>
      <c r="H45" s="44">
        <f t="shared" si="14"/>
        <v>0.114</v>
      </c>
      <c r="I45" s="44">
        <f t="shared" si="15"/>
        <v>5.4666666666666662E-2</v>
      </c>
    </row>
    <row r="46" spans="1:18" x14ac:dyDescent="0.25">
      <c r="A46" s="16">
        <v>1989</v>
      </c>
      <c r="B46" s="43">
        <f t="shared" si="16"/>
        <v>5.1333333333333342E-2</v>
      </c>
      <c r="C46" s="43">
        <f t="shared" si="10"/>
        <v>0.308</v>
      </c>
      <c r="D46" s="43">
        <f t="shared" si="9"/>
        <v>0.45533333333333331</v>
      </c>
      <c r="E46" s="43">
        <f t="shared" si="11"/>
        <v>0.14133333333333334</v>
      </c>
      <c r="F46" s="43">
        <f t="shared" si="17"/>
        <v>1.3333333333333334E-2</v>
      </c>
      <c r="G46" s="44">
        <f t="shared" si="13"/>
        <v>6.0666666666666667E-2</v>
      </c>
      <c r="H46" s="44">
        <f t="shared" si="14"/>
        <v>0.114</v>
      </c>
      <c r="I46" s="44">
        <f t="shared" si="15"/>
        <v>5.4666666666666662E-2</v>
      </c>
    </row>
    <row r="47" spans="1:18" x14ac:dyDescent="0.25">
      <c r="A47" s="16">
        <v>1990</v>
      </c>
      <c r="B47" s="43">
        <f t="shared" si="16"/>
        <v>5.1333333333333342E-2</v>
      </c>
      <c r="C47" s="43">
        <f t="shared" si="10"/>
        <v>0.308</v>
      </c>
      <c r="D47" s="43">
        <f t="shared" si="9"/>
        <v>0.45533333333333331</v>
      </c>
      <c r="E47" s="43">
        <f t="shared" si="11"/>
        <v>0.14133333333333334</v>
      </c>
      <c r="F47" s="43">
        <f t="shared" si="17"/>
        <v>1.3333333333333334E-2</v>
      </c>
      <c r="G47" s="44">
        <f t="shared" si="13"/>
        <v>6.0666666666666667E-2</v>
      </c>
      <c r="H47" s="44">
        <f t="shared" si="14"/>
        <v>0.114</v>
      </c>
      <c r="I47" s="44">
        <f t="shared" si="15"/>
        <v>5.4666666666666662E-2</v>
      </c>
    </row>
    <row r="48" spans="1:18" x14ac:dyDescent="0.25">
      <c r="A48" s="16">
        <v>1991</v>
      </c>
      <c r="B48" s="43">
        <f t="shared" ref="B48:B50" si="18">5.39/15-C48</f>
        <v>5.1333333333333342E-2</v>
      </c>
      <c r="C48" s="43">
        <f t="shared" si="10"/>
        <v>0.308</v>
      </c>
      <c r="D48" s="43">
        <f t="shared" si="9"/>
        <v>0.45533333333333331</v>
      </c>
      <c r="E48" s="43">
        <f t="shared" si="11"/>
        <v>0.14133333333333334</v>
      </c>
      <c r="F48" s="43">
        <f t="shared" si="17"/>
        <v>1.3333333333333334E-2</v>
      </c>
      <c r="G48" s="44">
        <f t="shared" si="13"/>
        <v>6.0666666666666667E-2</v>
      </c>
      <c r="H48" s="44">
        <f t="shared" si="14"/>
        <v>0.114</v>
      </c>
      <c r="I48" s="44">
        <f t="shared" si="15"/>
        <v>5.4666666666666662E-2</v>
      </c>
    </row>
    <row r="49" spans="1:12" x14ac:dyDescent="0.25">
      <c r="A49" s="16">
        <v>1992</v>
      </c>
      <c r="B49" s="43">
        <f t="shared" si="18"/>
        <v>5.1333333333333342E-2</v>
      </c>
      <c r="C49" s="43">
        <f t="shared" si="10"/>
        <v>0.308</v>
      </c>
      <c r="D49" s="43">
        <f t="shared" si="9"/>
        <v>0.45533333333333331</v>
      </c>
      <c r="E49" s="43">
        <f t="shared" si="11"/>
        <v>0.14133333333333334</v>
      </c>
      <c r="F49" s="43">
        <f t="shared" si="17"/>
        <v>1.3333333333333334E-2</v>
      </c>
      <c r="G49" s="44">
        <f t="shared" si="13"/>
        <v>6.0666666666666667E-2</v>
      </c>
      <c r="H49" s="44">
        <f t="shared" si="14"/>
        <v>0.114</v>
      </c>
      <c r="I49" s="44">
        <f t="shared" si="15"/>
        <v>5.4666666666666662E-2</v>
      </c>
      <c r="J49" s="49"/>
      <c r="K49" s="12"/>
      <c r="L49" s="12"/>
    </row>
    <row r="50" spans="1:12" x14ac:dyDescent="0.25">
      <c r="A50" s="16">
        <v>1993</v>
      </c>
      <c r="B50" s="43">
        <f t="shared" si="18"/>
        <v>5.1333333333333342E-2</v>
      </c>
      <c r="C50" s="43">
        <f t="shared" si="10"/>
        <v>0.308</v>
      </c>
      <c r="D50" s="43">
        <f t="shared" si="9"/>
        <v>0.45533333333333331</v>
      </c>
      <c r="E50" s="43">
        <f t="shared" si="11"/>
        <v>0.14133333333333334</v>
      </c>
      <c r="F50" s="43">
        <f t="shared" si="17"/>
        <v>1.3333333333333334E-2</v>
      </c>
      <c r="G50" s="44">
        <f t="shared" si="13"/>
        <v>6.0666666666666667E-2</v>
      </c>
      <c r="H50" s="44">
        <f t="shared" si="14"/>
        <v>0.114</v>
      </c>
      <c r="I50" s="44">
        <f t="shared" si="15"/>
        <v>5.4666666666666662E-2</v>
      </c>
      <c r="J50" s="50"/>
    </row>
    <row r="51" spans="1:12" x14ac:dyDescent="0.25">
      <c r="A51" s="16">
        <v>1994</v>
      </c>
      <c r="B51" s="25"/>
      <c r="C51" s="25"/>
      <c r="D51" s="25"/>
      <c r="E51" s="25"/>
      <c r="F51" s="25"/>
      <c r="G51" s="25"/>
      <c r="H51" s="25"/>
      <c r="I51" s="25"/>
      <c r="J51" s="50"/>
    </row>
    <row r="52" spans="1:12" x14ac:dyDescent="0.25">
      <c r="A52" s="16">
        <v>1995</v>
      </c>
      <c r="B52" s="25"/>
      <c r="C52" s="25"/>
      <c r="D52" s="25"/>
      <c r="E52" s="25"/>
      <c r="F52" s="25"/>
      <c r="G52" s="25"/>
      <c r="H52" s="25"/>
      <c r="I52" s="25"/>
      <c r="J52" s="50"/>
    </row>
    <row r="53" spans="1:12" x14ac:dyDescent="0.25">
      <c r="A53" s="16">
        <v>1996</v>
      </c>
      <c r="B53" s="25"/>
      <c r="C53" s="25"/>
      <c r="D53" s="25"/>
      <c r="E53" s="25"/>
      <c r="F53" s="25"/>
      <c r="G53" s="25"/>
      <c r="H53" s="25"/>
      <c r="I53" s="25"/>
      <c r="J53" s="50"/>
    </row>
    <row r="54" spans="1:12" x14ac:dyDescent="0.25">
      <c r="A54" s="16">
        <v>1997</v>
      </c>
      <c r="B54" s="25"/>
      <c r="C54" s="25"/>
      <c r="D54" s="25"/>
      <c r="E54" s="25"/>
      <c r="F54" s="25"/>
      <c r="G54" s="25"/>
      <c r="H54" s="25"/>
      <c r="I54" s="25"/>
      <c r="J54" s="50"/>
    </row>
    <row r="55" spans="1:12" x14ac:dyDescent="0.25">
      <c r="A55" s="16">
        <v>1998</v>
      </c>
      <c r="B55" s="25"/>
      <c r="C55" s="25"/>
      <c r="D55" s="25"/>
      <c r="E55" s="25"/>
      <c r="F55" s="25"/>
      <c r="G55" s="25"/>
      <c r="H55" s="25"/>
      <c r="I55" s="25"/>
      <c r="J55" s="50"/>
    </row>
    <row r="56" spans="1:12" x14ac:dyDescent="0.25">
      <c r="A56" s="16">
        <v>1999</v>
      </c>
      <c r="B56" s="25"/>
      <c r="C56" s="25"/>
      <c r="D56" s="25"/>
      <c r="E56" s="25"/>
      <c r="F56" s="25"/>
      <c r="G56" s="25"/>
      <c r="H56" s="25"/>
      <c r="I56" s="25"/>
      <c r="J56" s="50"/>
    </row>
    <row r="57" spans="1:12" x14ac:dyDescent="0.25">
      <c r="A57" s="16">
        <v>2000</v>
      </c>
      <c r="B57" s="25"/>
      <c r="C57" s="25"/>
      <c r="D57" s="25"/>
      <c r="E57" s="25"/>
      <c r="F57" s="25"/>
      <c r="G57" s="25"/>
      <c r="H57" s="25"/>
      <c r="I57" s="25"/>
      <c r="J57" s="50"/>
    </row>
    <row r="58" spans="1:12" x14ac:dyDescent="0.25">
      <c r="A58" s="16">
        <v>2001</v>
      </c>
      <c r="B58" s="25"/>
      <c r="C58" s="25"/>
      <c r="D58" s="25"/>
      <c r="E58" s="25"/>
      <c r="F58" s="25"/>
      <c r="G58" s="25"/>
      <c r="H58" s="25"/>
      <c r="I58" s="25"/>
      <c r="J58" s="50"/>
    </row>
    <row r="59" spans="1:12" x14ac:dyDescent="0.25">
      <c r="A59" s="16">
        <v>2002</v>
      </c>
      <c r="B59" s="25"/>
      <c r="C59" s="25"/>
      <c r="D59" s="25"/>
      <c r="E59" s="25"/>
      <c r="F59" s="25"/>
      <c r="G59" s="25"/>
      <c r="H59" s="25"/>
      <c r="I59" s="25"/>
      <c r="J59" s="50"/>
    </row>
    <row r="60" spans="1:12" x14ac:dyDescent="0.25">
      <c r="A60" s="16">
        <v>2003</v>
      </c>
      <c r="B60" s="25"/>
      <c r="C60" s="25"/>
      <c r="D60" s="25"/>
      <c r="E60" s="25"/>
      <c r="F60" s="25"/>
      <c r="G60" s="25"/>
      <c r="H60" s="25"/>
      <c r="I60" s="25"/>
      <c r="J60" s="50"/>
    </row>
    <row r="61" spans="1:12" x14ac:dyDescent="0.25">
      <c r="A61" s="16">
        <v>2004</v>
      </c>
      <c r="B61" s="25"/>
      <c r="C61" s="25"/>
      <c r="D61" s="25"/>
      <c r="E61" s="25"/>
      <c r="F61" s="25"/>
      <c r="G61" s="25"/>
      <c r="H61" s="25"/>
      <c r="I61" s="25"/>
      <c r="J61" s="50"/>
    </row>
    <row r="62" spans="1:12" x14ac:dyDescent="0.25">
      <c r="A62" s="16">
        <v>2005</v>
      </c>
      <c r="B62" s="25"/>
      <c r="C62" s="25"/>
      <c r="D62" s="25"/>
      <c r="E62" s="25"/>
      <c r="F62" s="25"/>
      <c r="G62" s="25"/>
      <c r="H62" s="25"/>
      <c r="I62" s="25"/>
      <c r="J62" s="50"/>
    </row>
    <row r="63" spans="1:12" x14ac:dyDescent="0.25">
      <c r="A63" s="16">
        <v>2006</v>
      </c>
      <c r="B63" s="25"/>
      <c r="C63" s="25"/>
      <c r="D63" s="25"/>
      <c r="E63" s="25"/>
      <c r="F63" s="25"/>
      <c r="G63" s="25"/>
      <c r="H63" s="25"/>
      <c r="I63" s="25"/>
      <c r="J63" s="50"/>
    </row>
    <row r="64" spans="1:12" x14ac:dyDescent="0.25">
      <c r="A64" s="16">
        <v>2007</v>
      </c>
      <c r="B64" s="25"/>
      <c r="C64" s="25"/>
      <c r="D64" s="25"/>
      <c r="E64" s="25"/>
      <c r="F64" s="25"/>
      <c r="G64" s="25"/>
      <c r="H64" s="25"/>
      <c r="I64" s="25"/>
      <c r="J64" s="50"/>
    </row>
    <row r="65" spans="1:69" x14ac:dyDescent="0.25">
      <c r="A65" s="16">
        <v>2008</v>
      </c>
      <c r="B65" s="25"/>
      <c r="C65" s="25"/>
      <c r="D65" s="25"/>
      <c r="E65" s="25"/>
      <c r="F65" s="25"/>
      <c r="G65" s="25"/>
      <c r="H65" s="25"/>
      <c r="I65" s="25"/>
    </row>
    <row r="66" spans="1:69" x14ac:dyDescent="0.25">
      <c r="A66" s="16">
        <v>2009</v>
      </c>
    </row>
    <row r="67" spans="1:69" x14ac:dyDescent="0.25">
      <c r="A67" s="16">
        <v>2010</v>
      </c>
      <c r="B67" s="25"/>
      <c r="C67" s="25"/>
      <c r="D67" s="25"/>
      <c r="E67" s="25"/>
      <c r="F67" s="25"/>
      <c r="G67" s="25"/>
      <c r="H67" s="25"/>
      <c r="I67" s="39"/>
    </row>
    <row r="68" spans="1:69" x14ac:dyDescent="0.25">
      <c r="A68" s="16">
        <v>2011</v>
      </c>
    </row>
    <row r="69" spans="1:69" x14ac:dyDescent="0.25">
      <c r="A69" s="16">
        <v>2012</v>
      </c>
      <c r="B69" s="25"/>
      <c r="C69" s="25"/>
      <c r="D69" s="25"/>
      <c r="E69" s="25"/>
      <c r="F69" s="25"/>
      <c r="G69" s="25"/>
      <c r="H69" s="25"/>
      <c r="I69" s="25"/>
    </row>
    <row r="70" spans="1:69" x14ac:dyDescent="0.25">
      <c r="A70" s="16">
        <v>2013</v>
      </c>
      <c r="B70" s="25"/>
      <c r="C70" s="25"/>
      <c r="D70" s="25"/>
      <c r="E70" s="25"/>
      <c r="F70" s="25"/>
      <c r="G70" s="25"/>
      <c r="H70" s="25"/>
      <c r="I70" s="25"/>
    </row>
    <row r="71" spans="1:69" x14ac:dyDescent="0.25">
      <c r="A71" s="16">
        <v>2014</v>
      </c>
      <c r="B71" s="25"/>
      <c r="C71" s="25"/>
      <c r="D71" s="25"/>
      <c r="E71" s="25"/>
      <c r="F71" s="25"/>
      <c r="G71" s="25"/>
      <c r="H71" s="25"/>
      <c r="I71" s="25"/>
    </row>
    <row r="72" spans="1:69" x14ac:dyDescent="0.25">
      <c r="A72" s="16">
        <v>2015</v>
      </c>
      <c r="B72" s="25"/>
      <c r="C72" s="25"/>
      <c r="D72" s="25"/>
      <c r="E72" s="25"/>
      <c r="F72" s="25"/>
      <c r="G72" s="25"/>
      <c r="H72" s="25"/>
      <c r="I72" s="25"/>
    </row>
    <row r="73" spans="1:69" x14ac:dyDescent="0.25">
      <c r="A73" s="16">
        <v>2016</v>
      </c>
      <c r="B73" s="25"/>
      <c r="C73" s="25"/>
      <c r="D73" s="25"/>
      <c r="E73" s="25"/>
      <c r="F73" s="25"/>
      <c r="G73" s="25"/>
      <c r="H73" s="25"/>
      <c r="I73" s="25"/>
    </row>
    <row r="74" spans="1:69" x14ac:dyDescent="0.25">
      <c r="A74" s="16">
        <v>2017</v>
      </c>
      <c r="B74" s="25"/>
      <c r="C74" s="25"/>
      <c r="D74" s="25"/>
      <c r="E74" s="25"/>
      <c r="F74" s="25"/>
      <c r="G74" s="25"/>
      <c r="H74" s="25"/>
      <c r="I74" s="25"/>
    </row>
    <row r="75" spans="1:69" x14ac:dyDescent="0.25">
      <c r="A75" s="16">
        <v>2018</v>
      </c>
      <c r="B75" s="25"/>
      <c r="C75" s="25"/>
      <c r="D75" s="25"/>
      <c r="E75" s="25"/>
      <c r="F75" s="25"/>
      <c r="G75" s="25"/>
      <c r="H75" s="25"/>
      <c r="I75" s="25"/>
    </row>
    <row r="76" spans="1:69" x14ac:dyDescent="0.25">
      <c r="A76" s="16">
        <v>2019</v>
      </c>
      <c r="B76" s="25"/>
      <c r="C76" s="25"/>
      <c r="D76" s="25"/>
      <c r="E76" s="25"/>
      <c r="F76" s="25"/>
      <c r="G76" s="25"/>
      <c r="H76" s="25"/>
      <c r="I76" s="39"/>
    </row>
    <row r="77" spans="1:69" x14ac:dyDescent="0.25">
      <c r="A77" s="16">
        <v>2020</v>
      </c>
      <c r="B77" s="25"/>
      <c r="C77" s="25"/>
      <c r="D77" s="25"/>
      <c r="E77" s="25"/>
      <c r="F77" s="25"/>
      <c r="G77" s="25"/>
      <c r="H77" s="25"/>
      <c r="I77" s="25"/>
    </row>
    <row r="78" spans="1:69" s="28" customFormat="1" x14ac:dyDescent="0.25">
      <c r="A78" s="27"/>
      <c r="B78" s="26"/>
      <c r="C78" s="26"/>
      <c r="D78" s="26"/>
      <c r="E78" s="26"/>
      <c r="F78" s="26"/>
      <c r="G78" s="26"/>
      <c r="H78" s="26"/>
      <c r="I78" s="26"/>
      <c r="J78" s="48"/>
      <c r="K78" s="1"/>
      <c r="L78" s="1"/>
      <c r="M78" s="1"/>
      <c r="N78" s="1"/>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row>
    <row r="79" spans="1:69" s="28" customFormat="1" x14ac:dyDescent="0.25">
      <c r="A79" s="27"/>
      <c r="B79" s="24"/>
      <c r="C79" s="24"/>
      <c r="D79" s="24"/>
      <c r="E79" s="24"/>
      <c r="F79" s="24"/>
      <c r="G79" s="24"/>
      <c r="H79" s="24"/>
      <c r="I79" s="24"/>
      <c r="J79" s="48"/>
      <c r="K79" s="1"/>
      <c r="L79" s="1"/>
      <c r="M79" s="1"/>
      <c r="N79" s="1"/>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row>
    <row r="80" spans="1:69" s="28" customFormat="1" x14ac:dyDescent="0.25">
      <c r="A80" s="27"/>
      <c r="B80" s="24"/>
      <c r="C80" s="24"/>
      <c r="D80" s="24"/>
      <c r="E80" s="24"/>
      <c r="F80" s="24"/>
      <c r="G80" s="24"/>
      <c r="H80" s="24"/>
      <c r="I80" s="24"/>
      <c r="J80" s="48"/>
      <c r="K80" s="1"/>
      <c r="L80" s="1"/>
      <c r="M80" s="1"/>
      <c r="N80" s="1"/>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row>
    <row r="87" spans="1:69" s="28" customFormat="1" x14ac:dyDescent="0.25">
      <c r="A87" s="27"/>
      <c r="B87" s="24"/>
      <c r="C87" s="24"/>
      <c r="D87" s="24"/>
      <c r="E87" s="24"/>
      <c r="F87" s="24"/>
      <c r="G87" s="24"/>
      <c r="H87" s="24"/>
      <c r="I87" s="24"/>
      <c r="J87" s="48"/>
      <c r="K87" s="1"/>
      <c r="L87" s="1"/>
      <c r="M87" s="1"/>
      <c r="N87" s="1"/>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row>
    <row r="88" spans="1:69" s="28" customFormat="1" x14ac:dyDescent="0.25">
      <c r="A88" s="27"/>
      <c r="B88" s="24"/>
      <c r="C88" s="24"/>
      <c r="D88" s="24"/>
      <c r="E88" s="24"/>
      <c r="F88" s="24"/>
      <c r="G88" s="24"/>
      <c r="H88" s="24"/>
      <c r="I88" s="24"/>
      <c r="J88" s="48"/>
      <c r="K88" s="1"/>
      <c r="L88" s="1"/>
      <c r="M88" s="1"/>
      <c r="N88" s="1"/>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D97B3-9416-45F1-8919-6CB0D3F82407}">
  <dimension ref="A1:BR88"/>
  <sheetViews>
    <sheetView zoomScale="70" zoomScaleNormal="70" workbookViewId="0">
      <pane xSplit="1" ySplit="1" topLeftCell="B35" activePane="bottomRight" state="frozen"/>
      <selection pane="topRight" activeCell="B1" sqref="B1"/>
      <selection pane="bottomLeft" activeCell="A2" sqref="A2"/>
      <selection pane="bottomRight" activeCell="K44" sqref="K44"/>
    </sheetView>
  </sheetViews>
  <sheetFormatPr defaultColWidth="10.7109375" defaultRowHeight="15" x14ac:dyDescent="0.25"/>
  <cols>
    <col min="1" max="1" width="8" style="27" bestFit="1" customWidth="1"/>
    <col min="2" max="9" width="15.140625" style="24" customWidth="1"/>
    <col min="10" max="16384" width="10.7109375" style="24"/>
  </cols>
  <sheetData>
    <row r="1" spans="1:11" s="30" customFormat="1" ht="45" x14ac:dyDescent="0.25">
      <c r="A1" s="29" t="s">
        <v>0</v>
      </c>
      <c r="B1" s="22" t="s">
        <v>15</v>
      </c>
      <c r="C1" s="69" t="s">
        <v>16</v>
      </c>
      <c r="D1" s="69" t="s">
        <v>7</v>
      </c>
      <c r="E1" s="69" t="s">
        <v>17</v>
      </c>
      <c r="F1" s="69" t="s">
        <v>12</v>
      </c>
      <c r="G1" s="69" t="s">
        <v>5</v>
      </c>
      <c r="H1" s="69" t="s">
        <v>6</v>
      </c>
      <c r="I1" s="69" t="s">
        <v>8</v>
      </c>
    </row>
    <row r="2" spans="1:11" x14ac:dyDescent="0.25">
      <c r="A2" s="16">
        <v>1945</v>
      </c>
      <c r="B2" s="25"/>
      <c r="C2" s="25"/>
      <c r="D2" s="25"/>
      <c r="E2" s="25"/>
      <c r="F2" s="25"/>
      <c r="G2" s="25"/>
      <c r="H2" s="25"/>
      <c r="I2" s="25"/>
    </row>
    <row r="3" spans="1:11" x14ac:dyDescent="0.25">
      <c r="A3" s="16">
        <v>1946</v>
      </c>
      <c r="B3" s="25"/>
      <c r="C3" s="25"/>
      <c r="D3" s="25"/>
      <c r="E3" s="25"/>
      <c r="F3" s="25"/>
      <c r="G3" s="25"/>
      <c r="H3" s="25"/>
      <c r="I3" s="25"/>
    </row>
    <row r="4" spans="1:11" x14ac:dyDescent="0.25">
      <c r="A4" s="16">
        <v>1947</v>
      </c>
      <c r="B4" s="25"/>
      <c r="C4" s="25"/>
      <c r="D4" s="25"/>
      <c r="E4" s="25"/>
      <c r="F4" s="25"/>
      <c r="G4" s="25"/>
      <c r="H4" s="25"/>
      <c r="I4" s="25"/>
    </row>
    <row r="5" spans="1:11" x14ac:dyDescent="0.25">
      <c r="A5" s="16">
        <v>1948</v>
      </c>
      <c r="B5" s="25"/>
      <c r="C5" s="25"/>
      <c r="D5" s="25"/>
      <c r="E5" s="25"/>
      <c r="F5" s="25"/>
      <c r="G5" s="25"/>
      <c r="H5" s="25"/>
      <c r="I5" s="25"/>
    </row>
    <row r="6" spans="1:11" x14ac:dyDescent="0.25">
      <c r="A6" s="16">
        <v>1949</v>
      </c>
      <c r="B6" s="25"/>
      <c r="C6" s="25"/>
      <c r="D6" s="25"/>
      <c r="E6" s="25"/>
      <c r="F6" s="25"/>
      <c r="G6" s="25"/>
      <c r="H6" s="25"/>
      <c r="I6" s="25"/>
    </row>
    <row r="7" spans="1:11" x14ac:dyDescent="0.25">
      <c r="A7" s="16">
        <v>1950</v>
      </c>
      <c r="B7" s="25">
        <f>(prod!$G7*MatEnergy_PlateGlass!B7)+((prod!$I7+prod!$K7)*MatEnergy_WindowGlass!B7)</f>
        <v>0.29764145658263302</v>
      </c>
      <c r="C7" s="25">
        <f>(prod!$G7*MatEnergy_PlateGlass!C7)+((prod!$I7+prod!$K7)*MatEnergy_WindowGlass!C7)</f>
        <v>0.10377591036414564</v>
      </c>
      <c r="D7" s="25">
        <f>(prod!$G7*MatEnergy_PlateGlass!D7)+((prod!$I7+prod!$K7)*MatEnergy_WindowGlass!D7)</f>
        <v>0.64892156862745087</v>
      </c>
      <c r="E7" s="25">
        <f>(prod!$G7*MatEnergy_PlateGlass!E7)+((prod!$I7+prod!$K7)*MatEnergy_WindowGlass!E7)</f>
        <v>0.19899439775910366</v>
      </c>
      <c r="F7" s="25">
        <f>(prod!$G7*MatEnergy_PlateGlass!F7)+((prod!$I7+prod!$K7)*MatEnergy_WindowGlass!F7)</f>
        <v>3.5336134453781504E-2</v>
      </c>
      <c r="G7" s="25">
        <f>(prod!$G7*MatEnergy_PlateGlass!G7)+((prod!$I7+prod!$K7)*MatEnergy_WindowGlass!G7)</f>
        <v>7.5518207282913155E-2</v>
      </c>
      <c r="H7" s="25">
        <f>(prod!$G7*MatEnergy_PlateGlass!H7)+((prod!$I7+prod!$K7)*MatEnergy_WindowGlass!H7)</f>
        <v>0.13031092436974787</v>
      </c>
      <c r="I7" s="25">
        <f>(prod!$G7*MatEnergy_PlateGlass!I7)+((prod!$I7+prod!$K7)*MatEnergy_WindowGlass!I7)</f>
        <v>2.1879551820728288E-2</v>
      </c>
      <c r="J7" s="25"/>
      <c r="K7" s="25"/>
    </row>
    <row r="8" spans="1:11" x14ac:dyDescent="0.25">
      <c r="A8" s="16">
        <v>1951</v>
      </c>
      <c r="B8" s="25">
        <f>(prod!$G8*MatEnergy_PlateGlass!B8)+((prod!$I8+prod!$K8)*MatEnergy_WindowGlass!B8)</f>
        <v>0.30338212842388862</v>
      </c>
      <c r="C8" s="25">
        <f>(prod!$G8*MatEnergy_PlateGlass!C8)+((prod!$I8+prod!$K8)*MatEnergy_WindowGlass!C8)</f>
        <v>9.7797036371800636E-2</v>
      </c>
      <c r="D8" s="25">
        <f>(prod!$G8*MatEnergy_PlateGlass!D8)+((prod!$I8+prod!$K8)*MatEnergy_WindowGlass!D8)</f>
        <v>0.65150606196677152</v>
      </c>
      <c r="E8" s="25">
        <f>(prod!$G8*MatEnergy_PlateGlass!E8)+((prod!$I8+prod!$K8)*MatEnergy_WindowGlass!E8)</f>
        <v>0.19948271216883701</v>
      </c>
      <c r="F8" s="25">
        <f>(prod!$G8*MatEnergy_PlateGlass!F8)+((prod!$I8+prod!$K8)*MatEnergy_WindowGlass!F8)</f>
        <v>3.5800628648405927E-2</v>
      </c>
      <c r="G8" s="25">
        <f>(prod!$G8*MatEnergy_PlateGlass!G8)+((prod!$I8+prod!$K8)*MatEnergy_WindowGlass!G8)</f>
        <v>7.4994162550516386E-2</v>
      </c>
      <c r="H8" s="25">
        <f>(prod!$G8*MatEnergy_PlateGlass!H8)+((prod!$I8+prod!$K8)*MatEnergy_WindowGlass!H8)</f>
        <v>0.13084687920969915</v>
      </c>
      <c r="I8" s="25">
        <f>(prod!$G8*MatEnergy_PlateGlass!I8)+((prod!$I8+prod!$K8)*MatEnergy_WindowGlass!I8)</f>
        <v>2.1748540637629099E-2</v>
      </c>
      <c r="K8" s="25"/>
    </row>
    <row r="9" spans="1:11" x14ac:dyDescent="0.25">
      <c r="A9" s="16">
        <v>1952</v>
      </c>
      <c r="B9" s="25">
        <f>(prod!$G9*MatEnergy_PlateGlass!B9)+((prod!$I9+prod!$K9)*MatEnergy_WindowGlass!B9)</f>
        <v>0.28172164231036884</v>
      </c>
      <c r="C9" s="25">
        <f>(prod!$G9*MatEnergy_PlateGlass!C9)+((prod!$I9+prod!$K9)*MatEnergy_WindowGlass!C9)</f>
        <v>0.12035629784272792</v>
      </c>
      <c r="D9" s="25">
        <f>(prod!$G9*MatEnergy_PlateGlass!D9)+((prod!$I9+prod!$K9)*MatEnergy_WindowGlass!D9)</f>
        <v>0.64175434933890052</v>
      </c>
      <c r="E9" s="25">
        <f>(prod!$G9*MatEnergy_PlateGlass!E9)+((prod!$I9+prod!$K9)*MatEnergy_WindowGlass!E9)</f>
        <v>0.19764022268615172</v>
      </c>
      <c r="F9" s="25">
        <f>(prod!$G9*MatEnergy_PlateGlass!F9)+((prod!$I9+prod!$K9)*MatEnergy_WindowGlass!F9)</f>
        <v>3.4048016701461375E-2</v>
      </c>
      <c r="G9" s="25">
        <f>(prod!$G9*MatEnergy_PlateGlass!G9)+((prod!$I9+prod!$K9)*MatEnergy_WindowGlass!G9)</f>
        <v>7.6971468336812815E-2</v>
      </c>
      <c r="H9" s="25">
        <f>(prod!$G9*MatEnergy_PlateGlass!H9)+((prod!$I9+prod!$K9)*MatEnergy_WindowGlass!H9)</f>
        <v>0.12882463465553234</v>
      </c>
      <c r="I9" s="25">
        <f>(prod!$G9*MatEnergy_PlateGlass!I9)+((prod!$I9+prod!$K9)*MatEnergy_WindowGlass!I9)</f>
        <v>2.2242867084203199E-2</v>
      </c>
      <c r="K9" s="25"/>
    </row>
    <row r="10" spans="1:11" x14ac:dyDescent="0.25">
      <c r="A10" s="16">
        <v>1953</v>
      </c>
      <c r="B10" s="25">
        <f>(prod!$G10*MatEnergy_PlateGlass!B10)+((prod!$I10+prod!$K10)*MatEnergy_WindowGlass!B10)</f>
        <v>0.28613922859830665</v>
      </c>
      <c r="C10" s="25">
        <f>(prod!$G10*MatEnergy_PlateGlass!C10)+((prod!$I10+prod!$K10)*MatEnergy_WindowGlass!C10)</f>
        <v>0.11575540921919097</v>
      </c>
      <c r="D10" s="25">
        <f>(prod!$G10*MatEnergy_PlateGlass!D10)+((prod!$I10+prod!$K10)*MatEnergy_WindowGlass!D10)</f>
        <v>0.64374317968015049</v>
      </c>
      <c r="E10" s="25">
        <f>(prod!$G10*MatEnergy_PlateGlass!E10)+((prod!$I10+prod!$K10)*MatEnergy_WindowGlass!E10)</f>
        <v>0.19801599247412982</v>
      </c>
      <c r="F10" s="25">
        <f>(prod!$G10*MatEnergy_PlateGlass!F10)+((prod!$I10+prod!$K10)*MatEnergy_WindowGlass!F10)</f>
        <v>3.4405456255879582E-2</v>
      </c>
      <c r="G10" s="25">
        <f>(prod!$G10*MatEnergy_PlateGlass!G10)+((prod!$I10+prod!$K10)*MatEnergy_WindowGlass!G10)</f>
        <v>7.6568203198494833E-2</v>
      </c>
      <c r="H10" s="25">
        <f>(prod!$G10*MatEnergy_PlateGlass!H10)+((prod!$I10+prod!$K10)*MatEnergy_WindowGlass!H10)</f>
        <v>0.12923706491063028</v>
      </c>
      <c r="I10" s="25">
        <f>(prod!$G10*MatEnergy_PlateGlass!I10)+((prod!$I10+prod!$K10)*MatEnergy_WindowGlass!I10)</f>
        <v>2.2142050799623704E-2</v>
      </c>
      <c r="K10" s="25"/>
    </row>
    <row r="11" spans="1:11" x14ac:dyDescent="0.25">
      <c r="A11" s="16">
        <v>1954</v>
      </c>
      <c r="B11" s="25">
        <f>(prod!$G11*MatEnergy_PlateGlass!B11)+((prod!$I11+prod!$K11)*MatEnergy_WindowGlass!B11)</f>
        <v>0.28611556383970177</v>
      </c>
      <c r="C11" s="25">
        <f>(prod!$G11*MatEnergy_PlateGlass!C11)+((prod!$I11+prod!$K11)*MatEnergy_WindowGlass!C11)</f>
        <v>0.11578005591798697</v>
      </c>
      <c r="D11" s="25">
        <f>(prod!$G11*MatEnergy_PlateGlass!D11)+((prod!$I11+prod!$K11)*MatEnergy_WindowGlass!D11)</f>
        <v>0.64373252562907735</v>
      </c>
      <c r="E11" s="25">
        <f>(prod!$G11*MatEnergy_PlateGlass!E11)+((prod!$I11+prod!$K11)*MatEnergy_WindowGlass!E11)</f>
        <v>0.19801397949673813</v>
      </c>
      <c r="F11" s="25">
        <f>(prod!$G11*MatEnergy_PlateGlass!F11)+((prod!$I11+prod!$K11)*MatEnergy_WindowGlass!F11)</f>
        <v>3.4403541472506988E-2</v>
      </c>
      <c r="G11" s="25">
        <f>(prod!$G11*MatEnergy_PlateGlass!G11)+((prod!$I11+prod!$K11)*MatEnergy_WindowGlass!G11)</f>
        <v>7.6570363466915189E-2</v>
      </c>
      <c r="H11" s="25">
        <f>(prod!$G11*MatEnergy_PlateGlass!H11)+((prod!$I11+prod!$K11)*MatEnergy_WindowGlass!H11)</f>
        <v>0.12923485554520037</v>
      </c>
      <c r="I11" s="25">
        <f>(prod!$G11*MatEnergy_PlateGlass!I11)+((prod!$I11+prod!$K11)*MatEnergy_WindowGlass!I11)</f>
        <v>2.2142590866728797E-2</v>
      </c>
      <c r="K11" s="25"/>
    </row>
    <row r="12" spans="1:11" x14ac:dyDescent="0.25">
      <c r="A12" s="16">
        <v>1955</v>
      </c>
      <c r="B12" s="25">
        <f>(prod!$G12*MatEnergy_PlateGlass!B12)+((prod!$I12+prod!$K12)*MatEnergy_WindowGlass!B12)</f>
        <v>0.30441391660271161</v>
      </c>
      <c r="C12" s="25">
        <f>(prod!$G12*MatEnergy_PlateGlass!C12)+((prod!$I12+prod!$K12)*MatEnergy_WindowGlass!C12)</f>
        <v>9.6722435405474538E-2</v>
      </c>
      <c r="D12" s="25">
        <f>(prod!$G12*MatEnergy_PlateGlass!D12)+((prod!$I12+prod!$K12)*MatEnergy_WindowGlass!D12)</f>
        <v>0.6519705807111793</v>
      </c>
      <c r="E12" s="25">
        <f>(prod!$G12*MatEnergy_PlateGlass!E12)+((prod!$I12+prod!$K12)*MatEnergy_WindowGlass!E12)</f>
        <v>0.1995704783832182</v>
      </c>
      <c r="F12" s="25">
        <f>(prod!$G12*MatEnergy_PlateGlass!F12)+((prod!$I12+prod!$K12)*MatEnergy_WindowGlass!F12)</f>
        <v>3.5884113584036828E-2</v>
      </c>
      <c r="G12" s="25">
        <f>(prod!$G12*MatEnergy_PlateGlass!G12)+((prod!$I12+prod!$K12)*MatEnergy_WindowGlass!G12)</f>
        <v>7.4899974418009704E-2</v>
      </c>
      <c r="H12" s="25">
        <f>(prod!$G12*MatEnergy_PlateGlass!H12)+((prod!$I12+prod!$K12)*MatEnergy_WindowGlass!H12)</f>
        <v>0.13094320798158093</v>
      </c>
      <c r="I12" s="25">
        <f>(prod!$G12*MatEnergy_PlateGlass!I12)+((prod!$I12+prod!$K12)*MatEnergy_WindowGlass!I12)</f>
        <v>2.1724993604502425E-2</v>
      </c>
      <c r="K12" s="25"/>
    </row>
    <row r="13" spans="1:11" x14ac:dyDescent="0.25">
      <c r="A13" s="16">
        <v>1956</v>
      </c>
      <c r="B13" s="25">
        <f>(prod!$G13*MatEnergy_PlateGlass!B13)+((prod!$I13+prod!$K13)*MatEnergy_WindowGlass!B13)</f>
        <v>0.28060498463639466</v>
      </c>
      <c r="C13" s="25">
        <f>(prod!$G13*MatEnergy_PlateGlass!C13)+((prod!$I13+prod!$K13)*MatEnergy_WindowGlass!C13)</f>
        <v>0.1215192898600205</v>
      </c>
      <c r="D13" s="25">
        <f>(prod!$G13*MatEnergy_PlateGlass!D13)+((prod!$I13+prod!$K13)*MatEnergy_WindowGlass!D13)</f>
        <v>0.6412516217138956</v>
      </c>
      <c r="E13" s="25">
        <f>(prod!$G13*MatEnergy_PlateGlass!E13)+((prod!$I13+prod!$K13)*MatEnergy_WindowGlass!E13)</f>
        <v>0.19754523728234896</v>
      </c>
      <c r="F13" s="25">
        <f>(prod!$G13*MatEnergy_PlateGlass!F13)+((prod!$I13+prod!$K13)*MatEnergy_WindowGlass!F13)</f>
        <v>3.3957664731990439E-2</v>
      </c>
      <c r="G13" s="25">
        <f>(prod!$G13*MatEnergy_PlateGlass!G13)+((prod!$I13+prod!$K13)*MatEnergy_WindowGlass!G13)</f>
        <v>7.7073403892113354E-2</v>
      </c>
      <c r="H13" s="25">
        <f>(prod!$G13*MatEnergy_PlateGlass!H13)+((prod!$I13+prod!$K13)*MatEnergy_WindowGlass!H13)</f>
        <v>0.12872038238306588</v>
      </c>
      <c r="I13" s="25">
        <f>(prod!$G13*MatEnergy_PlateGlass!I13)+((prod!$I13+prod!$K13)*MatEnergy_WindowGlass!I13)</f>
        <v>2.2268350973028338E-2</v>
      </c>
      <c r="K13" s="25"/>
    </row>
    <row r="14" spans="1:11" x14ac:dyDescent="0.25">
      <c r="A14" s="16">
        <v>1957</v>
      </c>
      <c r="B14" s="25">
        <f>(prod!$G14*MatEnergy_PlateGlass!B14)+((prod!$I14+prod!$K14)*MatEnergy_WindowGlass!B14)</f>
        <v>0.2663244336569579</v>
      </c>
      <c r="C14" s="25">
        <f>(prod!$G14*MatEnergy_PlateGlass!C14)+((prod!$I14+prod!$K14)*MatEnergy_WindowGlass!C14)</f>
        <v>0.13639239482200646</v>
      </c>
      <c r="D14" s="25">
        <f>(prod!$G14*MatEnergy_PlateGlass!D14)+((prod!$I14+prod!$K14)*MatEnergy_WindowGlass!D14)</f>
        <v>0.63482241100323622</v>
      </c>
      <c r="E14" s="25">
        <f>(prod!$G14*MatEnergy_PlateGlass!E14)+((prod!$I14+prod!$K14)*MatEnergy_WindowGlass!E14)</f>
        <v>0.19633050161812299</v>
      </c>
      <c r="F14" s="25">
        <f>(prod!$G14*MatEnergy_PlateGlass!F14)+((prod!$I14+prod!$K14)*MatEnergy_WindowGlass!F14)</f>
        <v>3.2802184466019409E-2</v>
      </c>
      <c r="G14" s="25">
        <f>(prod!$G14*MatEnergy_PlateGlass!G14)+((prod!$I14+prod!$K14)*MatEnergy_WindowGlass!G14)</f>
        <v>7.8377022653721679E-2</v>
      </c>
      <c r="H14" s="25">
        <f>(prod!$G14*MatEnergy_PlateGlass!H14)+((prod!$I14+prod!$K14)*MatEnergy_WindowGlass!H14)</f>
        <v>0.12738713592233009</v>
      </c>
      <c r="I14" s="25">
        <f>(prod!$G14*MatEnergy_PlateGlass!I14)+((prod!$I14+prod!$K14)*MatEnergy_WindowGlass!I14)</f>
        <v>2.2594255663430419E-2</v>
      </c>
      <c r="K14" s="25"/>
    </row>
    <row r="15" spans="1:11" x14ac:dyDescent="0.25">
      <c r="A15" s="16">
        <v>1958</v>
      </c>
      <c r="B15" s="25">
        <f>(prod!$G15*MatEnergy_PlateGlass!B15)+((prod!$I15+prod!$K15)*MatEnergy_WindowGlass!B15)</f>
        <v>0.26506016980435587</v>
      </c>
      <c r="C15" s="25">
        <f>(prod!$G15*MatEnergy_PlateGlass!C15)+((prod!$I15+prod!$K15)*MatEnergy_WindowGlass!C15)</f>
        <v>0.13770911775562938</v>
      </c>
      <c r="D15" s="25">
        <f>(prod!$G15*MatEnergy_PlateGlass!D15)+((prod!$I15+prod!$K15)*MatEnergy_WindowGlass!D15)</f>
        <v>0.63425322997416034</v>
      </c>
      <c r="E15" s="25">
        <f>(prod!$G15*MatEnergy_PlateGlass!E15)+((prod!$I15+prod!$K15)*MatEnergy_WindowGlass!E15)</f>
        <v>0.19622296050203031</v>
      </c>
      <c r="F15" s="25">
        <f>(prod!$G15*MatEnergy_PlateGlass!F15)+((prod!$I15+prod!$K15)*MatEnergy_WindowGlass!F15)</f>
        <v>3.2699889258028796E-2</v>
      </c>
      <c r="G15" s="25">
        <f>(prod!$G15*MatEnergy_PlateGlass!G15)+((prod!$I15+prod!$K15)*MatEnergy_WindowGlass!G15)</f>
        <v>7.8492432631967521E-2</v>
      </c>
      <c r="H15" s="25">
        <f>(prod!$G15*MatEnergy_PlateGlass!H15)+((prod!$I15+prod!$K15)*MatEnergy_WindowGlass!H15)</f>
        <v>0.12726910299003322</v>
      </c>
      <c r="I15" s="25">
        <f>(prod!$G15*MatEnergy_PlateGlass!I15)+((prod!$I15+prod!$K15)*MatEnergy_WindowGlass!I15)</f>
        <v>2.2623108157991879E-2</v>
      </c>
      <c r="K15" s="25"/>
    </row>
    <row r="16" spans="1:11" x14ac:dyDescent="0.25">
      <c r="A16" s="16">
        <v>1959</v>
      </c>
      <c r="B16" s="25">
        <f>(prod!$G16*MatEnergy_PlateGlass!B16)+((prod!$I16+prod!$K16)*MatEnergy_WindowGlass!B16)</f>
        <v>0.23878347372643402</v>
      </c>
      <c r="C16" s="25">
        <f>(prod!$G16*MatEnergy_PlateGlass!C16)+((prod!$I16+prod!$K16)*MatEnergy_WindowGlass!C16)</f>
        <v>0.16507613317288408</v>
      </c>
      <c r="D16" s="25">
        <f>(prod!$G16*MatEnergy_PlateGlass!D16)+((prod!$I16+prod!$K16)*MatEnergy_WindowGlass!D16)</f>
        <v>0.62242326514239876</v>
      </c>
      <c r="E16" s="25">
        <f>(prod!$G16*MatEnergy_PlateGlass!E16)+((prod!$I16+prod!$K16)*MatEnergy_WindowGlass!E16)</f>
        <v>0.19398780585639791</v>
      </c>
      <c r="F16" s="25">
        <f>(prod!$G16*MatEnergy_PlateGlass!F16)+((prod!$I16+prod!$K16)*MatEnergy_WindowGlass!F16)</f>
        <v>3.057376654632972E-2</v>
      </c>
      <c r="G16" s="25">
        <f>(prod!$G16*MatEnergy_PlateGlass!G16)+((prod!$I16+prod!$K16)*MatEnergy_WindowGlass!G16)</f>
        <v>8.0891135178499801E-2</v>
      </c>
      <c r="H16" s="25">
        <f>(prod!$G16*MatEnergy_PlateGlass!H16)+((prod!$I16+prod!$K16)*MatEnergy_WindowGlass!H16)</f>
        <v>0.12481588447653429</v>
      </c>
      <c r="I16" s="25">
        <f>(prod!$G16*MatEnergy_PlateGlass!I16)+((prod!$I16+prod!$K16)*MatEnergy_WindowGlass!I16)</f>
        <v>2.3222783794624949E-2</v>
      </c>
      <c r="K16" s="25"/>
    </row>
    <row r="17" spans="1:11" x14ac:dyDescent="0.25">
      <c r="A17" s="16">
        <v>1960</v>
      </c>
      <c r="B17" s="25">
        <f>(prod!$G17*MatEnergy_PlateGlass!B17)+((prod!$I17+prod!$K17)*MatEnergy_WindowGlass!B17)</f>
        <v>0.2444013442150744</v>
      </c>
      <c r="C17" s="25">
        <f>(prod!$G17*MatEnergy_PlateGlass!C17)+((prod!$I17+prod!$K17)*MatEnergy_WindowGlass!C17)</f>
        <v>0.15922515602496401</v>
      </c>
      <c r="D17" s="25">
        <f>(prod!$G17*MatEnergy_PlateGlass!D17)+((prod!$I17+prod!$K17)*MatEnergy_WindowGlass!D17)</f>
        <v>0.62495247239558327</v>
      </c>
      <c r="E17" s="25">
        <f>(prod!$G17*MatEnergy_PlateGlass!E17)+((prod!$I17+prod!$K17)*MatEnergy_WindowGlass!E17)</f>
        <v>0.19446567450792129</v>
      </c>
      <c r="F17" s="25">
        <f>(prod!$G17*MatEnergy_PlateGlass!F17)+((prod!$I17+prod!$K17)*MatEnergy_WindowGlass!F17)</f>
        <v>3.1028324531925104E-2</v>
      </c>
      <c r="G17" s="25">
        <f>(prod!$G17*MatEnergy_PlateGlass!G17)+((prod!$I17+prod!$K17)*MatEnergy_WindowGlass!G17)</f>
        <v>8.0378300528084506E-2</v>
      </c>
      <c r="H17" s="25">
        <f>(prod!$G17*MatEnergy_PlateGlass!H17)+((prod!$I17+prod!$K17)*MatEnergy_WindowGlass!H17)</f>
        <v>0.12534037445991358</v>
      </c>
      <c r="I17" s="25">
        <f>(prod!$G17*MatEnergy_PlateGlass!I17)+((prod!$I17+prod!$K17)*MatEnergy_WindowGlass!I17)</f>
        <v>2.3094575132021122E-2</v>
      </c>
      <c r="K17" s="25"/>
    </row>
    <row r="18" spans="1:11" x14ac:dyDescent="0.25">
      <c r="A18" s="16">
        <v>1961</v>
      </c>
      <c r="B18" s="25">
        <f>(prod!$G18*MatEnergy_PlateGlass!B18)+((prod!$I18+prod!$K18)*MatEnergy_WindowGlass!B18)</f>
        <v>0.24741410129096325</v>
      </c>
      <c r="C18" s="25">
        <f>(prod!$G18*MatEnergy_PlateGlass!C18)+((prod!$I18+prod!$K18)*MatEnergy_WindowGlass!C18)</f>
        <v>0.15608738828202581</v>
      </c>
      <c r="D18" s="25">
        <f>(prod!$G18*MatEnergy_PlateGlass!D18)+((prod!$I18+prod!$K18)*MatEnergy_WindowGlass!D18)</f>
        <v>0.62630883813306859</v>
      </c>
      <c r="E18" s="25">
        <f>(prod!$G18*MatEnergy_PlateGlass!E18)+((prod!$I18+prod!$K18)*MatEnergy_WindowGlass!E18)</f>
        <v>0.19472194637537238</v>
      </c>
      <c r="F18" s="25">
        <f>(prod!$G18*MatEnergy_PlateGlass!F18)+((prod!$I18+prod!$K18)*MatEnergy_WindowGlass!F18)</f>
        <v>3.12720953326713E-2</v>
      </c>
      <c r="G18" s="25">
        <f>(prod!$G18*MatEnergy_PlateGlass!G18)+((prod!$I18+prod!$K18)*MatEnergy_WindowGlass!G18)</f>
        <v>8.0103277060575961E-2</v>
      </c>
      <c r="H18" s="25">
        <f>(prod!$G18*MatEnergy_PlateGlass!H18)+((prod!$I18+prod!$K18)*MatEnergy_WindowGlass!H18)</f>
        <v>0.12562164846077456</v>
      </c>
      <c r="I18" s="25">
        <f>(prod!$G18*MatEnergy_PlateGlass!I18)+((prod!$I18+prod!$K18)*MatEnergy_WindowGlass!I18)</f>
        <v>2.302581926514399E-2</v>
      </c>
      <c r="K18" s="25"/>
    </row>
    <row r="19" spans="1:11" x14ac:dyDescent="0.25">
      <c r="A19" s="16">
        <v>1962</v>
      </c>
      <c r="B19" s="25">
        <f>(prod!$G19*MatEnergy_PlateGlass!B19)+((prod!$I19+prod!$K19)*MatEnergy_WindowGlass!B19)</f>
        <v>0.23623669969780031</v>
      </c>
      <c r="C19" s="25">
        <f>(prod!$G19*MatEnergy_PlateGlass!C19)+((prod!$I19+prod!$K19)*MatEnergy_WindowGlass!C19)</f>
        <v>0.16772858247241551</v>
      </c>
      <c r="D19" s="25">
        <f>(prod!$G19*MatEnergy_PlateGlass!D19)+((prod!$I19+prod!$K19)*MatEnergy_WindowGlass!D19)</f>
        <v>0.62127668845315909</v>
      </c>
      <c r="E19" s="25">
        <f>(prod!$G19*MatEnergy_PlateGlass!E19)+((prod!$I19+prod!$K19)*MatEnergy_WindowGlass!E19)</f>
        <v>0.19377117155105772</v>
      </c>
      <c r="F19" s="25">
        <f>(prod!$G19*MatEnergy_PlateGlass!F19)+((prod!$I19+prod!$K19)*MatEnergy_WindowGlass!F19)</f>
        <v>3.0367699768079279E-2</v>
      </c>
      <c r="G19" s="25">
        <f>(prod!$G19*MatEnergy_PlateGlass!G19)+((prod!$I19+prod!$K19)*MatEnergy_WindowGlass!G19)</f>
        <v>8.1123620774474672E-2</v>
      </c>
      <c r="H19" s="25">
        <f>(prod!$G19*MatEnergy_PlateGlass!H19)+((prod!$I19+prod!$K19)*MatEnergy_WindowGlass!H19)</f>
        <v>0.12457811511701455</v>
      </c>
      <c r="I19" s="25">
        <f>(prod!$G19*MatEnergy_PlateGlass!I19)+((prod!$I19+prod!$K19)*MatEnergy_WindowGlass!I19)</f>
        <v>2.3280905193618667E-2</v>
      </c>
      <c r="K19" s="25"/>
    </row>
    <row r="20" spans="1:11" x14ac:dyDescent="0.25">
      <c r="A20" s="16">
        <v>1963</v>
      </c>
      <c r="B20" s="25">
        <f>(prod!$G20*MatEnergy_PlateGlass!B20)+((prod!$I20+prod!$K20)*MatEnergy_WindowGlass!B20)</f>
        <v>0.23006188925081433</v>
      </c>
      <c r="C20" s="25">
        <f>(prod!$G20*MatEnergy_PlateGlass!C20)+((prod!$I20+prod!$K20)*MatEnergy_WindowGlass!C20)</f>
        <v>0.17415960912052117</v>
      </c>
      <c r="D20" s="25">
        <f>(prod!$G20*MatEnergy_PlateGlass!D20)+((prod!$I20+prod!$K20)*MatEnergy_WindowGlass!D20)</f>
        <v>0.61849674267100974</v>
      </c>
      <c r="E20" s="25">
        <f>(prod!$G20*MatEnergy_PlateGlass!E20)+((prod!$I20+prod!$K20)*MatEnergy_WindowGlass!E20)</f>
        <v>0.19324592833876222</v>
      </c>
      <c r="F20" s="25">
        <f>(prod!$G20*MatEnergy_PlateGlass!F20)+((prod!$I20+prod!$K20)*MatEnergy_WindowGlass!F20)</f>
        <v>2.9868078175895763E-2</v>
      </c>
      <c r="G20" s="25">
        <f>(prod!$G20*MatEnergy_PlateGlass!G20)+((prod!$I20+prod!$K20)*MatEnergy_WindowGlass!G20)</f>
        <v>8.1687296416938115E-2</v>
      </c>
      <c r="H20" s="25">
        <f>(prod!$G20*MatEnergy_PlateGlass!H20)+((prod!$I20+prod!$K20)*MatEnergy_WindowGlass!H20)</f>
        <v>0.12400162866449511</v>
      </c>
      <c r="I20" s="25">
        <f>(prod!$G20*MatEnergy_PlateGlass!I20)+((prod!$I20+prod!$K20)*MatEnergy_WindowGlass!I20)</f>
        <v>2.3421824104234525E-2</v>
      </c>
      <c r="K20" s="25"/>
    </row>
    <row r="21" spans="1:11" x14ac:dyDescent="0.25">
      <c r="A21" s="16">
        <v>1964</v>
      </c>
      <c r="B21" s="25">
        <f>(prod!$G21*MatEnergy_PlateGlass!B21)+((prod!$I21+prod!$K21)*MatEnergy_WindowGlass!B21)</f>
        <v>0.24527784938317068</v>
      </c>
      <c r="C21" s="25">
        <f>(prod!$G21*MatEnergy_PlateGlass!C21)+((prod!$I21+prod!$K21)*MatEnergy_WindowGlass!C21)</f>
        <v>0.15831228134781808</v>
      </c>
      <c r="D21" s="25">
        <f>(prod!$G21*MatEnergy_PlateGlass!D21)+((prod!$I21+prod!$K21)*MatEnergy_WindowGlass!D21)</f>
        <v>0.62534708156877183</v>
      </c>
      <c r="E21" s="25">
        <f>(prod!$G21*MatEnergy_PlateGlass!E21)+((prod!$I21+prod!$K21)*MatEnergy_WindowGlass!E21)</f>
        <v>0.19454023200147302</v>
      </c>
      <c r="F21" s="25">
        <f>(prod!$G21*MatEnergy_PlateGlass!F21)+((prod!$I21+prod!$K21)*MatEnergy_WindowGlass!F21)</f>
        <v>3.1099245074571898E-2</v>
      </c>
      <c r="G21" s="25">
        <f>(prod!$G21*MatEnergy_PlateGlass!G21)+((prod!$I21+prod!$K21)*MatEnergy_WindowGlass!G21)</f>
        <v>8.0298287608175284E-2</v>
      </c>
      <c r="H21" s="25">
        <f>(prod!$G21*MatEnergy_PlateGlass!H21)+((prod!$I21+prod!$K21)*MatEnergy_WindowGlass!H21)</f>
        <v>0.12542220585527528</v>
      </c>
      <c r="I21" s="25">
        <f>(prod!$G21*MatEnergy_PlateGlass!I21)+((prod!$I21+prod!$K21)*MatEnergy_WindowGlass!I21)</f>
        <v>2.3074571902043824E-2</v>
      </c>
      <c r="K21" s="25"/>
    </row>
    <row r="22" spans="1:11" x14ac:dyDescent="0.25">
      <c r="A22" s="16">
        <v>1965</v>
      </c>
      <c r="B22" s="25">
        <f>(prod!$G22*MatEnergy_PlateGlass!B22)+((prod!$I22+prod!$K22)*MatEnergy_WindowGlass!B22)</f>
        <v>0.24235899255054988</v>
      </c>
      <c r="C22" s="25">
        <f>(prod!$G22*MatEnergy_PlateGlass!C22)+((prod!$I22+prod!$K22)*MatEnergy_WindowGlass!C22)</f>
        <v>0.16135225257183397</v>
      </c>
      <c r="D22" s="25">
        <f>(prod!$G22*MatEnergy_PlateGlass!D22)+((prod!$I22+prod!$K22)*MatEnergy_WindowGlass!D22)</f>
        <v>0.62403299042213556</v>
      </c>
      <c r="E22" s="25">
        <f>(prod!$G22*MatEnergy_PlateGlass!E22)+((prod!$I22+prod!$K22)*MatEnergy_WindowGlass!E22)</f>
        <v>0.19429194749911319</v>
      </c>
      <c r="F22" s="25">
        <f>(prod!$G22*MatEnergy_PlateGlass!F22)+((prod!$I22+prod!$K22)*MatEnergy_WindowGlass!F22)</f>
        <v>3.0863072011351543E-2</v>
      </c>
      <c r="G22" s="25">
        <f>(prod!$G22*MatEnergy_PlateGlass!G22)+((prod!$I22+prod!$K22)*MatEnergy_WindowGlass!G22)</f>
        <v>8.0564739269244429E-2</v>
      </c>
      <c r="H22" s="25">
        <f>(prod!$G22*MatEnergy_PlateGlass!H22)+((prod!$I22+prod!$K22)*MatEnergy_WindowGlass!H22)</f>
        <v>0.12514969847463642</v>
      </c>
      <c r="I22" s="25">
        <f>(prod!$G22*MatEnergy_PlateGlass!I22)+((prod!$I22+prod!$K22)*MatEnergy_WindowGlass!I22)</f>
        <v>2.3141184817311103E-2</v>
      </c>
      <c r="K22" s="25"/>
    </row>
    <row r="23" spans="1:11" x14ac:dyDescent="0.25">
      <c r="A23" s="16">
        <v>1966</v>
      </c>
      <c r="B23" s="25">
        <f>(prod!$G23*MatEnergy_PlateGlass!B23)+((prod!$I23+prod!$K23)*MatEnergy_WindowGlass!B23)</f>
        <v>0.23503697264719517</v>
      </c>
      <c r="C23" s="25">
        <f>(prod!$G23*MatEnergy_PlateGlass!C23)+((prod!$I23+prod!$K23)*MatEnergy_WindowGlass!C23)</f>
        <v>0.14590855354659246</v>
      </c>
      <c r="D23" s="25">
        <f>(prod!$G23*MatEnergy_PlateGlass!D23)+((prod!$I23+prod!$K23)*MatEnergy_WindowGlass!D23)</f>
        <v>0.58426124246638844</v>
      </c>
      <c r="E23" s="25">
        <f>(prod!$G23*MatEnergy_PlateGlass!E23)+((prod!$I23+prod!$K23)*MatEnergy_WindowGlass!E23)</f>
        <v>0.17747786277236904</v>
      </c>
      <c r="F23" s="25">
        <f>(prod!$G23*MatEnergy_PlateGlass!F23)+((prod!$I23+prod!$K23)*MatEnergy_WindowGlass!F23)</f>
        <v>1.3705957348168752E-2</v>
      </c>
      <c r="G23" s="25">
        <f>(prod!$G23*MatEnergy_PlateGlass!G23)+((prod!$I23+prod!$K23)*MatEnergy_WindowGlass!G23)</f>
        <v>6.4765530829856283E-2</v>
      </c>
      <c r="H23" s="25">
        <f>(prod!$G23*MatEnergy_PlateGlass!H23)+((prod!$I23+prod!$K23)*MatEnergy_WindowGlass!H23)</f>
        <v>0.12741446453407509</v>
      </c>
      <c r="I23" s="25">
        <f>(prod!$G23*MatEnergy_PlateGlass!I23)+((prod!$I23+prod!$K23)*MatEnergy_WindowGlass!I23)</f>
        <v>3.5290217895224844E-2</v>
      </c>
      <c r="K23" s="25"/>
    </row>
    <row r="24" spans="1:11" x14ac:dyDescent="0.25">
      <c r="A24" s="16">
        <v>1967</v>
      </c>
      <c r="B24" s="25">
        <f>(prod!$G24*MatEnergy_PlateGlass!B24)+((prod!$I24+prod!$K24)*MatEnergy_WindowGlass!B24)</f>
        <v>0.24180917782026765</v>
      </c>
      <c r="C24" s="25">
        <f>(prod!$G24*MatEnergy_PlateGlass!C24)+((prod!$I24+prod!$K24)*MatEnergy_WindowGlass!C24)</f>
        <v>0.13993307839388147</v>
      </c>
      <c r="D24" s="25">
        <f>(prod!$G24*MatEnergy_PlateGlass!D24)+((prod!$I24+prod!$K24)*MatEnergy_WindowGlass!D24)</f>
        <v>0.58901414913957928</v>
      </c>
      <c r="E24" s="25">
        <f>(prod!$G24*MatEnergy_PlateGlass!E24)+((prod!$I24+prod!$K24)*MatEnergy_WindowGlass!E24)</f>
        <v>0.17881032504780114</v>
      </c>
      <c r="F24" s="25">
        <f>(prod!$G24*MatEnergy_PlateGlass!F24)+((prod!$I24+prod!$K24)*MatEnergy_WindowGlass!F24)</f>
        <v>1.3719694072657744E-2</v>
      </c>
      <c r="G24" s="25">
        <f>(prod!$G24*MatEnergy_PlateGlass!G24)+((prod!$I24+prod!$K24)*MatEnergy_WindowGlass!G24)</f>
        <v>6.4916634799235179E-2</v>
      </c>
      <c r="H24" s="25">
        <f>(prod!$G24*MatEnergy_PlateGlass!H24)+((prod!$I24+prod!$K24)*MatEnergy_WindowGlass!H24)</f>
        <v>0.12790898661567876</v>
      </c>
      <c r="I24" s="25">
        <f>(prod!$G24*MatEnergy_PlateGlass!I24)+((prod!$I24+prod!$K24)*MatEnergy_WindowGlass!I24)</f>
        <v>3.4575908221797319E-2</v>
      </c>
      <c r="K24" s="25"/>
    </row>
    <row r="25" spans="1:11" x14ac:dyDescent="0.25">
      <c r="A25" s="16">
        <v>1968</v>
      </c>
      <c r="B25" s="25">
        <f>(prod!$G25*MatEnergy_PlateGlass!B25)+((prod!$I25+prod!$K25)*MatEnergy_WindowGlass!B25)</f>
        <v>0.23345269818093328</v>
      </c>
      <c r="C25" s="25">
        <f>(prod!$G25*MatEnergy_PlateGlass!C25)+((prod!$I25+prod!$K25)*MatEnergy_WindowGlass!C25)</f>
        <v>0.14730644278152949</v>
      </c>
      <c r="D25" s="25">
        <f>(prod!$G25*MatEnergy_PlateGlass!D25)+((prod!$I25+prod!$K25)*MatEnergy_WindowGlass!D25)</f>
        <v>0.58314935815538127</v>
      </c>
      <c r="E25" s="25">
        <f>(prod!$G25*MatEnergy_PlateGlass!E25)+((prod!$I25+prod!$K25)*MatEnergy_WindowGlass!E25)</f>
        <v>0.17716614954067045</v>
      </c>
      <c r="F25" s="25">
        <f>(prod!$G25*MatEnergy_PlateGlass!F25)+((prod!$I25+prod!$K25)*MatEnergy_WindowGlass!F25)</f>
        <v>1.3702743809697635E-2</v>
      </c>
      <c r="G25" s="25">
        <f>(prod!$G25*MatEnergy_PlateGlass!G25)+((prod!$I25+prod!$K25)*MatEnergy_WindowGlass!G25)</f>
        <v>6.473018190667397E-2</v>
      </c>
      <c r="H25" s="25">
        <f>(prod!$G25*MatEnergy_PlateGlass!H25)+((prod!$I25+prod!$K25)*MatEnergy_WindowGlass!H25)</f>
        <v>0.12729877714911481</v>
      </c>
      <c r="I25" s="25">
        <f>(prod!$G25*MatEnergy_PlateGlass!I25)+((prod!$I25+prod!$K25)*MatEnergy_WindowGlass!I25)</f>
        <v>3.5457321895723065E-2</v>
      </c>
      <c r="K25" s="25"/>
    </row>
    <row r="26" spans="1:11" x14ac:dyDescent="0.25">
      <c r="A26" s="16">
        <v>1969</v>
      </c>
      <c r="B26" s="25">
        <f>(prod!$G26*MatEnergy_PlateGlass!B26)+((prod!$I26+prod!$K26)*MatEnergy_WindowGlass!B26)</f>
        <v>0.22401784902228286</v>
      </c>
      <c r="C26" s="25">
        <f>(prod!$G26*MatEnergy_PlateGlass!C26)+((prod!$I26+prod!$K26)*MatEnergy_WindowGlass!C26)</f>
        <v>0.15563130968622099</v>
      </c>
      <c r="D26" s="25">
        <f>(prod!$G26*MatEnergy_PlateGlass!D26)+((prod!$I26+prod!$K26)*MatEnergy_WindowGlass!D26)</f>
        <v>0.57652773988176442</v>
      </c>
      <c r="E26" s="25">
        <f>(prod!$G26*MatEnergy_PlateGlass!E26)+((prod!$I26+prod!$K26)*MatEnergy_WindowGlass!E26)</f>
        <v>0.17530979990904957</v>
      </c>
      <c r="F26" s="25">
        <f>(prod!$G26*MatEnergy_PlateGlass!F26)+((prod!$I26+prod!$K26)*MatEnergy_WindowGlass!F26)</f>
        <v>1.3683606184629379E-2</v>
      </c>
      <c r="G26" s="25">
        <f>(prod!$G26*MatEnergy_PlateGlass!G26)+((prod!$I26+prod!$K26)*MatEnergy_WindowGlass!G26)</f>
        <v>6.4519668030923155E-2</v>
      </c>
      <c r="H26" s="25">
        <f>(prod!$G26*MatEnergy_PlateGlass!H26)+((prod!$I26+prod!$K26)*MatEnergy_WindowGlass!H26)</f>
        <v>0.12660982264665757</v>
      </c>
      <c r="I26" s="25">
        <f>(prod!$G26*MatEnergy_PlateGlass!I26)+((prod!$I26+prod!$K26)*MatEnergy_WindowGlass!I26)</f>
        <v>3.6452478399272396E-2</v>
      </c>
      <c r="K26" s="25"/>
    </row>
    <row r="27" spans="1:11" x14ac:dyDescent="0.25">
      <c r="A27" s="16">
        <v>1970</v>
      </c>
      <c r="B27" s="25">
        <f>(prod!$G27*MatEnergy_PlateGlass!B27)+((prod!$I27+prod!$K27)*MatEnergy_WindowGlass!B27)</f>
        <v>0.24532264479244345</v>
      </c>
      <c r="C27" s="25">
        <f>(prod!$G27*MatEnergy_PlateGlass!C27)+((prod!$I27+prod!$K27)*MatEnergy_WindowGlass!C27)</f>
        <v>0.13683296047725579</v>
      </c>
      <c r="D27" s="25">
        <f>(prod!$G27*MatEnergy_PlateGlass!D27)+((prod!$I27+prod!$K27)*MatEnergy_WindowGlass!D27)</f>
        <v>0.59147999005717122</v>
      </c>
      <c r="E27" s="25">
        <f>(prod!$G27*MatEnergy_PlateGlass!E27)+((prod!$I27+prod!$K27)*MatEnergy_WindowGlass!E27)</f>
        <v>0.17950161570966944</v>
      </c>
      <c r="F27" s="25">
        <f>(prod!$G27*MatEnergy_PlateGlass!F27)+((prod!$I27+prod!$K27)*MatEnergy_WindowGlass!F27)</f>
        <v>1.3726820780512058E-2</v>
      </c>
      <c r="G27" s="25">
        <f>(prod!$G27*MatEnergy_PlateGlass!G27)+((prod!$I27+prod!$K27)*MatEnergy_WindowGlass!G27)</f>
        <v>6.4995028585632622E-2</v>
      </c>
      <c r="H27" s="25">
        <f>(prod!$G27*MatEnergy_PlateGlass!H27)+((prod!$I27+prod!$K27)*MatEnergy_WindowGlass!H27)</f>
        <v>0.128165548098434</v>
      </c>
      <c r="I27" s="25">
        <f>(prod!$G27*MatEnergy_PlateGlass!I27)+((prod!$I27+prod!$K27)*MatEnergy_WindowGlass!I27)</f>
        <v>3.4205319413373104E-2</v>
      </c>
      <c r="K27" s="25"/>
    </row>
    <row r="28" spans="1:11" x14ac:dyDescent="0.25">
      <c r="A28" s="16">
        <v>1971</v>
      </c>
      <c r="B28" s="25">
        <f>(prod!$G28*MatEnergy_PlateGlass!B28)+((prod!$I28+prod!$K28)*MatEnergy_WindowGlass!B28)</f>
        <v>0.25286726435064127</v>
      </c>
      <c r="C28" s="25">
        <f>(prod!$G28*MatEnergy_PlateGlass!C28)+((prod!$I28+prod!$K28)*MatEnergy_WindowGlass!C28)</f>
        <v>0.13017594322002243</v>
      </c>
      <c r="D28" s="25">
        <f>(prod!$G28*MatEnergy_PlateGlass!D28)+((prod!$I28+prod!$K28)*MatEnergy_WindowGlass!D28)</f>
        <v>0.5967749968870627</v>
      </c>
      <c r="E28" s="25">
        <f>(prod!$G28*MatEnergy_PlateGlass!E28)+((prod!$I28+prod!$K28)*MatEnergy_WindowGlass!E28)</f>
        <v>0.1809860540405927</v>
      </c>
      <c r="F28" s="25">
        <f>(prod!$G28*MatEnergy_PlateGlass!F28)+((prod!$I28+prod!$K28)*MatEnergy_WindowGlass!F28)</f>
        <v>1.3742124268459721E-2</v>
      </c>
      <c r="G28" s="25">
        <f>(prod!$G28*MatEnergy_PlateGlass!G28)+((prod!$I28+prod!$K28)*MatEnergy_WindowGlass!G28)</f>
        <v>6.5163366953056912E-2</v>
      </c>
      <c r="H28" s="25">
        <f>(prod!$G28*MatEnergy_PlateGlass!H28)+((prod!$I28+prod!$K28)*MatEnergy_WindowGlass!H28)</f>
        <v>0.12871647366454986</v>
      </c>
      <c r="I28" s="25">
        <f>(prod!$G28*MatEnergy_PlateGlass!I28)+((prod!$I28+prod!$K28)*MatEnergy_WindowGlass!I28)</f>
        <v>3.3409538040094632E-2</v>
      </c>
      <c r="K28" s="25"/>
    </row>
    <row r="29" spans="1:11" x14ac:dyDescent="0.25">
      <c r="A29" s="16">
        <v>1972</v>
      </c>
      <c r="B29" s="25">
        <f>(prod!$G29*MatEnergy_PlateGlass!B29)+((prod!$I29+prod!$K29)*MatEnergy_WindowGlass!B$29)</f>
        <v>0.23310470836261415</v>
      </c>
      <c r="C29" s="25">
        <f>(prod!$G29*MatEnergy_PlateGlass!C29)+((prod!$I29+prod!$K29)*MatEnergy_WindowGlass!C$29)</f>
        <v>0.14761349262122275</v>
      </c>
      <c r="D29" s="25">
        <f>(prod!$G29*MatEnergy_PlateGlass!D29)+((prod!$I29+prod!$K29)*MatEnergy_WindowGlass!D$29)</f>
        <v>0.58290513000702737</v>
      </c>
      <c r="E29" s="25">
        <f>(prod!$G29*MatEnergy_PlateGlass!E29)+((prod!$I29+prod!$K29)*MatEnergy_WindowGlass!E$29)</f>
        <v>0.17709768095572731</v>
      </c>
      <c r="F29" s="25">
        <f>(prod!$G29*MatEnergy_PlateGlass!F29)+((prod!$I29+prod!$K29)*MatEnergy_WindowGlass!F$29)</f>
        <v>1.370203794799719E-2</v>
      </c>
      <c r="G29" s="25">
        <f>(prod!$G29*MatEnergy_PlateGlass!G29)+((prod!$I29+prod!$K29)*MatEnergy_WindowGlass!G$29)</f>
        <v>6.4722417427969081E-2</v>
      </c>
      <c r="H29" s="25">
        <f>(prod!$G29*MatEnergy_PlateGlass!H29)+((prod!$I29+prod!$K29)*MatEnergy_WindowGlass!H$29)</f>
        <v>0.12727336612789877</v>
      </c>
      <c r="I29" s="25">
        <f>(prod!$G29*MatEnergy_PlateGlass!I29)+((prod!$I29+prod!$K29)*MatEnergy_WindowGlass!I$29)</f>
        <v>3.5494026704146163E-2</v>
      </c>
      <c r="K29" s="25"/>
    </row>
    <row r="30" spans="1:11" x14ac:dyDescent="0.25">
      <c r="A30" s="16">
        <v>1973</v>
      </c>
      <c r="B30" s="25">
        <f>(prod!$G30*MatEnergy_PlateGlass!B30)+((prod!$I30+prod!$K30)*MatEnergy_WindowGlass!B$29)</f>
        <v>0.21036243740393676</v>
      </c>
      <c r="C30" s="25">
        <f>(prod!$G30*MatEnergy_PlateGlass!C30)+((prod!$I30+prod!$K30)*MatEnergy_WindowGlass!C$29)</f>
        <v>0.16768020229064406</v>
      </c>
      <c r="D30" s="25">
        <f>(prod!$G30*MatEnergy_PlateGlass!D30)+((prod!$I30+prod!$K30)*MatEnergy_WindowGlass!D$29)</f>
        <v>0.56694402300560276</v>
      </c>
      <c r="E30" s="25">
        <f>(prod!$G30*MatEnergy_PlateGlass!E30)+((prod!$I30+prod!$K30)*MatEnergy_WindowGlass!E$29)</f>
        <v>0.17262303535128171</v>
      </c>
      <c r="F30" s="25">
        <f>(prod!$G30*MatEnergy_PlateGlass!F30)+((prod!$I30+prod!$K30)*MatEnergy_WindowGlass!F$29)</f>
        <v>1.3655907580941051E-2</v>
      </c>
      <c r="G30" s="25">
        <f>(prod!$G30*MatEnergy_PlateGlass!G30)+((prod!$I30+prod!$K30)*MatEnergy_WindowGlass!G$29)</f>
        <v>6.4214983390351532E-2</v>
      </c>
      <c r="H30" s="25">
        <f>(prod!$G30*MatEnergy_PlateGlass!H30)+((prod!$I30+prod!$K30)*MatEnergy_WindowGlass!H$29)</f>
        <v>0.12561267291387773</v>
      </c>
      <c r="I30" s="25">
        <f>(prod!$G30*MatEnergy_PlateGlass!I30)+((prod!$I30+prod!$K30)*MatEnergy_WindowGlass!I$29)</f>
        <v>3.7892805791065499E-2</v>
      </c>
      <c r="K30" s="25"/>
    </row>
    <row r="31" spans="1:11" x14ac:dyDescent="0.25">
      <c r="A31" s="16">
        <v>1974</v>
      </c>
      <c r="B31" s="25">
        <f>(prod!$G31*MatEnergy_PlateGlass!B31)+((prod!$I31+prod!$K31)*MatEnergy_WindowGlass!B$29)</f>
        <v>0.22946564885496182</v>
      </c>
      <c r="C31" s="25">
        <f>(prod!$G31*MatEnergy_PlateGlass!C31)+((prod!$I31+prod!$K31)*MatEnergy_WindowGlass!C$29)</f>
        <v>0.15082442748091604</v>
      </c>
      <c r="D31" s="25">
        <f>(prod!$G31*MatEnergy_PlateGlass!D31)+((prod!$I31+prod!$K31)*MatEnergy_WindowGlass!D$29)</f>
        <v>0.58035114503816787</v>
      </c>
      <c r="E31" s="25">
        <f>(prod!$G31*MatEnergy_PlateGlass!E31)+((prod!$I31+prod!$K31)*MatEnergy_WindowGlass!E$29)</f>
        <v>0.17638167938931298</v>
      </c>
      <c r="F31" s="25">
        <f>(prod!$G31*MatEnergy_PlateGlass!F31)+((prod!$I31+prod!$K31)*MatEnergy_WindowGlass!F$29)</f>
        <v>1.3694656488549617E-2</v>
      </c>
      <c r="G31" s="25">
        <f>(prod!$G31*MatEnergy_PlateGlass!G31)+((prod!$I31+prod!$K31)*MatEnergy_WindowGlass!G$29)</f>
        <v>6.4641221374045793E-2</v>
      </c>
      <c r="H31" s="25">
        <f>(prod!$G31*MatEnergy_PlateGlass!H31)+((prod!$I31+prod!$K31)*MatEnergy_WindowGlass!H$29)</f>
        <v>0.12700763358778625</v>
      </c>
      <c r="I31" s="25">
        <f>(prod!$G31*MatEnergy_PlateGlass!I31)+((prod!$I31+prod!$K31)*MatEnergy_WindowGlass!I$29)</f>
        <v>3.5877862595419842E-2</v>
      </c>
      <c r="K31" s="25"/>
    </row>
    <row r="32" spans="1:11" x14ac:dyDescent="0.25">
      <c r="A32" s="16">
        <v>1975</v>
      </c>
      <c r="B32" s="25">
        <f>(prod!$G32*MatEnergy_PlateGlass!B32)+((prod!$I32+prod!$K32)*MatEnergy_WindowGlass!B$29)</f>
        <v>0.21804830917874396</v>
      </c>
      <c r="C32" s="25">
        <f>(prod!$G32*MatEnergy_PlateGlass!C32)+((prod!$I32+prod!$K32)*MatEnergy_WindowGlass!C$29)</f>
        <v>0.16089855072463768</v>
      </c>
      <c r="D32" s="25">
        <f>(prod!$G32*MatEnergy_PlateGlass!D32)+((prod!$I32+prod!$K32)*MatEnergy_WindowGlass!D$29)</f>
        <v>0.57233816425120776</v>
      </c>
      <c r="E32" s="25">
        <f>(prod!$G32*MatEnergy_PlateGlass!E32)+((prod!$I32+prod!$K32)*MatEnergy_WindowGlass!E$29)</f>
        <v>0.1741352657004831</v>
      </c>
      <c r="F32" s="25">
        <f>(prod!$G32*MatEnergy_PlateGlass!F32)+((prod!$I32+prod!$K32)*MatEnergy_WindowGlass!F$29)</f>
        <v>1.3671497584541066E-2</v>
      </c>
      <c r="G32" s="25">
        <f>(prod!$G32*MatEnergy_PlateGlass!G32)+((prod!$I32+prod!$K32)*MatEnergy_WindowGlass!G$29)</f>
        <v>6.4386473429951699E-2</v>
      </c>
      <c r="H32" s="25">
        <f>(prod!$G32*MatEnergy_PlateGlass!H32)+((prod!$I32+prod!$K32)*MatEnergy_WindowGlass!H$29)</f>
        <v>0.12617391304347825</v>
      </c>
      <c r="I32" s="25">
        <f>(prod!$G32*MatEnergy_PlateGlass!I32)+((prod!$I32+prod!$K32)*MatEnergy_WindowGlass!I$29)</f>
        <v>3.7082125603864736E-2</v>
      </c>
      <c r="K32" s="25"/>
    </row>
    <row r="33" spans="1:11" x14ac:dyDescent="0.25">
      <c r="A33" s="16">
        <v>1976</v>
      </c>
      <c r="B33" s="25">
        <f>(prod!$G33*MatEnergy_PlateGlass!B33)+((prod!$I33+prod!$K33)*MatEnergy_WindowGlass!B$29)</f>
        <v>0.2032412054912055</v>
      </c>
      <c r="C33" s="25">
        <f>(prod!$G33*MatEnergy_PlateGlass!C33)+((prod!$I33+prod!$K33)*MatEnergy_WindowGlass!C$29)</f>
        <v>0.17396364221364219</v>
      </c>
      <c r="D33" s="25">
        <f>(prod!$G33*MatEnergy_PlateGlass!D33)+((prod!$I33+prod!$K33)*MatEnergy_WindowGlass!D$29)</f>
        <v>0.56194616044616041</v>
      </c>
      <c r="E33" s="25">
        <f>(prod!$G33*MatEnergy_PlateGlass!E33)+((prod!$I33+prod!$K33)*MatEnergy_WindowGlass!E$29)</f>
        <v>0.1712219004719005</v>
      </c>
      <c r="F33" s="25">
        <f>(prod!$G33*MatEnergy_PlateGlass!F33)+((prod!$I33+prod!$K33)*MatEnergy_WindowGlass!F$29)</f>
        <v>1.3641462891462893E-2</v>
      </c>
      <c r="G33" s="25">
        <f>(prod!$G33*MatEnergy_PlateGlass!G33)+((prod!$I33+prod!$K33)*MatEnergy_WindowGlass!G$29)</f>
        <v>6.4056091806091814E-2</v>
      </c>
      <c r="H33" s="25">
        <f>(prod!$G33*MatEnergy_PlateGlass!H33)+((prod!$I33+prod!$K33)*MatEnergy_WindowGlass!H$29)</f>
        <v>0.12509266409266409</v>
      </c>
      <c r="I33" s="25">
        <f>(prod!$G33*MatEnergy_PlateGlass!I33)+((prod!$I33+prod!$K33)*MatEnergy_WindowGlass!I$29)</f>
        <v>3.8643929643929639E-2</v>
      </c>
      <c r="K33" s="25"/>
    </row>
    <row r="34" spans="1:11" x14ac:dyDescent="0.25">
      <c r="A34" s="16">
        <v>1977</v>
      </c>
      <c r="B34" s="25">
        <f>(prod!$G34*MatEnergy_PlateGlass!B34)+((prod!$I34+prod!$K34)*MatEnergy_WindowGlass!B$29)</f>
        <v>0.21394260338606716</v>
      </c>
      <c r="C34" s="25">
        <f>(prod!$G34*MatEnergy_PlateGlass!C34)+((prod!$I34+prod!$K34)*MatEnergy_WindowGlass!C$29)</f>
        <v>0.16452123230641133</v>
      </c>
      <c r="D34" s="25">
        <f>(prod!$G34*MatEnergy_PlateGlass!D34)+((prod!$I34+prod!$K34)*MatEnergy_WindowGlass!D$29)</f>
        <v>0.56945667499306141</v>
      </c>
      <c r="E34" s="25">
        <f>(prod!$G34*MatEnergy_PlateGlass!E34)+((prod!$I34+prod!$K34)*MatEnergy_WindowGlass!E$29)</f>
        <v>0.17332744934776576</v>
      </c>
      <c r="F34" s="25">
        <f>(prod!$G34*MatEnergy_PlateGlass!F34)+((prod!$I34+prod!$K34)*MatEnergy_WindowGlass!F$29)</f>
        <v>1.3663169580904803E-2</v>
      </c>
      <c r="G34" s="25">
        <f>(prod!$G34*MatEnergy_PlateGlass!G34)+((prod!$I34+prod!$K34)*MatEnergy_WindowGlass!G$29)</f>
        <v>6.4294865389952827E-2</v>
      </c>
      <c r="H34" s="25">
        <f>(prod!$G34*MatEnergy_PlateGlass!H34)+((prod!$I34+prod!$K34)*MatEnergy_WindowGlass!H$29)</f>
        <v>0.12587410491257284</v>
      </c>
      <c r="I34" s="25">
        <f>(prod!$G34*MatEnergy_PlateGlass!I34)+((prod!$I34+prod!$K34)*MatEnergy_WindowGlass!I$29)</f>
        <v>3.7515181792950318E-2</v>
      </c>
      <c r="K34" s="25"/>
    </row>
    <row r="35" spans="1:11" x14ac:dyDescent="0.25">
      <c r="A35" s="16">
        <v>1978</v>
      </c>
      <c r="B35" s="25"/>
      <c r="C35" s="25"/>
      <c r="D35" s="25"/>
      <c r="E35" s="25"/>
      <c r="F35" s="25"/>
      <c r="G35" s="25"/>
      <c r="H35" s="25"/>
      <c r="I35" s="25"/>
      <c r="K35" s="25"/>
    </row>
    <row r="36" spans="1:11" x14ac:dyDescent="0.25">
      <c r="A36" s="16">
        <v>1979</v>
      </c>
      <c r="B36" s="25"/>
      <c r="C36" s="25"/>
      <c r="D36" s="25"/>
      <c r="E36" s="25"/>
      <c r="F36" s="25"/>
      <c r="G36" s="25"/>
      <c r="H36" s="25"/>
      <c r="I36" s="25"/>
      <c r="K36" s="25"/>
    </row>
    <row r="37" spans="1:11" x14ac:dyDescent="0.25">
      <c r="A37" s="16">
        <v>1980</v>
      </c>
      <c r="B37" s="25"/>
      <c r="C37" s="25"/>
      <c r="D37" s="25"/>
      <c r="E37" s="25"/>
      <c r="F37" s="25"/>
      <c r="G37" s="25"/>
      <c r="H37" s="25"/>
      <c r="I37" s="25"/>
      <c r="K37" s="25"/>
    </row>
    <row r="38" spans="1:11" x14ac:dyDescent="0.25">
      <c r="A38" s="16">
        <v>1981</v>
      </c>
      <c r="B38" s="25"/>
      <c r="C38" s="25"/>
      <c r="D38" s="25"/>
      <c r="E38" s="25"/>
      <c r="F38" s="25"/>
      <c r="G38" s="25"/>
      <c r="H38" s="25"/>
      <c r="I38" s="25"/>
      <c r="K38" s="25"/>
    </row>
    <row r="39" spans="1:11" x14ac:dyDescent="0.25">
      <c r="A39" s="16">
        <v>1982</v>
      </c>
      <c r="B39" s="25"/>
      <c r="C39" s="25"/>
      <c r="D39" s="25"/>
      <c r="E39" s="25"/>
      <c r="F39" s="25"/>
      <c r="G39" s="25"/>
      <c r="H39" s="25"/>
      <c r="I39" s="25"/>
      <c r="K39" s="25"/>
    </row>
    <row r="40" spans="1:11" x14ac:dyDescent="0.25">
      <c r="A40" s="16">
        <v>1983</v>
      </c>
      <c r="B40" s="25"/>
      <c r="C40" s="25"/>
      <c r="D40" s="25"/>
      <c r="E40" s="25"/>
      <c r="F40" s="25"/>
      <c r="G40" s="25"/>
      <c r="H40" s="25"/>
      <c r="I40" s="25"/>
      <c r="K40" s="25"/>
    </row>
    <row r="41" spans="1:11" x14ac:dyDescent="0.25">
      <c r="A41" s="16">
        <v>1984</v>
      </c>
      <c r="B41" s="25"/>
      <c r="C41" s="25"/>
      <c r="D41" s="25"/>
      <c r="E41" s="25"/>
      <c r="F41" s="25"/>
      <c r="G41" s="25"/>
      <c r="H41" s="25"/>
      <c r="I41" s="25"/>
      <c r="K41" s="25"/>
    </row>
    <row r="42" spans="1:11" x14ac:dyDescent="0.25">
      <c r="A42" s="16">
        <v>1985</v>
      </c>
      <c r="B42" s="25"/>
      <c r="C42" s="25"/>
      <c r="D42" s="25"/>
      <c r="E42" s="25"/>
      <c r="F42" s="25"/>
      <c r="G42" s="25"/>
      <c r="H42" s="25"/>
      <c r="I42" s="25"/>
      <c r="K42" s="25"/>
    </row>
    <row r="43" spans="1:11" x14ac:dyDescent="0.25">
      <c r="A43" s="16">
        <v>1986</v>
      </c>
      <c r="B43" s="25"/>
      <c r="C43" s="25"/>
      <c r="D43" s="25"/>
      <c r="E43" s="25"/>
      <c r="F43" s="25"/>
      <c r="G43" s="25"/>
      <c r="H43" s="25"/>
      <c r="I43" s="25"/>
      <c r="K43" s="25"/>
    </row>
    <row r="44" spans="1:11" x14ac:dyDescent="0.25">
      <c r="A44" s="16">
        <v>1987</v>
      </c>
      <c r="B44" s="25"/>
      <c r="C44" s="25"/>
      <c r="D44" s="25"/>
      <c r="E44" s="25"/>
      <c r="F44" s="25"/>
      <c r="G44" s="25"/>
      <c r="H44" s="25"/>
      <c r="I44" s="25"/>
      <c r="K44" s="25"/>
    </row>
    <row r="45" spans="1:11" x14ac:dyDescent="0.25">
      <c r="A45" s="16">
        <v>1988</v>
      </c>
      <c r="B45" s="25"/>
      <c r="C45" s="25"/>
      <c r="D45" s="25"/>
      <c r="E45" s="25"/>
      <c r="F45" s="25"/>
      <c r="G45" s="25"/>
      <c r="H45" s="25"/>
      <c r="I45" s="25"/>
      <c r="K45" s="25"/>
    </row>
    <row r="46" spans="1:11" x14ac:dyDescent="0.25">
      <c r="A46" s="16">
        <v>1989</v>
      </c>
      <c r="B46" s="25"/>
      <c r="C46" s="25"/>
      <c r="D46" s="25"/>
      <c r="E46" s="25"/>
      <c r="F46" s="25"/>
      <c r="G46" s="25"/>
      <c r="H46" s="25"/>
      <c r="I46" s="25"/>
      <c r="K46" s="25"/>
    </row>
    <row r="47" spans="1:11" x14ac:dyDescent="0.25">
      <c r="A47" s="16">
        <v>1990</v>
      </c>
      <c r="B47" s="25"/>
      <c r="C47" s="25"/>
      <c r="D47" s="25"/>
      <c r="E47" s="25"/>
      <c r="F47" s="25"/>
      <c r="G47" s="25"/>
      <c r="H47" s="25"/>
      <c r="I47" s="25"/>
      <c r="K47" s="25"/>
    </row>
    <row r="48" spans="1:11" x14ac:dyDescent="0.25">
      <c r="A48" s="16">
        <v>1991</v>
      </c>
      <c r="B48" s="25"/>
      <c r="C48" s="25"/>
      <c r="D48" s="25"/>
      <c r="E48" s="25"/>
      <c r="F48" s="25"/>
      <c r="G48" s="25"/>
      <c r="H48" s="25"/>
      <c r="I48" s="25"/>
      <c r="K48" s="25"/>
    </row>
    <row r="49" spans="1:21" x14ac:dyDescent="0.25">
      <c r="A49" s="16">
        <v>1992</v>
      </c>
      <c r="B49" s="25"/>
      <c r="C49" s="25"/>
      <c r="D49" s="25"/>
      <c r="E49" s="25"/>
      <c r="F49" s="25"/>
      <c r="G49" s="25"/>
      <c r="H49" s="25"/>
      <c r="I49" s="25"/>
      <c r="K49" s="25"/>
    </row>
    <row r="50" spans="1:21" x14ac:dyDescent="0.25">
      <c r="A50" s="16">
        <v>1993</v>
      </c>
      <c r="B50" s="25">
        <f>(prod!$G50*MatEnergy_PlateGlass!B50)+((prod!$I50+prod!$K50)*MatEnergy_WindowGlass!B$29)</f>
        <v>5.4620000000000009E-2</v>
      </c>
      <c r="C50" s="25">
        <f>(prod!$G50*MatEnergy_PlateGlass!C50)+((prod!$I50+prod!$K50)*MatEnergy_WindowGlass!C$29)</f>
        <v>0.30509999999999998</v>
      </c>
      <c r="D50" s="25">
        <f>(prod!$G50*MatEnergy_PlateGlass!D50)+((prod!$I50+prod!$K50)*MatEnergy_WindowGlass!D$29)</f>
        <v>0.45763999999999994</v>
      </c>
      <c r="E50" s="25">
        <f>(prod!$G50*MatEnergy_PlateGlass!E50)+((prod!$I50+prod!$K50)*MatEnergy_WindowGlass!E$29)</f>
        <v>0.14198000000000002</v>
      </c>
      <c r="F50" s="25">
        <f>(prod!$G50*MatEnergy_PlateGlass!F50)+((prod!$I50+prod!$K50)*MatEnergy_WindowGlass!F$29)</f>
        <v>1.3339999999999999E-2</v>
      </c>
      <c r="G50" s="25">
        <f>(prod!$G50*MatEnergy_PlateGlass!G50)+((prod!$I50+prod!$K50)*MatEnergy_WindowGlass!G$29)</f>
        <v>6.0740000000000002E-2</v>
      </c>
      <c r="H50" s="25">
        <f>(prod!$G50*MatEnergy_PlateGlass!H50)+((prod!$I50+prod!$K50)*MatEnergy_WindowGlass!H$29)</f>
        <v>0.11424000000000001</v>
      </c>
      <c r="I50" s="25">
        <f>(prod!$G50*MatEnergy_PlateGlass!I50)+((prod!$I50+prod!$K50)*MatEnergy_WindowGlass!I$29)</f>
        <v>5.4319999999999993E-2</v>
      </c>
      <c r="K50" s="25"/>
      <c r="Q50" s="23"/>
    </row>
    <row r="51" spans="1:21" x14ac:dyDescent="0.25">
      <c r="A51" s="16">
        <v>1994</v>
      </c>
      <c r="B51" s="25"/>
      <c r="C51" s="25"/>
      <c r="D51" s="25"/>
      <c r="E51" s="25"/>
      <c r="F51" s="25"/>
      <c r="G51" s="25"/>
      <c r="H51" s="25"/>
      <c r="I51" s="25"/>
      <c r="K51" s="25"/>
    </row>
    <row r="52" spans="1:21" x14ac:dyDescent="0.25">
      <c r="A52" s="16">
        <v>1995</v>
      </c>
      <c r="B52" s="25"/>
      <c r="C52" s="25"/>
      <c r="D52" s="25"/>
      <c r="E52" s="25"/>
      <c r="F52" s="25"/>
      <c r="G52" s="25"/>
      <c r="H52" s="25"/>
      <c r="I52" s="25"/>
      <c r="K52" s="25"/>
      <c r="R52" s="23"/>
    </row>
    <row r="53" spans="1:21" x14ac:dyDescent="0.25">
      <c r="A53" s="16">
        <v>1996</v>
      </c>
      <c r="B53" s="25"/>
      <c r="C53" s="25"/>
      <c r="D53" s="25"/>
      <c r="E53" s="25"/>
      <c r="F53" s="25"/>
      <c r="G53" s="25"/>
      <c r="H53" s="25"/>
      <c r="I53" s="25"/>
      <c r="K53" s="25"/>
    </row>
    <row r="54" spans="1:21" x14ac:dyDescent="0.25">
      <c r="A54" s="16">
        <v>1997</v>
      </c>
      <c r="B54" s="25"/>
      <c r="C54" s="25"/>
      <c r="D54" s="25"/>
      <c r="E54" s="25"/>
      <c r="F54" s="25"/>
      <c r="G54" s="25"/>
      <c r="H54" s="25"/>
      <c r="I54" s="25"/>
      <c r="K54" s="25"/>
      <c r="L54" s="23"/>
      <c r="P54" s="23"/>
      <c r="R54" s="62"/>
      <c r="S54" s="64"/>
    </row>
    <row r="55" spans="1:21" x14ac:dyDescent="0.25">
      <c r="A55" s="16">
        <v>1998</v>
      </c>
      <c r="B55" s="25"/>
      <c r="C55" s="25"/>
      <c r="D55" s="25"/>
      <c r="E55" s="25"/>
      <c r="F55" s="25"/>
      <c r="G55" s="25"/>
      <c r="H55" s="25"/>
      <c r="I55" s="25"/>
      <c r="K55" s="25"/>
      <c r="L55" s="23"/>
      <c r="R55" s="62"/>
      <c r="S55" s="64"/>
    </row>
    <row r="56" spans="1:21" x14ac:dyDescent="0.25">
      <c r="A56" s="16">
        <v>1999</v>
      </c>
      <c r="B56" s="25"/>
      <c r="C56" s="25"/>
      <c r="D56" s="25"/>
      <c r="E56" s="25"/>
      <c r="F56" s="25"/>
      <c r="G56" s="25"/>
      <c r="H56" s="25"/>
      <c r="I56" s="25"/>
      <c r="K56" s="25"/>
      <c r="L56" s="23"/>
      <c r="R56" s="62"/>
      <c r="S56" s="64"/>
    </row>
    <row r="57" spans="1:21" x14ac:dyDescent="0.25">
      <c r="A57" s="16">
        <v>2000</v>
      </c>
      <c r="B57" s="25"/>
      <c r="C57" s="25"/>
      <c r="D57" s="25"/>
      <c r="E57" s="25"/>
      <c r="F57" s="25"/>
      <c r="G57" s="25"/>
      <c r="H57" s="25"/>
      <c r="I57" s="25"/>
      <c r="K57" s="25"/>
      <c r="L57" s="23"/>
      <c r="R57" s="62"/>
      <c r="S57" s="64"/>
    </row>
    <row r="58" spans="1:21" x14ac:dyDescent="0.25">
      <c r="A58" s="16">
        <v>2001</v>
      </c>
      <c r="B58" s="25"/>
      <c r="C58" s="25"/>
      <c r="D58" s="25"/>
      <c r="E58" s="25"/>
      <c r="F58" s="25"/>
      <c r="G58" s="25"/>
      <c r="H58" s="25"/>
      <c r="I58" s="25"/>
      <c r="K58" s="25"/>
      <c r="L58" s="23"/>
      <c r="R58" s="62"/>
      <c r="S58" s="64"/>
    </row>
    <row r="59" spans="1:21" x14ac:dyDescent="0.25">
      <c r="A59" s="16">
        <v>2002</v>
      </c>
      <c r="B59" s="25"/>
      <c r="C59" s="25"/>
      <c r="D59" s="25"/>
      <c r="E59" s="25"/>
      <c r="F59" s="25"/>
      <c r="G59" s="25"/>
      <c r="H59" s="25"/>
      <c r="I59" s="25"/>
      <c r="K59" s="25"/>
      <c r="L59" s="23"/>
      <c r="R59" s="62"/>
      <c r="S59" s="64"/>
    </row>
    <row r="60" spans="1:21" x14ac:dyDescent="0.25">
      <c r="A60" s="16">
        <v>2003</v>
      </c>
      <c r="B60" s="25"/>
      <c r="C60" s="25"/>
      <c r="D60" s="25"/>
      <c r="E60" s="25"/>
      <c r="F60" s="25"/>
      <c r="G60" s="25"/>
      <c r="H60" s="25"/>
      <c r="I60" s="25"/>
      <c r="K60" s="25"/>
      <c r="L60" s="23"/>
      <c r="M60" s="63"/>
      <c r="R60" s="61"/>
      <c r="S60" s="64"/>
    </row>
    <row r="61" spans="1:21" x14ac:dyDescent="0.25">
      <c r="A61" s="16">
        <v>2004</v>
      </c>
      <c r="B61" s="25"/>
      <c r="C61" s="25"/>
      <c r="D61" s="25"/>
      <c r="E61" s="25"/>
      <c r="F61" s="25"/>
      <c r="G61" s="25"/>
      <c r="H61" s="25"/>
      <c r="I61" s="25"/>
      <c r="K61" s="25"/>
    </row>
    <row r="62" spans="1:21" x14ac:dyDescent="0.25">
      <c r="A62" s="16">
        <v>2005</v>
      </c>
      <c r="B62" s="25"/>
      <c r="C62" s="25"/>
      <c r="D62" s="25"/>
      <c r="E62" s="25"/>
      <c r="F62" s="25"/>
      <c r="G62" s="25"/>
      <c r="H62" s="25"/>
      <c r="I62" s="25"/>
      <c r="K62" s="25"/>
      <c r="S62" s="23"/>
    </row>
    <row r="63" spans="1:21" x14ac:dyDescent="0.25">
      <c r="A63" s="16">
        <v>2006</v>
      </c>
      <c r="B63" s="25"/>
      <c r="C63" s="25"/>
      <c r="D63" s="25"/>
      <c r="E63" s="25"/>
      <c r="F63" s="25"/>
      <c r="G63" s="25"/>
      <c r="H63" s="25"/>
      <c r="I63" s="25"/>
      <c r="K63" s="25"/>
    </row>
    <row r="64" spans="1:21" x14ac:dyDescent="0.25">
      <c r="A64" s="16">
        <v>2007</v>
      </c>
      <c r="B64" s="25"/>
      <c r="C64" s="25"/>
      <c r="D64" s="25"/>
      <c r="E64" s="25"/>
      <c r="F64" s="25"/>
      <c r="G64" s="25"/>
      <c r="H64" s="25"/>
      <c r="I64" s="25"/>
      <c r="K64" s="25"/>
      <c r="U64" s="23"/>
    </row>
    <row r="65" spans="1:70" x14ac:dyDescent="0.25">
      <c r="A65" s="16">
        <v>2008</v>
      </c>
      <c r="B65" s="25"/>
      <c r="C65" s="25"/>
      <c r="D65" s="25"/>
      <c r="E65" s="25"/>
      <c r="F65" s="25"/>
      <c r="G65" s="25"/>
      <c r="H65" s="25"/>
      <c r="I65" s="25"/>
      <c r="K65" s="25"/>
      <c r="U65" s="23"/>
    </row>
    <row r="66" spans="1:70" x14ac:dyDescent="0.25">
      <c r="A66" s="16">
        <v>2009</v>
      </c>
      <c r="K66" s="25"/>
      <c r="T66" s="23"/>
      <c r="U66" s="23"/>
    </row>
    <row r="67" spans="1:70" x14ac:dyDescent="0.25">
      <c r="A67" s="16">
        <v>2010</v>
      </c>
      <c r="B67" s="25">
        <v>0.18</v>
      </c>
      <c r="C67" s="25">
        <v>0.04</v>
      </c>
      <c r="D67" s="25">
        <v>0.54200000000000004</v>
      </c>
      <c r="E67" s="25">
        <v>0.16700000000000001</v>
      </c>
      <c r="F67" s="25">
        <v>8.0000000000000002E-3</v>
      </c>
      <c r="G67" s="25">
        <v>3.3000000000000002E-2</v>
      </c>
      <c r="H67" s="25">
        <v>0.14199999999999999</v>
      </c>
      <c r="I67" s="39">
        <v>3.7000000000000002E-3</v>
      </c>
      <c r="K67" s="25"/>
      <c r="T67" s="23"/>
      <c r="U67" s="23"/>
    </row>
    <row r="68" spans="1:70" x14ac:dyDescent="0.25">
      <c r="A68" s="16">
        <v>2011</v>
      </c>
      <c r="T68" s="23"/>
      <c r="U68" s="23"/>
    </row>
    <row r="69" spans="1:70" x14ac:dyDescent="0.25">
      <c r="A69" s="16">
        <v>2012</v>
      </c>
      <c r="B69" s="25"/>
      <c r="C69" s="25"/>
      <c r="D69" s="25"/>
      <c r="E69" s="25"/>
      <c r="F69" s="25"/>
      <c r="G69" s="25"/>
      <c r="H69" s="25"/>
      <c r="I69" s="25"/>
      <c r="P69" s="60"/>
      <c r="T69" s="23"/>
      <c r="U69" s="23"/>
    </row>
    <row r="70" spans="1:70" x14ac:dyDescent="0.25">
      <c r="A70" s="16">
        <v>2013</v>
      </c>
      <c r="B70" s="25"/>
      <c r="C70" s="25"/>
      <c r="D70" s="25"/>
      <c r="E70" s="25"/>
      <c r="F70" s="25"/>
      <c r="G70" s="25"/>
      <c r="H70" s="25"/>
      <c r="I70" s="25"/>
      <c r="P70" s="60"/>
      <c r="T70" s="23"/>
      <c r="U70" s="23"/>
    </row>
    <row r="71" spans="1:70" x14ac:dyDescent="0.25">
      <c r="A71" s="16">
        <v>2014</v>
      </c>
      <c r="B71" s="25"/>
      <c r="C71" s="25"/>
      <c r="D71" s="25"/>
      <c r="E71" s="25"/>
      <c r="F71" s="25"/>
      <c r="G71" s="25"/>
      <c r="H71" s="25"/>
      <c r="I71" s="25"/>
      <c r="P71" s="60"/>
      <c r="T71" s="23"/>
      <c r="U71" s="23"/>
    </row>
    <row r="72" spans="1:70" x14ac:dyDescent="0.25">
      <c r="A72" s="16">
        <v>2015</v>
      </c>
      <c r="B72" s="25"/>
      <c r="C72" s="25"/>
      <c r="D72" s="25"/>
      <c r="E72" s="25"/>
      <c r="F72" s="25"/>
      <c r="G72" s="25"/>
      <c r="H72" s="25"/>
      <c r="I72" s="25"/>
      <c r="P72" s="60"/>
    </row>
    <row r="73" spans="1:70" x14ac:dyDescent="0.25">
      <c r="A73" s="16">
        <v>2016</v>
      </c>
      <c r="B73" s="25"/>
      <c r="C73" s="25"/>
      <c r="D73" s="25"/>
      <c r="E73" s="25"/>
      <c r="F73" s="25"/>
      <c r="G73" s="25"/>
      <c r="H73" s="25"/>
      <c r="I73" s="25"/>
      <c r="P73" s="60"/>
    </row>
    <row r="74" spans="1:70" x14ac:dyDescent="0.25">
      <c r="A74" s="16">
        <v>2017</v>
      </c>
      <c r="B74" s="25"/>
      <c r="C74" s="25"/>
      <c r="D74" s="25"/>
      <c r="E74" s="25"/>
      <c r="F74" s="25"/>
      <c r="G74" s="25"/>
      <c r="H74" s="25"/>
      <c r="I74" s="25"/>
    </row>
    <row r="75" spans="1:70" x14ac:dyDescent="0.25">
      <c r="A75" s="16">
        <v>2018</v>
      </c>
      <c r="B75" s="25"/>
      <c r="C75" s="25"/>
      <c r="D75" s="25"/>
      <c r="E75" s="25"/>
      <c r="F75" s="25"/>
      <c r="G75" s="25"/>
      <c r="H75" s="25"/>
      <c r="I75" s="25"/>
    </row>
    <row r="76" spans="1:70" x14ac:dyDescent="0.25">
      <c r="A76" s="16">
        <v>2019</v>
      </c>
      <c r="B76" s="25">
        <v>0.18</v>
      </c>
      <c r="C76" s="25">
        <v>0.04</v>
      </c>
      <c r="D76" s="25">
        <v>0.54200000000000004</v>
      </c>
      <c r="E76" s="25">
        <v>0.16700000000000001</v>
      </c>
      <c r="F76" s="25">
        <v>8.0000000000000002E-3</v>
      </c>
      <c r="G76" s="25">
        <v>3.3000000000000002E-2</v>
      </c>
      <c r="H76" s="25">
        <v>0.14199999999999999</v>
      </c>
      <c r="I76" s="39">
        <v>3.7000000000000002E-3</v>
      </c>
    </row>
    <row r="77" spans="1:70" x14ac:dyDescent="0.25">
      <c r="A77" s="16">
        <v>2020</v>
      </c>
      <c r="B77" s="25"/>
      <c r="C77" s="25"/>
      <c r="D77" s="25"/>
      <c r="E77" s="25"/>
      <c r="F77" s="25"/>
      <c r="G77" s="25"/>
      <c r="H77" s="25"/>
      <c r="I77" s="25"/>
    </row>
    <row r="78" spans="1:70" s="28" customFormat="1" x14ac:dyDescent="0.25">
      <c r="A78" s="27"/>
      <c r="B78" s="26"/>
      <c r="C78" s="26"/>
      <c r="D78" s="26"/>
      <c r="E78" s="26"/>
      <c r="F78" s="26"/>
      <c r="G78" s="26"/>
      <c r="H78" s="26"/>
      <c r="I78" s="26"/>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row>
    <row r="79" spans="1:70" s="28" customFormat="1" x14ac:dyDescent="0.25">
      <c r="A79" s="27"/>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row>
    <row r="80" spans="1:70" s="28" customFormat="1" x14ac:dyDescent="0.25">
      <c r="A80" s="27"/>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row>
    <row r="87" spans="1:70" s="28" customFormat="1" x14ac:dyDescent="0.25">
      <c r="A87" s="27"/>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row>
    <row r="88" spans="1:70" s="28" customFormat="1" x14ac:dyDescent="0.25">
      <c r="A88" s="27"/>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9AC4E-6DA8-4485-9988-F432D0671361}">
  <dimension ref="A1:BM88"/>
  <sheetViews>
    <sheetView tabSelected="1" zoomScale="85" zoomScaleNormal="85" workbookViewId="0">
      <pane xSplit="1" ySplit="1" topLeftCell="B62" activePane="bottomRight" state="frozen"/>
      <selection pane="topRight" activeCell="B1" sqref="B1"/>
      <selection pane="bottomLeft" activeCell="A2" sqref="A2"/>
      <selection pane="bottomRight" activeCell="H56" sqref="H56"/>
    </sheetView>
  </sheetViews>
  <sheetFormatPr defaultColWidth="10.7109375" defaultRowHeight="15" x14ac:dyDescent="0.25"/>
  <cols>
    <col min="1" max="1" width="8" style="27" bestFit="1" customWidth="1"/>
    <col min="2" max="4" width="15.140625" style="24" customWidth="1"/>
    <col min="5" max="16384" width="10.7109375" style="24"/>
  </cols>
  <sheetData>
    <row r="1" spans="1:5" s="30" customFormat="1" ht="30" x14ac:dyDescent="0.25">
      <c r="A1" s="29" t="s">
        <v>0</v>
      </c>
      <c r="B1" s="69" t="s">
        <v>18</v>
      </c>
      <c r="C1" s="69" t="s">
        <v>19</v>
      </c>
      <c r="D1" s="69" t="s">
        <v>20</v>
      </c>
    </row>
    <row r="2" spans="1:5" x14ac:dyDescent="0.25">
      <c r="A2" s="16">
        <v>1945</v>
      </c>
      <c r="B2" s="25"/>
      <c r="C2" s="25"/>
    </row>
    <row r="3" spans="1:5" x14ac:dyDescent="0.25">
      <c r="A3" s="16">
        <v>1946</v>
      </c>
      <c r="B3" s="25"/>
      <c r="C3" s="70"/>
    </row>
    <row r="4" spans="1:5" x14ac:dyDescent="0.25">
      <c r="A4" s="16">
        <v>1947</v>
      </c>
      <c r="B4" s="35"/>
      <c r="C4" s="35"/>
      <c r="D4" s="35"/>
    </row>
    <row r="5" spans="1:5" x14ac:dyDescent="0.25">
      <c r="A5" s="16">
        <v>1948</v>
      </c>
      <c r="B5" s="23"/>
      <c r="C5" s="23"/>
    </row>
    <row r="6" spans="1:5" x14ac:dyDescent="0.25">
      <c r="A6" s="16">
        <v>1949</v>
      </c>
      <c r="B6" s="23"/>
      <c r="C6" s="23"/>
    </row>
    <row r="7" spans="1:5" x14ac:dyDescent="0.25">
      <c r="A7" s="16">
        <v>1950</v>
      </c>
      <c r="B7" s="25">
        <f>(prod!$G7*MatEnergy_PlateGlass!L7)+((prod!$I7+prod!$K7)*MatEnergy_WindowGlass!L7)</f>
        <v>38.414005602240891</v>
      </c>
      <c r="C7" s="25">
        <f>(prod!$G7*MatEnergy_PlateGlass!N7)+((prod!$I7+prod!$K7)*MatEnergy_WindowGlass!N7)</f>
        <v>0.72849283598331416</v>
      </c>
      <c r="D7" s="25">
        <f>(prod!$G7*MatEnergy_PlateGlass!O7)+((prod!$I7+prod!$K7)*MatEnergy_WindowGlass!O7)</f>
        <v>0</v>
      </c>
      <c r="E7" s="25"/>
    </row>
    <row r="8" spans="1:5" x14ac:dyDescent="0.25">
      <c r="A8" s="16">
        <v>1951</v>
      </c>
      <c r="B8" s="25"/>
      <c r="C8" s="25"/>
      <c r="D8" s="25"/>
    </row>
    <row r="9" spans="1:5" x14ac:dyDescent="0.25">
      <c r="A9" s="16">
        <v>1952</v>
      </c>
      <c r="B9" s="25"/>
      <c r="C9" s="25"/>
      <c r="D9" s="25"/>
    </row>
    <row r="10" spans="1:5" x14ac:dyDescent="0.25">
      <c r="A10" s="16">
        <v>1953</v>
      </c>
      <c r="B10" s="25"/>
      <c r="C10" s="25"/>
      <c r="D10" s="25"/>
    </row>
    <row r="11" spans="1:5" x14ac:dyDescent="0.25">
      <c r="A11" s="16">
        <v>1954</v>
      </c>
      <c r="B11" s="25"/>
      <c r="C11" s="25"/>
      <c r="D11" s="25"/>
    </row>
    <row r="12" spans="1:5" x14ac:dyDescent="0.25">
      <c r="A12" s="16">
        <v>1955</v>
      </c>
      <c r="B12" s="25"/>
      <c r="C12" s="25"/>
      <c r="D12" s="25"/>
    </row>
    <row r="13" spans="1:5" x14ac:dyDescent="0.25">
      <c r="A13" s="16">
        <v>1956</v>
      </c>
      <c r="B13" s="25"/>
      <c r="C13" s="25"/>
      <c r="D13" s="25"/>
    </row>
    <row r="14" spans="1:5" x14ac:dyDescent="0.25">
      <c r="A14" s="16">
        <v>1957</v>
      </c>
      <c r="B14" s="25"/>
      <c r="C14" s="25"/>
      <c r="D14" s="25"/>
    </row>
    <row r="15" spans="1:5" x14ac:dyDescent="0.25">
      <c r="A15" s="16">
        <v>1958</v>
      </c>
      <c r="B15" s="25"/>
      <c r="C15" s="25"/>
      <c r="D15" s="25"/>
    </row>
    <row r="16" spans="1:5" x14ac:dyDescent="0.25">
      <c r="A16" s="16">
        <v>1959</v>
      </c>
      <c r="B16" s="25"/>
      <c r="C16" s="25"/>
      <c r="D16" s="25"/>
    </row>
    <row r="17" spans="1:6" x14ac:dyDescent="0.25">
      <c r="A17" s="16">
        <v>1960</v>
      </c>
      <c r="B17" s="25">
        <f>(prod!$G17*MatEnergy_PlateGlass!L17)+((prod!$I17+prod!$K17)*MatEnergy_WindowGlass!L17)</f>
        <v>29.554968795007206</v>
      </c>
      <c r="C17" s="25">
        <f>(prod!$G17*MatEnergy_PlateGlass!N17)+((prod!$I17+prod!$K17)*MatEnergy_WindowGlass!N17)</f>
        <v>0.77976907959949848</v>
      </c>
      <c r="D17" s="25">
        <f>(prod!$G17*MatEnergy_PlateGlass!O17)+((prod!$I17+prod!$K17)*MatEnergy_WindowGlass!O17)</f>
        <v>0</v>
      </c>
    </row>
    <row r="18" spans="1:6" x14ac:dyDescent="0.25">
      <c r="A18" s="16">
        <v>1961</v>
      </c>
      <c r="B18" s="25"/>
      <c r="C18" s="25"/>
      <c r="D18" s="25"/>
    </row>
    <row r="19" spans="1:6" x14ac:dyDescent="0.25">
      <c r="A19" s="16">
        <v>1962</v>
      </c>
      <c r="B19" s="25"/>
      <c r="C19" s="25"/>
      <c r="D19" s="25"/>
    </row>
    <row r="20" spans="1:6" x14ac:dyDescent="0.25">
      <c r="A20" s="16">
        <v>1963</v>
      </c>
      <c r="B20" s="25"/>
      <c r="C20" s="25"/>
      <c r="D20" s="25"/>
    </row>
    <row r="21" spans="1:6" x14ac:dyDescent="0.25">
      <c r="A21" s="16">
        <v>1964</v>
      </c>
      <c r="B21" s="25"/>
      <c r="C21" s="25"/>
      <c r="D21" s="25"/>
    </row>
    <row r="22" spans="1:6" x14ac:dyDescent="0.25">
      <c r="A22" s="16">
        <v>1965</v>
      </c>
      <c r="B22" s="25"/>
      <c r="C22" s="25"/>
      <c r="D22" s="25"/>
    </row>
    <row r="23" spans="1:6" x14ac:dyDescent="0.25">
      <c r="A23" s="16">
        <v>1966</v>
      </c>
      <c r="B23" s="25"/>
      <c r="C23" s="25"/>
      <c r="D23" s="25"/>
    </row>
    <row r="24" spans="1:6" x14ac:dyDescent="0.25">
      <c r="A24" s="16">
        <v>1967</v>
      </c>
      <c r="B24" s="25"/>
      <c r="C24" s="25"/>
      <c r="D24" s="25"/>
    </row>
    <row r="25" spans="1:6" x14ac:dyDescent="0.25">
      <c r="A25" s="16">
        <v>1968</v>
      </c>
      <c r="B25" s="25"/>
      <c r="C25" s="25"/>
      <c r="D25" s="25"/>
    </row>
    <row r="26" spans="1:6" x14ac:dyDescent="0.25">
      <c r="A26" s="16">
        <v>1969</v>
      </c>
      <c r="B26" s="25"/>
      <c r="C26" s="25"/>
      <c r="D26" s="25"/>
    </row>
    <row r="27" spans="1:6" x14ac:dyDescent="0.25">
      <c r="A27" s="16">
        <v>1970</v>
      </c>
      <c r="B27" s="25">
        <f>(prod!$G27*MatEnergy_PlateGlass!L27)+((prod!$I27+prod!$K27)*MatEnergy_WindowGlass!L27)</f>
        <v>21.660017399950291</v>
      </c>
      <c r="C27" s="25">
        <f>(prod!$G27*MatEnergy_PlateGlass!N27)+((prod!$I27+prod!$K27)*MatEnergy_WindowGlass!N27)</f>
        <v>0.95526263552916069</v>
      </c>
      <c r="D27" s="25">
        <f>(prod!$G27*MatEnergy_PlateGlass!O27)+((prod!$I27+prod!$K27)*MatEnergy_WindowGlass!O27)</f>
        <v>2.1743999999999999</v>
      </c>
      <c r="E27" s="25"/>
      <c r="F27" s="25"/>
    </row>
    <row r="28" spans="1:6" x14ac:dyDescent="0.25">
      <c r="A28" s="16">
        <v>1971</v>
      </c>
      <c r="B28" s="25"/>
      <c r="C28" s="25"/>
      <c r="D28" s="25"/>
    </row>
    <row r="29" spans="1:6" x14ac:dyDescent="0.25">
      <c r="A29" s="16">
        <v>1972</v>
      </c>
      <c r="B29" s="25"/>
      <c r="C29" s="25"/>
      <c r="D29" s="25"/>
    </row>
    <row r="30" spans="1:6" x14ac:dyDescent="0.25">
      <c r="A30" s="16">
        <v>1973</v>
      </c>
      <c r="B30" s="25"/>
      <c r="C30" s="25"/>
      <c r="D30" s="25"/>
    </row>
    <row r="31" spans="1:6" x14ac:dyDescent="0.25">
      <c r="A31" s="16">
        <v>1974</v>
      </c>
      <c r="B31" s="25"/>
      <c r="C31" s="25"/>
      <c r="D31" s="25"/>
    </row>
    <row r="32" spans="1:6" x14ac:dyDescent="0.25">
      <c r="A32" s="16">
        <v>1975</v>
      </c>
      <c r="B32" s="25">
        <f>(prod!$G32*MatEnergy_PlateGlass!L32)+((prod!$I32+prod!$K32)*MatEnergy_WindowGlass!L32)</f>
        <v>18.264251207729473</v>
      </c>
      <c r="C32" s="25">
        <f>(prod!$G32*MatEnergy_PlateGlass!N32)+((prod!$I32+prod!$K32)*MatEnergy_WindowGlass!N32)</f>
        <v>1.0053869947520244</v>
      </c>
      <c r="D32" s="25"/>
    </row>
    <row r="33" spans="1:4" x14ac:dyDescent="0.25">
      <c r="A33" s="16">
        <v>1976</v>
      </c>
      <c r="B33" s="25"/>
      <c r="C33" s="25"/>
      <c r="D33" s="25"/>
    </row>
    <row r="34" spans="1:4" x14ac:dyDescent="0.25">
      <c r="A34" s="16">
        <v>1977</v>
      </c>
      <c r="B34" s="25"/>
      <c r="C34" s="25"/>
      <c r="D34" s="25"/>
    </row>
    <row r="35" spans="1:4" x14ac:dyDescent="0.25">
      <c r="A35" s="16">
        <v>1978</v>
      </c>
      <c r="B35" s="25"/>
      <c r="C35" s="25"/>
      <c r="D35" s="25"/>
    </row>
    <row r="36" spans="1:4" x14ac:dyDescent="0.25">
      <c r="A36" s="16">
        <v>1979</v>
      </c>
      <c r="B36" s="25"/>
      <c r="C36" s="25"/>
      <c r="D36" s="25"/>
    </row>
    <row r="37" spans="1:4" x14ac:dyDescent="0.25">
      <c r="A37" s="16">
        <v>1980</v>
      </c>
      <c r="B37" s="25"/>
      <c r="C37" s="25"/>
      <c r="D37" s="25"/>
    </row>
    <row r="38" spans="1:4" x14ac:dyDescent="0.25">
      <c r="A38" s="16">
        <v>1981</v>
      </c>
      <c r="B38" s="25"/>
      <c r="C38" s="25"/>
      <c r="D38" s="79">
        <v>4.7478000000000007</v>
      </c>
    </row>
    <row r="39" spans="1:4" x14ac:dyDescent="0.25">
      <c r="A39" s="16">
        <v>1982</v>
      </c>
      <c r="B39" s="25"/>
      <c r="C39" s="25"/>
      <c r="D39" s="25"/>
    </row>
    <row r="40" spans="1:4" x14ac:dyDescent="0.25">
      <c r="A40" s="16">
        <v>1983</v>
      </c>
      <c r="B40" s="35"/>
      <c r="C40" s="35"/>
      <c r="D40" s="35"/>
    </row>
    <row r="41" spans="1:4" x14ac:dyDescent="0.25">
      <c r="A41" s="16">
        <v>1984</v>
      </c>
      <c r="B41" s="35"/>
      <c r="C41" s="35"/>
      <c r="D41" s="35"/>
    </row>
    <row r="42" spans="1:4" x14ac:dyDescent="0.25">
      <c r="A42" s="16">
        <v>1985</v>
      </c>
      <c r="B42" s="35"/>
      <c r="C42" s="35"/>
      <c r="D42" s="35"/>
    </row>
    <row r="43" spans="1:4" x14ac:dyDescent="0.25">
      <c r="A43" s="16">
        <v>1986</v>
      </c>
      <c r="B43" s="35"/>
      <c r="C43" s="35"/>
      <c r="D43" s="35"/>
    </row>
    <row r="44" spans="1:4" x14ac:dyDescent="0.25">
      <c r="A44" s="16">
        <v>1987</v>
      </c>
      <c r="B44" s="35"/>
      <c r="C44" s="35"/>
      <c r="D44" s="35"/>
    </row>
    <row r="45" spans="1:4" x14ac:dyDescent="0.25">
      <c r="A45" s="16">
        <v>1988</v>
      </c>
      <c r="B45" s="35"/>
      <c r="C45" s="35"/>
      <c r="D45" s="35"/>
    </row>
    <row r="46" spans="1:4" x14ac:dyDescent="0.25">
      <c r="A46" s="16">
        <v>1989</v>
      </c>
      <c r="B46" s="35"/>
      <c r="C46" s="35"/>
      <c r="D46" s="35"/>
    </row>
    <row r="47" spans="1:4" x14ac:dyDescent="0.25">
      <c r="A47" s="16">
        <v>1990</v>
      </c>
      <c r="B47" s="35"/>
      <c r="C47" s="35"/>
      <c r="D47" s="35"/>
    </row>
    <row r="48" spans="1:4" x14ac:dyDescent="0.25">
      <c r="A48" s="16">
        <v>1991</v>
      </c>
      <c r="B48" s="35"/>
      <c r="C48" s="35"/>
      <c r="D48" s="35"/>
    </row>
    <row r="49" spans="1:4" x14ac:dyDescent="0.25">
      <c r="A49" s="16">
        <v>1992</v>
      </c>
      <c r="B49" s="35"/>
      <c r="C49" s="35"/>
      <c r="D49" s="35"/>
    </row>
    <row r="50" spans="1:4" x14ac:dyDescent="0.25">
      <c r="A50" s="16">
        <v>1993</v>
      </c>
      <c r="B50" s="35"/>
      <c r="C50" s="35"/>
      <c r="D50" s="35"/>
    </row>
    <row r="51" spans="1:4" x14ac:dyDescent="0.25">
      <c r="A51" s="16">
        <v>1994</v>
      </c>
      <c r="B51" s="35"/>
      <c r="C51" s="35"/>
      <c r="D51" s="35"/>
    </row>
    <row r="52" spans="1:4" x14ac:dyDescent="0.25">
      <c r="A52" s="16">
        <v>1995</v>
      </c>
      <c r="B52" s="35"/>
      <c r="C52" s="35"/>
      <c r="D52" s="35"/>
    </row>
    <row r="53" spans="1:4" x14ac:dyDescent="0.25">
      <c r="A53" s="16">
        <v>1996</v>
      </c>
      <c r="B53" s="35"/>
      <c r="C53" s="35"/>
      <c r="D53" s="35"/>
    </row>
    <row r="54" spans="1:4" x14ac:dyDescent="0.25">
      <c r="A54" s="16">
        <v>1997</v>
      </c>
      <c r="B54" s="35"/>
      <c r="C54" s="35"/>
      <c r="D54" s="35"/>
    </row>
    <row r="55" spans="1:4" x14ac:dyDescent="0.25">
      <c r="A55" s="16">
        <v>1998</v>
      </c>
      <c r="B55" s="35"/>
      <c r="C55" s="35"/>
      <c r="D55" s="35"/>
    </row>
    <row r="56" spans="1:4" x14ac:dyDescent="0.25">
      <c r="A56" s="16">
        <v>1999</v>
      </c>
      <c r="B56" s="35"/>
      <c r="C56" s="35"/>
      <c r="D56" s="35"/>
    </row>
    <row r="57" spans="1:4" x14ac:dyDescent="0.25">
      <c r="A57" s="16">
        <v>2000</v>
      </c>
      <c r="B57" s="35"/>
      <c r="C57" s="35"/>
      <c r="D57" s="35"/>
    </row>
    <row r="58" spans="1:4" x14ac:dyDescent="0.25">
      <c r="A58" s="16">
        <v>2001</v>
      </c>
      <c r="B58" s="35"/>
      <c r="C58" s="35"/>
      <c r="D58" s="35"/>
    </row>
    <row r="59" spans="1:4" x14ac:dyDescent="0.25">
      <c r="A59" s="16">
        <v>2002</v>
      </c>
      <c r="B59" s="35"/>
      <c r="C59" s="35"/>
      <c r="D59" s="35"/>
    </row>
    <row r="60" spans="1:4" x14ac:dyDescent="0.25">
      <c r="A60" s="16">
        <v>2003</v>
      </c>
      <c r="B60" s="35"/>
      <c r="C60" s="35"/>
      <c r="D60" s="35"/>
    </row>
    <row r="61" spans="1:4" x14ac:dyDescent="0.25">
      <c r="A61" s="16">
        <v>2004</v>
      </c>
      <c r="B61" s="35"/>
      <c r="C61" s="35"/>
      <c r="D61" s="35"/>
    </row>
    <row r="62" spans="1:4" x14ac:dyDescent="0.25">
      <c r="A62" s="16">
        <v>2005</v>
      </c>
      <c r="B62" s="35"/>
      <c r="C62" s="35"/>
      <c r="D62" s="35"/>
    </row>
    <row r="63" spans="1:4" x14ac:dyDescent="0.25">
      <c r="A63" s="16">
        <v>2006</v>
      </c>
      <c r="B63" s="35"/>
      <c r="C63" s="35"/>
      <c r="D63" s="35"/>
    </row>
    <row r="64" spans="1:4" x14ac:dyDescent="0.25">
      <c r="A64" s="16">
        <v>2007</v>
      </c>
      <c r="B64" s="35"/>
      <c r="C64" s="35"/>
      <c r="D64" s="35"/>
    </row>
    <row r="65" spans="1:65" x14ac:dyDescent="0.25">
      <c r="A65" s="16">
        <v>2008</v>
      </c>
      <c r="B65" s="35"/>
      <c r="C65" s="35"/>
      <c r="D65" s="35"/>
    </row>
    <row r="66" spans="1:65" x14ac:dyDescent="0.25">
      <c r="A66" s="16">
        <v>2009</v>
      </c>
      <c r="B66" s="35"/>
      <c r="C66" s="35"/>
      <c r="D66" s="35"/>
    </row>
    <row r="67" spans="1:65" x14ac:dyDescent="0.25">
      <c r="A67" s="16">
        <v>2010</v>
      </c>
      <c r="B67" s="35">
        <f>(2.8+2.1)/2</f>
        <v>2.4500000000000002</v>
      </c>
      <c r="C67" s="35">
        <f>(0.8+2.87)/2</f>
        <v>1.835</v>
      </c>
      <c r="D67" s="35">
        <f>(6.1+7.58)/2</f>
        <v>6.84</v>
      </c>
    </row>
    <row r="68" spans="1:65" x14ac:dyDescent="0.25">
      <c r="A68" s="16">
        <v>2011</v>
      </c>
    </row>
    <row r="69" spans="1:65" x14ac:dyDescent="0.25">
      <c r="A69" s="16">
        <v>2012</v>
      </c>
      <c r="B69" s="35"/>
      <c r="C69" s="35"/>
      <c r="D69" s="35"/>
    </row>
    <row r="70" spans="1:65" x14ac:dyDescent="0.25">
      <c r="A70" s="16">
        <v>2013</v>
      </c>
      <c r="B70" s="35"/>
      <c r="C70" s="35"/>
      <c r="D70" s="35"/>
    </row>
    <row r="71" spans="1:65" x14ac:dyDescent="0.25">
      <c r="A71" s="16">
        <v>2014</v>
      </c>
      <c r="B71" s="35"/>
      <c r="C71" s="35"/>
      <c r="D71" s="35"/>
    </row>
    <row r="72" spans="1:65" x14ac:dyDescent="0.25">
      <c r="A72" s="16">
        <v>2015</v>
      </c>
      <c r="B72" s="35"/>
      <c r="C72" s="35"/>
      <c r="D72" s="35"/>
    </row>
    <row r="73" spans="1:65" x14ac:dyDescent="0.25">
      <c r="A73" s="16">
        <v>2016</v>
      </c>
      <c r="B73" s="35"/>
      <c r="C73" s="35"/>
      <c r="D73" s="35"/>
    </row>
    <row r="74" spans="1:65" x14ac:dyDescent="0.25">
      <c r="A74" s="16">
        <v>2017</v>
      </c>
    </row>
    <row r="75" spans="1:65" x14ac:dyDescent="0.25">
      <c r="A75" s="16">
        <v>2018</v>
      </c>
    </row>
    <row r="76" spans="1:65" x14ac:dyDescent="0.25">
      <c r="A76" s="16">
        <v>2019</v>
      </c>
      <c r="B76" s="35">
        <f>(2.8+2.1)/2</f>
        <v>2.4500000000000002</v>
      </c>
      <c r="C76" s="35">
        <f>(0.8+2.87)/2</f>
        <v>1.835</v>
      </c>
      <c r="D76" s="35">
        <f>(6.1+7.58)/2</f>
        <v>6.84</v>
      </c>
    </row>
    <row r="77" spans="1:65" x14ac:dyDescent="0.25">
      <c r="A77" s="16">
        <v>2020</v>
      </c>
    </row>
    <row r="78" spans="1:65" s="28" customFormat="1" x14ac:dyDescent="0.25">
      <c r="A78" s="27"/>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row>
    <row r="79" spans="1:65" s="28" customFormat="1" x14ac:dyDescent="0.25">
      <c r="A79" s="27"/>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row>
    <row r="80" spans="1:65" s="28" customFormat="1" x14ac:dyDescent="0.25">
      <c r="A80" s="27"/>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row>
    <row r="87" spans="1:65" s="28" customFormat="1" x14ac:dyDescent="0.25">
      <c r="A87" s="27"/>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row>
    <row r="88" spans="1:65" s="28" customFormat="1" x14ac:dyDescent="0.25">
      <c r="A88" s="27"/>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References</vt:lpstr>
      <vt:lpstr>prod</vt:lpstr>
      <vt:lpstr>import</vt:lpstr>
      <vt:lpstr>export</vt:lpstr>
      <vt:lpstr>Population</vt:lpstr>
      <vt:lpstr>MatEnergy_WindowGlass</vt:lpstr>
      <vt:lpstr>MatEnergy_PlateGlass</vt:lpstr>
      <vt:lpstr>RawMat_Intensity</vt:lpstr>
      <vt:lpstr>Energy_Intensity</vt:lpstr>
      <vt:lpstr>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2020-11-25T15:58:55Z</cp:lastPrinted>
  <dcterms:created xsi:type="dcterms:W3CDTF">2020-05-20T17:08:53Z</dcterms:created>
  <dcterms:modified xsi:type="dcterms:W3CDTF">2020-12-16T14:05:24Z</dcterms:modified>
</cp:coreProperties>
</file>