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1097FA62-72D3-480B-9FC5-F5089B768C6F}" xr6:coauthVersionLast="45" xr6:coauthVersionMax="45" xr10:uidLastSave="{00000000-0000-0000-0000-000000000000}"/>
  <bookViews>
    <workbookView xWindow="1425" yWindow="1425" windowWidth="21510" windowHeight="14670" activeTab="1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3" r:id="rId5"/>
    <sheet name="workforce" sheetId="12" r:id="rId6"/>
    <sheet name="FlatGlassInd_GlassInd" sheetId="9" r:id="rId7"/>
    <sheet name="RawMat_GlassInd_AB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16" l="1"/>
  <c r="D4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1" i="16"/>
  <c r="D42" i="16"/>
  <c r="D44" i="16"/>
  <c r="D45" i="16"/>
  <c r="D46" i="16"/>
  <c r="D47" i="16"/>
  <c r="D48" i="16"/>
  <c r="D49" i="16"/>
  <c r="D17" i="16"/>
  <c r="I11" i="13" l="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10" i="13"/>
  <c r="B37" i="13"/>
  <c r="B50" i="13"/>
  <c r="B47" i="13" l="1"/>
  <c r="B50" i="14" l="1"/>
  <c r="B49" i="14"/>
  <c r="B48" i="14"/>
  <c r="B47" i="14"/>
  <c r="B46" i="14"/>
  <c r="B45" i="14"/>
  <c r="B44" i="14"/>
  <c r="B38" i="14"/>
  <c r="B37" i="14"/>
  <c r="B36" i="14"/>
  <c r="B35" i="14"/>
  <c r="B34" i="14"/>
  <c r="B33" i="14"/>
  <c r="B32" i="14"/>
  <c r="B31" i="14"/>
  <c r="B30" i="14"/>
  <c r="B29" i="14"/>
  <c r="B28" i="14"/>
  <c r="B26" i="14"/>
  <c r="B25" i="14"/>
  <c r="B24" i="14"/>
  <c r="B23" i="14"/>
  <c r="B18" i="14"/>
  <c r="B19" i="14"/>
  <c r="B20" i="14"/>
  <c r="B17" i="14"/>
  <c r="B49" i="13"/>
  <c r="B48" i="13"/>
  <c r="B46" i="13"/>
  <c r="B45" i="13"/>
  <c r="B44" i="13"/>
  <c r="B38" i="13"/>
  <c r="B36" i="13"/>
  <c r="B35" i="13"/>
  <c r="B34" i="13"/>
  <c r="B33" i="13"/>
  <c r="B32" i="13"/>
  <c r="B31" i="13"/>
  <c r="B30" i="13"/>
  <c r="B29" i="13"/>
  <c r="B28" i="13"/>
  <c r="B26" i="13"/>
  <c r="B25" i="13"/>
  <c r="B24" i="13"/>
  <c r="B23" i="13"/>
  <c r="G17" i="13" l="1"/>
  <c r="F17" i="13"/>
  <c r="E17" i="13"/>
  <c r="D17" i="13"/>
  <c r="C17" i="13"/>
  <c r="G16" i="13"/>
  <c r="G15" i="13"/>
  <c r="G14" i="13"/>
  <c r="G13" i="13"/>
  <c r="G12" i="13"/>
  <c r="G11" i="13"/>
  <c r="F15" i="13"/>
  <c r="D16" i="13"/>
  <c r="D15" i="13"/>
  <c r="D14" i="13"/>
  <c r="D13" i="13"/>
  <c r="D12" i="13"/>
  <c r="D11" i="13"/>
  <c r="E16" i="13"/>
  <c r="E15" i="13"/>
  <c r="E14" i="13"/>
  <c r="E13" i="13"/>
  <c r="E12" i="13"/>
  <c r="E11" i="13"/>
  <c r="C16" i="13"/>
  <c r="C15" i="13"/>
  <c r="C14" i="13"/>
  <c r="C13" i="13"/>
  <c r="C12" i="13"/>
  <c r="C11" i="13"/>
  <c r="B43" i="14"/>
  <c r="B42" i="14"/>
  <c r="B41" i="14"/>
  <c r="B40" i="14"/>
  <c r="B39" i="14"/>
  <c r="B27" i="14"/>
  <c r="B43" i="13"/>
  <c r="B42" i="13"/>
  <c r="B40" i="13"/>
  <c r="B41" i="13"/>
  <c r="B39" i="13"/>
  <c r="B27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D15" i="14"/>
  <c r="B69" i="17" l="1"/>
  <c r="B68" i="17"/>
  <c r="B67" i="17"/>
  <c r="B66" i="17" s="1"/>
  <c r="B65" i="17" s="1"/>
  <c r="B64" i="17" s="1"/>
  <c r="B63" i="17" s="1"/>
  <c r="B69" i="16" l="1"/>
  <c r="B68" i="16"/>
  <c r="B67" i="16"/>
  <c r="B66" i="16"/>
  <c r="B65" i="16"/>
  <c r="B64" i="16"/>
  <c r="F18" i="8" l="1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3B0D460-DDCB-45CC-9DD5-31F1F59ACAC7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B68" authorId="0" shapeId="0" xr:uid="{5161256A-BA21-444C-917C-9D37AD6A759F}">
      <text>
        <r>
          <rPr>
            <sz val="9"/>
            <color indexed="81"/>
            <rFont val="Tahoma"/>
            <family val="2"/>
          </rPr>
          <t>75 millions de m² de fenêtres de 1.3*1.3, hyp: vitrage = 1.2*1.2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4390FC4-E42E-4778-A107-B02560648019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C1" authorId="0" shapeId="0" xr:uid="{6CB673EF-88CC-4E56-B1B1-C6E3AF0F71A3}">
      <text>
        <r>
          <rPr>
            <sz val="9"/>
            <color indexed="81"/>
            <rFont val="Tahoma"/>
            <family val="2"/>
          </rPr>
          <t>OECD Data:
https://data.oecd.org/pop/population.htm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BB80F0AF-3098-486A-B6CA-D9F346AB80B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BF9CCE22-F9BB-43A5-B458-372ABAC401E4}">
      <text>
        <r>
          <rPr>
            <sz val="9"/>
            <color indexed="81"/>
            <rFont val="Tahoma"/>
            <family val="2"/>
          </rPr>
          <t>/!\ Include Luxembourg
Unless otherwise indicated in a note attached to the cell, all data collected in this column comes from:
The glass industry in the European Economic Community, Commission of the European Communities, 1984, (p. 122)</t>
        </r>
      </text>
    </comment>
    <comment ref="B7" authorId="0" shapeId="0" xr:uid="{407A7C97-EB52-47A4-BCE1-6F42EAC4D62B}">
      <text>
        <r>
          <rPr>
            <sz val="9"/>
            <color indexed="81"/>
            <rFont val="Tahoma"/>
            <family val="2"/>
          </rPr>
          <t>"L'industrie du verre en Belgique", Verre, vol 1, n° 4, July-August, 1987, p. 432-9</t>
        </r>
      </text>
    </comment>
    <comment ref="B27" authorId="0" shapeId="0" xr:uid="{8E43DA06-AC0A-4D94-B9AF-4357EE45ACB1}">
      <text>
        <r>
          <rPr>
            <b/>
            <sz val="9"/>
            <color indexed="81"/>
            <rFont val="Tahoma"/>
            <family val="2"/>
          </rPr>
          <t>See also:</t>
        </r>
        <r>
          <rPr>
            <sz val="9"/>
            <color indexed="81"/>
            <rFont val="Tahoma"/>
            <family val="2"/>
          </rPr>
          <t xml:space="preserve"> "L'industrie du verre en Belgique", Verre, vol 1, n° 4, July-August 1987, p. 432-9</t>
        </r>
      </text>
    </comment>
    <comment ref="B39" authorId="0" shapeId="0" xr:uid="{BC0BC320-88F2-40EF-857E-02C7912456C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0" authorId="0" shapeId="0" xr:uid="{55CDB7F2-0CE4-4EBC-ABBE-A50E1ADD8592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1" authorId="0" shapeId="0" xr:uid="{AACAE1F4-3F8C-4923-A7B6-D7EBEFF0029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2" authorId="0" shapeId="0" xr:uid="{738547BA-68B5-4FE3-848B-4CD4EBB12836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3" authorId="0" shapeId="0" xr:uid="{BDCDBA4C-1B8E-42B9-A21D-C08297C9CF0C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7" authorId="0" shapeId="0" xr:uid="{62955B20-96C1-4EF4-8868-5C8A1E4FAC3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48" authorId="0" shapeId="0" xr:uid="{D1F872DB-0C90-4F4C-A8F0-D488F41F2F69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49" authorId="0" shapeId="0" xr:uid="{5666A54F-B981-44FC-A5DA-AC381F334BB3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0" authorId="0" shapeId="0" xr:uid="{98206CBA-A31D-4E48-980E-DD63BC03DA7E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1" authorId="0" shapeId="0" xr:uid="{6C6552A8-DA75-4FFC-AAAC-E09419E743C3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2" authorId="0" shapeId="0" xr:uid="{1F8E32FD-62AC-4A40-91E3-3CED289E6CB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3" authorId="0" shapeId="0" xr:uid="{F1261E74-12AA-49C9-BF1D-0F489E77AF0C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4" authorId="0" shapeId="0" xr:uid="{70DC3473-3447-4719-A1C0-D766A356D209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5" authorId="0" shapeId="0" xr:uid="{25B8BFD1-FF8E-4695-8D3B-1F04E0873F8E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6" authorId="0" shapeId="0" xr:uid="{52F33A99-0D0B-4259-A80A-327EB7C19980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7" authorId="0" shapeId="0" xr:uid="{EED5E0C0-7039-4EBE-BEB7-731F4AB2D310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8" authorId="0" shapeId="0" xr:uid="{CB926990-D23D-40E6-A836-F3281928C622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9" authorId="0" shapeId="0" xr:uid="{21748B7F-E41B-4370-85B5-FD2F0867FD43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60" authorId="0" shapeId="0" xr:uid="{1464D249-C5A4-4870-8379-8C910C5FE3F7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61" authorId="0" shapeId="0" xr:uid="{692A6916-772E-44DF-93C7-154E663D6B1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62" authorId="0" shapeId="0" xr:uid="{A427882F-7797-4C83-9895-E1E70694B621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63" authorId="0" shapeId="0" xr:uid="{6019CF96-E4D4-4629-9B21-41F7B13F7B2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64" authorId="0" shapeId="0" xr:uid="{4B691808-64DE-4924-8E47-8CD5B4CC7882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65" authorId="0" shapeId="0" xr:uid="{FA00D844-B0AE-4966-9F18-BFBA78DC5A62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66" authorId="0" shapeId="0" xr:uid="{17454C45-7D9B-4EDD-8DBD-CD55B2F7B504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67" authorId="0" shapeId="0" xr:uid="{05FD7DBA-81F6-4F23-B05F-C0076288518C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68" authorId="0" shapeId="0" xr:uid="{C5AFDD2F-1913-40D4-B64F-8130C27890FC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69" authorId="0" shapeId="0" xr:uid="{1DE707F9-BA17-469A-B287-9FA7BCE6C68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D128518-8EE1-4ACD-89D2-6196556CA73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4FE94D80-8C20-4B4D-8D26-8371155AF2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8E704F4D-8660-4833-92FF-B16DA6A627A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AC3EFEE-F5B1-4D22-8B6A-9D7B7D12ED3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8864B1E4-F6A4-4E17-A7F1-F924E2C448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84F2C5CF-BAE7-4985-890A-974A5AC09F3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B15" authorId="0" shapeId="0" xr:uid="{390BB944-D9DC-4D13-99D6-BAD7486197C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5319EF12-8521-43BC-BE6C-489945F76F5B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D15" authorId="0" shapeId="0" xr:uid="{ABD36021-5B66-45D9-8399-E8B0B6A13145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E15" authorId="0" shapeId="0" xr:uid="{26835470-2DC8-4528-88C9-A019940D81B3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F15" authorId="0" shapeId="0" xr:uid="{550F949E-22EE-4397-A5B7-10A0473670C1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G15" authorId="0" shapeId="0" xr:uid="{A90F768F-387F-4213-AD2D-BFBC3B885D5A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B21" authorId="0" shapeId="0" xr:uid="{67FAEDF3-3681-4F76-AD42-0A15DFB5230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2" authorId="0" shapeId="0" xr:uid="{E6635DD9-9465-4FA6-B1EF-8CF31EC52CA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7" authorId="0" shapeId="0" xr:uid="{F33AF8D0-C1E0-423C-8CAF-1E20EF0449C6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39" authorId="0" shapeId="0" xr:uid="{A9C2CA60-C672-49D1-8F28-F548E3081DF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0" authorId="0" shapeId="0" xr:uid="{1AE45353-6EA1-44CD-AFDC-F31DC1232CCD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1" authorId="0" shapeId="0" xr:uid="{7513F407-45F9-4189-8FE4-1364C85C87C8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2" authorId="0" shapeId="0" xr:uid="{5BB0B88C-9233-4A46-A1E6-1DE8B194C22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3" authorId="0" shapeId="0" xr:uid="{63A02CE1-3280-4FC7-947D-C3831F7F0F9B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53" authorId="0" shapeId="0" xr:uid="{078C54D2-56DC-4786-97A6-7FE6FC705F6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4" authorId="0" shapeId="0" xr:uid="{6E006DC9-EAB0-4EBA-839D-D2AE2964FCD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5" authorId="0" shapeId="0" xr:uid="{EF08403B-27B8-44EC-B8A0-DD81A9062233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6" authorId="0" shapeId="0" xr:uid="{3D449FA4-467E-43E8-966F-7CC2D910104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7" authorId="0" shapeId="0" xr:uid="{9E42B4A9-6053-43EA-BEE2-2D6065A0F3F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8" authorId="0" shapeId="0" xr:uid="{0491CCC9-0D93-4FD2-BF40-08CDDD1BC14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9" authorId="0" shapeId="0" xr:uid="{25DE4CA0-C782-4891-B8F5-1A1870D79E7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0" authorId="0" shapeId="0" xr:uid="{50667B2A-C9EF-4506-ADE3-7C3A2BFF8D8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1" authorId="0" shapeId="0" xr:uid="{CACEFC36-5970-46CE-BEC1-A8BFE85CE5F6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F61" authorId="0" shapeId="0" xr:uid="{0FD5FCD2-9E6D-4949-8E1F-879ED7431B0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24841E5A-9DBF-4C78-9B0B-943D1BABC29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F62" authorId="0" shapeId="0" xr:uid="{65ACB346-1FC9-4BC4-B3D9-29BEBD7A472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3" authorId="0" shapeId="0" xr:uid="{80A2AA8F-907C-4A82-BF95-AA641737F02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4" authorId="0" shapeId="0" xr:uid="{21A5E2D2-6FA4-46B0-BD76-3FB6B704C57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5" authorId="0" shapeId="0" xr:uid="{5D0B46C4-FC0C-4123-8FFD-37E8E39630B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6" authorId="0" shapeId="0" xr:uid="{8E90CD55-9F40-4450-B953-78F30EB5D00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7" authorId="0" shapeId="0" xr:uid="{082C09DC-AA1B-4909-9621-7BABA42F4BC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8" authorId="0" shapeId="0" xr:uid="{1DB6BF75-DA4B-4D2C-83D0-B263C8A48BB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9" authorId="0" shapeId="0" xr:uid="{BE9CA067-7C8B-4FFE-AA5F-B98C41FF3A0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0" authorId="0" shapeId="0" xr:uid="{62550DA9-EDE1-4DB8-B8C7-A4BD996750A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1" authorId="0" shapeId="0" xr:uid="{3D6CF2D4-A6EC-40BD-B099-F494078CA61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2" authorId="0" shapeId="0" xr:uid="{B67C11FC-A9F5-4ED3-B73B-6202CE03F35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3" authorId="0" shapeId="0" xr:uid="{03513F22-B1C1-4232-8A4A-F8431097938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4" authorId="0" shapeId="0" xr:uid="{2146BC18-100B-4D5A-A7E2-33F7384A270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5" authorId="0" shapeId="0" xr:uid="{BDF7085D-FEC3-4CE3-935D-15FA29E5916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6" authorId="0" shapeId="0" xr:uid="{595310E7-CF60-4866-9FCE-D405FACB0B6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73F33E81-4ED8-47CC-8F0E-4CD94C2AFF0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2D16BB64-7002-42D0-85BD-617FB32B604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BE017063-C28E-4188-973E-21D5CC3784C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BF7E96A6-C1FA-49C0-ABA7-D181ECA813A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C743E613-FC44-452E-9DD5-2B59870167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E09038DF-719C-4632-8486-7909A37E6E8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B10" authorId="0" shapeId="0" xr:uid="{8AF99699-A6B4-4336-8FE0-D44322AB32D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0" authorId="0" shapeId="0" xr:uid="{4B4DA534-9F7A-41CA-A132-C68BC3CC96B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0" authorId="0" shapeId="0" xr:uid="{BE86933C-86AF-43CD-92A3-0B4BC8DA25E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0" authorId="0" shapeId="0" xr:uid="{87B7D13D-183F-4524-B6CE-75D45868D3E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0" authorId="0" shapeId="0" xr:uid="{7B97E7C3-C359-4F13-A409-25E75169DCD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0" authorId="0" shapeId="0" xr:uid="{43E19D7D-AEB9-4A1E-9665-D9BFE23BD7D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1" authorId="0" shapeId="0" xr:uid="{0959DC61-8A74-4E6D-8A82-F7CB41D5411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1" authorId="0" shapeId="0" xr:uid="{F0765FCC-D934-4097-AFA1-4577DDD4C72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1" authorId="0" shapeId="0" xr:uid="{8A15D271-AA7D-495B-8E69-731EF7BC5EF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1" authorId="0" shapeId="0" xr:uid="{1F69C1AA-5C72-429D-B99E-F5B27F0635B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1" authorId="0" shapeId="0" xr:uid="{9424A610-9E3C-4D4D-956D-6ED96A4FF89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2" authorId="0" shapeId="0" xr:uid="{B273957E-426E-4224-B737-EF266085D8C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2" authorId="0" shapeId="0" xr:uid="{D84D8CDF-F151-424B-9FB5-60C87A3A41C1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2" authorId="0" shapeId="0" xr:uid="{ABA3BD5B-46EF-4643-9307-712E0F757E7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2" authorId="0" shapeId="0" xr:uid="{5C643817-ACC5-4BDA-AFB9-88672A13240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2" authorId="0" shapeId="0" xr:uid="{C72488B0-AAEE-4BFA-8D93-96BD249726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3" authorId="0" shapeId="0" xr:uid="{3B3208CC-A6BE-417B-8C31-EC9B5090523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3" authorId="0" shapeId="0" xr:uid="{469592DF-0514-4677-8CA9-7ED2B82A215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3" authorId="0" shapeId="0" xr:uid="{88E726E0-6FD9-4063-A28C-A17A513AA61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3" authorId="0" shapeId="0" xr:uid="{86747F3B-475D-450F-8DE1-55E768BA1E7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3" authorId="0" shapeId="0" xr:uid="{556D9A13-15D6-4C3F-BEA3-267C633FEA8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4" authorId="0" shapeId="0" xr:uid="{8AA7FFB0-B6B0-47EB-9343-D4DA4292915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4" authorId="0" shapeId="0" xr:uid="{BA7616F3-940E-4454-B3AB-31AC1C65353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4" authorId="0" shapeId="0" xr:uid="{1B1971CA-79E0-47EA-ACA2-F181CEABBA4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4" authorId="0" shapeId="0" xr:uid="{059E08A0-C700-4B18-B023-D81DED5F8C0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4" authorId="0" shapeId="0" xr:uid="{3A6A4F00-C098-46FE-9270-4A3FD617AE9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5" authorId="0" shapeId="0" xr:uid="{DA79F120-41B6-4E52-94C3-2AE72E381B5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248C4A2C-A2F1-49E4-8D5F-AC660954366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5" authorId="0" shapeId="0" xr:uid="{CF50A267-369A-429E-BF7D-9FFF95FA1A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5" authorId="0" shapeId="0" xr:uid="{9DB73830-AFF4-4925-92E9-C8239298B2B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5" authorId="0" shapeId="0" xr:uid="{A81A3DCD-1B77-412D-A5A9-D3D8F7EA225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5" authorId="0" shapeId="0" xr:uid="{33D07253-06A9-47C2-933F-5D6788EA71B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6" authorId="0" shapeId="0" xr:uid="{32E8B0B2-FBFB-41EF-B2E8-FC400E12EA2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6" authorId="0" shapeId="0" xr:uid="{B9B472EC-73BD-4530-908A-C92DD156947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6" authorId="0" shapeId="0" xr:uid="{31333015-4AB0-4437-81D4-457F3803F23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6" authorId="0" shapeId="0" xr:uid="{30259002-0DAC-452A-89A2-FC4C8D135E6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6" authorId="0" shapeId="0" xr:uid="{D922FD6A-4141-4622-9B1C-6158AC984AB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7" authorId="0" shapeId="0" xr:uid="{A7E79D00-0293-42D1-99D8-A87C52F8916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7" authorId="0" shapeId="0" xr:uid="{AC9C96F2-1C3B-48AB-8E59-013828B83F7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7" authorId="0" shapeId="0" xr:uid="{4A5AF172-0EDD-496D-8852-C9B28D14182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7" authorId="0" shapeId="0" xr:uid="{ADC0B01B-50DD-4621-BD72-47E0CCB96ADF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7" authorId="0" shapeId="0" xr:uid="{9C9F2309-6A52-4A93-BD52-7CEFDBCF68E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7" authorId="0" shapeId="0" xr:uid="{1761EA6F-F025-428F-B138-5A7AF6B485A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8" authorId="0" shapeId="0" xr:uid="{70DE27E9-C55C-478A-A9A3-CAF9C632F8F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9" authorId="0" shapeId="0" xr:uid="{2CCBE9F8-4BC3-425A-B373-EF0A63515B7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0" authorId="0" shapeId="0" xr:uid="{4CC5FD83-A13E-4F4C-84A4-8246E8A97D5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1" authorId="0" shapeId="0" xr:uid="{7FBBA495-F9D1-4463-AFAF-4E84881AA2D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2" authorId="0" shapeId="0" xr:uid="{D7A3D419-775E-4729-8535-756B94ECBF2F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7" authorId="0" shapeId="0" xr:uid="{5CEE022A-D9CF-4D20-BE70-16E25A6A7FF8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39" authorId="0" shapeId="0" xr:uid="{C480135A-EE74-4F94-8106-ED093CC2FD8F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0" authorId="0" shapeId="0" xr:uid="{46BA7342-DD64-47BA-B62F-245B4C0B1CAB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1" authorId="0" shapeId="0" xr:uid="{F34D830A-F4CF-4643-BB5D-C4C9F7729EE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2" authorId="0" shapeId="0" xr:uid="{960BA0A7-06A2-4DB5-AEF7-E7F3383477FE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3" authorId="0" shapeId="0" xr:uid="{8F1F67BF-80CF-43AD-9314-87B013FB2AE0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53" authorId="0" shapeId="0" xr:uid="{C140BE8D-0119-4D06-B047-2BC12FF048A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4" authorId="0" shapeId="0" xr:uid="{6230554C-6AC9-4A4B-AE5C-C0CCBB29228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5" authorId="0" shapeId="0" xr:uid="{3F4C17E6-74A6-4554-A7FE-BB79AA1DD0C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6" authorId="0" shapeId="0" xr:uid="{23CAC9AF-93AE-459B-8448-8A3FF01A56D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7" authorId="0" shapeId="0" xr:uid="{8DDC68DA-0213-47FF-BDCC-8A500BC10B7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8" authorId="0" shapeId="0" xr:uid="{5F387C56-BB5C-4679-B3D8-9257373EA36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9" authorId="0" shapeId="0" xr:uid="{DD2DC4D8-9674-4195-88EF-3C6DE1133AA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0" authorId="0" shapeId="0" xr:uid="{1E25C87C-37E7-4B0D-A364-11384B8D47D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1" authorId="0" shapeId="0" xr:uid="{5B809094-DEDF-448A-9F28-BECB0E760EB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F61" authorId="0" shapeId="0" xr:uid="{8F040916-0600-4F24-A46F-994897F4D29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4C139746-510F-4838-8CAC-D8DDAC0D9B6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F62" authorId="0" shapeId="0" xr:uid="{343A9424-D441-4CEC-8748-039BCFDA0A5E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3" authorId="0" shapeId="0" xr:uid="{4A97A96A-EF0E-40A2-B396-BD140B64B66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4" authorId="0" shapeId="0" xr:uid="{648A9EAF-B6BB-459B-B27D-E9167EF3EE5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5" authorId="0" shapeId="0" xr:uid="{3AD75844-3901-41D4-8537-E583BEE3E4C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6" authorId="0" shapeId="0" xr:uid="{A9D3A812-10B3-44EC-A246-D939D96C10E3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7" authorId="0" shapeId="0" xr:uid="{3B48203C-95D9-42D3-B2D7-CA6B62D48DE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8" authorId="0" shapeId="0" xr:uid="{54CC9B35-70DA-4D46-867F-9CBD5611E28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9" authorId="0" shapeId="0" xr:uid="{A1A7A004-EE05-4B4E-88CD-4B0930DADF0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0" authorId="0" shapeId="0" xr:uid="{EF55D829-F589-4BCD-A248-44096B75FFA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1" authorId="0" shapeId="0" xr:uid="{46F28C7E-48F9-4B67-95FB-A1E8966B484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2" authorId="0" shapeId="0" xr:uid="{EBDA581D-BE0F-4E08-8B91-73EE10FBBBF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3" authorId="0" shapeId="0" xr:uid="{CBF7C170-5F94-4858-8E2F-9D67012986C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4" authorId="0" shapeId="0" xr:uid="{D9ED8676-52BF-45E7-85EC-12D1B0EBFBA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5" authorId="0" shapeId="0" xr:uid="{F2CB5D53-396F-4E4A-A0E6-1FBC6504C51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6" authorId="0" shapeId="0" xr:uid="{3FD112BF-2FBC-4AD1-AA8D-5CA0A4DA74F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345F56A0-8173-4FEF-9B51-08D79D7A71F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933F219A-2DE0-4811-8058-1ED445A8A28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80B6F83-CDCB-4745-87AA-D5A83E3338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9D91F26B-358E-4E0B-BBF7-465C61D9E4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88D7E93C-C267-429E-B7E6-6C655F0984F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I1" authorId="0" shapeId="0" xr:uid="{E8DA14EE-6B59-409E-B65D-CEAB949DE8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37" authorId="0" shapeId="0" xr:uid="{95F35BFB-C547-4D1D-A2FB-A8BC30DC1FE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37" authorId="0" shapeId="0" xr:uid="{A92B52F2-AAFE-41C1-8920-25630741830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37" authorId="0" shapeId="0" xr:uid="{1EA438C2-0066-4A8B-87BF-5DDCDD3D0F6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43" authorId="0" shapeId="0" xr:uid="{567B2158-4599-429C-85F3-41D01D828A49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C47" authorId="0" shapeId="0" xr:uid="{B8384A32-D94C-4E89-86C4-526B4D42F2F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47" authorId="0" shapeId="0" xr:uid="{D21844AD-1105-4BD1-A2F2-66790520F46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47" authorId="0" shapeId="0" xr:uid="{19D666F6-3235-4F5A-9F71-0A4B5F4C1AF5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52" authorId="0" shapeId="0" xr:uid="{44568BA0-2E8C-493C-A1FA-39D417FD406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2" authorId="0" shapeId="0" xr:uid="{CE6B46BC-D1B2-437C-B1AC-8C58C19928F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2" authorId="0" shapeId="0" xr:uid="{F91065D9-E59C-452E-8CC9-44020DE4A0B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3" authorId="0" shapeId="0" xr:uid="{C250D9F5-363A-4174-B58B-AF447C90F92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3" authorId="0" shapeId="0" xr:uid="{5CFD26A6-895E-4372-BA4F-5F8E25DF4BA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3" authorId="0" shapeId="0" xr:uid="{9D8B90FB-8954-430A-A4B4-269CF9606BD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4" authorId="0" shapeId="0" xr:uid="{AF71757B-6E78-4D8C-9757-7F2716B27E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4" authorId="0" shapeId="0" xr:uid="{BD3EC320-842B-40C9-80DA-3C1B8443E53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4" authorId="0" shapeId="0" xr:uid="{64939D30-4DE7-4C51-BE26-E9F563F7094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5" authorId="0" shapeId="0" xr:uid="{E85C7754-6166-4947-868E-B35236CEB31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5" authorId="0" shapeId="0" xr:uid="{8492310A-815E-40FF-B253-4B9BB6745B7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5" authorId="0" shapeId="0" xr:uid="{AEDB5024-84A6-4379-8D70-D895ED5236F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6" authorId="0" shapeId="0" xr:uid="{4EA3A17F-5F70-4D09-BC49-21AE3CBFB43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6" authorId="0" shapeId="0" xr:uid="{70CAABB2-0346-47CF-952B-70B852FE4A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6" authorId="0" shapeId="0" xr:uid="{AA253E57-B68E-41C1-AAB8-3F37AC84630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7" authorId="0" shapeId="0" xr:uid="{2832AA60-C0ED-42AF-B1E6-C4DA4F68C59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7" authorId="0" shapeId="0" xr:uid="{104AE278-3F41-40D7-BDB7-D03E1B720AA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7" authorId="0" shapeId="0" xr:uid="{B9C5D514-A95D-4943-92F4-043622A5E64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8" authorId="0" shapeId="0" xr:uid="{A6944023-9210-4113-8641-495589753B4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8" authorId="0" shapeId="0" xr:uid="{BF273FEC-C28F-4E27-A11B-F8205DDCAD9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8" authorId="0" shapeId="0" xr:uid="{833C4577-B8A0-42F7-9271-323A3A615B3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9" authorId="0" shapeId="0" xr:uid="{59466530-ECAE-4BA1-BA16-118D6108818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9" authorId="0" shapeId="0" xr:uid="{4093BDEF-25BE-4066-82D2-6725CF4517F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9" authorId="0" shapeId="0" xr:uid="{90B0CB8C-9357-43CE-9860-6AB68A26A68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0" authorId="0" shapeId="0" xr:uid="{21C65089-00C6-4A2E-827F-9C402DA9884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0" authorId="0" shapeId="0" xr:uid="{FBEA92EF-7633-417C-95D7-05A17EBFD53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0" authorId="0" shapeId="0" xr:uid="{A38A8F90-5BA4-47AC-BDF5-1D78CF31C9E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1" authorId="0" shapeId="0" xr:uid="{3C73B9BF-CCB7-45EE-85E8-61CE997B4E9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1" authorId="0" shapeId="0" xr:uid="{4A12BE0F-4E95-4E50-9C88-84AB6652A76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1" authorId="0" shapeId="0" xr:uid="{FB9E23DE-FDD1-4521-A4F5-87024A805D7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2" authorId="0" shapeId="0" xr:uid="{F7A3EF6F-C7B0-4CF3-8EB4-620BEFD6EEA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2" authorId="0" shapeId="0" xr:uid="{0CFF2C6B-D475-4F4C-BF4A-DE66E40E0D1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2" authorId="0" shapeId="0" xr:uid="{12801F61-7BF6-4DFC-9CC0-4E986687CA1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3" authorId="0" shapeId="0" xr:uid="{D3BBD5B0-FF1E-4EBA-8613-495CDB33AF6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3" authorId="0" shapeId="0" xr:uid="{E7C09C9D-D408-4FC7-83D1-3916C14FDFD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3" authorId="0" shapeId="0" xr:uid="{8C70C927-BA8B-4981-8944-0630EAC545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4" authorId="0" shapeId="0" xr:uid="{A6BB83A2-4CE3-4A01-B01C-59296E5A5FD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4" authorId="0" shapeId="0" xr:uid="{8DA032FA-68D6-4F43-9051-9C840820EE4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4" authorId="0" shapeId="0" xr:uid="{55978171-3EC8-4524-97E6-BFCB6552B5B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5" authorId="0" shapeId="0" xr:uid="{F0DB4D30-A3D1-4CC8-BD2F-538BA8E0DE6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5" authorId="0" shapeId="0" xr:uid="{52403353-6D51-4DB2-BC85-387B5ABD1ED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5" authorId="0" shapeId="0" xr:uid="{51A9BC8C-7175-4A83-BF2A-425A7F62C2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6" authorId="0" shapeId="0" xr:uid="{84053FF2-CE39-4CE9-AA20-5F272A07047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6" authorId="0" shapeId="0" xr:uid="{86637836-ACE7-4595-A1C6-0774BCB2A91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6" authorId="0" shapeId="0" xr:uid="{CFA717ED-A62B-46FC-8E17-BAE22A5B951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7" authorId="0" shapeId="0" xr:uid="{CD99F54F-1F87-4AF2-A940-478A28E27D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7" authorId="0" shapeId="0" xr:uid="{731C2C97-AAEF-4EAC-AD5F-3E0C42EF40E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7" authorId="0" shapeId="0" xr:uid="{68E686A6-BEDC-496E-8FBC-B8C689A4CE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8" authorId="0" shapeId="0" xr:uid="{0849C42C-0577-42E5-AEE1-B0BD527EB54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8" authorId="0" shapeId="0" xr:uid="{C56B931C-DAD1-4229-AF2B-AA09B17D74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8" authorId="0" shapeId="0" xr:uid="{4B03F2A4-E335-4973-ABBF-C1D585DCECA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9" authorId="0" shapeId="0" xr:uid="{A3692D92-BDD6-46C3-A9A3-40E83C6B156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9" authorId="0" shapeId="0" xr:uid="{1D42D99E-063F-4D60-9CE7-EB9BB991727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9" authorId="0" shapeId="0" xr:uid="{F09AFDC8-80C0-46D8-9AE8-BD324C85A55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0" authorId="0" shapeId="0" xr:uid="{309B077A-3D98-4416-925C-16658512E0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0" authorId="0" shapeId="0" xr:uid="{FE1BEE85-8A42-492A-98D3-EDFA068B19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0" authorId="0" shapeId="0" xr:uid="{D1C0CEC8-9727-4111-A994-680615A1558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1" authorId="0" shapeId="0" xr:uid="{5F3CB4A7-947B-4249-8032-C377A761857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1" authorId="0" shapeId="0" xr:uid="{E30B29E8-75B4-4554-806B-32066090C1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1" authorId="0" shapeId="0" xr:uid="{CFA69B38-E9B1-4011-8B8B-B5191EB17E2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2" authorId="0" shapeId="0" xr:uid="{72D6014C-3893-48B6-B441-7F80154514C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2" authorId="0" shapeId="0" xr:uid="{CBE8160E-7B19-445E-8CA8-22EBF34D29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2" authorId="0" shapeId="0" xr:uid="{8B6BD6A1-186D-448B-836B-71EDC4DA0DA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3" authorId="0" shapeId="0" xr:uid="{D06BABF1-3962-4C28-B05B-41ED85A2F6E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3" authorId="0" shapeId="0" xr:uid="{1CE90A30-E917-4C0C-A885-07BA3536CB8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3" authorId="0" shapeId="0" xr:uid="{DDA97B22-15BB-405E-9584-5E11EF44766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4" authorId="0" shapeId="0" xr:uid="{A2FC0217-378D-4A91-BC69-7A73DDC1BB5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4" authorId="0" shapeId="0" xr:uid="{0455ADDE-90E2-475D-8908-77D7FF1D242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4" authorId="0" shapeId="0" xr:uid="{350CA50D-48D4-4D76-B8FE-8FC6C48D8EA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5" authorId="0" shapeId="0" xr:uid="{60810F5A-26F8-4011-9AE8-9CC7E7C9E5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5" authorId="0" shapeId="0" xr:uid="{7BAC2292-DC03-4DF3-817B-438149F224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5" authorId="0" shapeId="0" xr:uid="{A28BA424-78EB-4665-9D51-B6E0244D0F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6C061BC6-2B13-4E64-A32B-0DD745CCD33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CE09495-109B-4AF2-A0F9-A1DF3226897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907F4FFC-015F-4FB4-BAC7-82F6C63EA6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3301513D-B297-4E14-86AF-34F5491A2A8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842508B2-1EE3-40CC-9FFA-25961CFE190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6DF20588-A143-4ECD-A23C-5661C23E91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sharedStrings.xml><?xml version="1.0" encoding="utf-8"?>
<sst xmlns="http://schemas.openxmlformats.org/spreadsheetml/2006/main" count="38" uniqueCount="24">
  <si>
    <t>glazing, '000 m²</t>
  </si>
  <si>
    <t>year</t>
  </si>
  <si>
    <t>flat glass, kt</t>
  </si>
  <si>
    <t>glazing, "000 m²</t>
  </si>
  <si>
    <t>IGU, "000 m²</t>
  </si>
  <si>
    <t>IGU, kt</t>
  </si>
  <si>
    <t>flat glass ind., unit</t>
  </si>
  <si>
    <t>flat glass vs glass ind., %</t>
  </si>
  <si>
    <t>sand, kt</t>
  </si>
  <si>
    <t>dolomites and limestones, kt</t>
  </si>
  <si>
    <t>soium carb., kt</t>
  </si>
  <si>
    <t>natural gas, GJ</t>
  </si>
  <si>
    <t>natural gas, "000 kWh</t>
  </si>
  <si>
    <t>plate glass, kt</t>
  </si>
  <si>
    <t>window glass, kt</t>
  </si>
  <si>
    <t>cast glass, kt</t>
  </si>
  <si>
    <t>safety glass, kt</t>
  </si>
  <si>
    <t>workers in the glass ind., unit</t>
  </si>
  <si>
    <t>employees in the glass ind., unit</t>
  </si>
  <si>
    <t>workers and employees in the glass ind, unit</t>
  </si>
  <si>
    <t>productivity per worker hour in the glass ind, kg</t>
  </si>
  <si>
    <t>valeur ajoutée brute (VAB) per worker hour in the glass industry, F</t>
  </si>
  <si>
    <t>VAB/person/year, "000 F</t>
  </si>
  <si>
    <t>BE, 
"000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</si>
</sst>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2" xfId="1" applyNumberFormat="1" applyFont="1" applyBorder="1" applyAlignment="1">
      <alignment horizontal="right" wrapText="1"/>
    </xf>
    <xf numFmtId="164" fontId="0" fillId="0" borderId="0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1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 vertical="center"/>
    </xf>
    <xf numFmtId="9" fontId="0" fillId="0" borderId="0" xfId="2" applyFon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9" fontId="0" fillId="0" borderId="0" xfId="2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center"/>
    </xf>
    <xf numFmtId="0" fontId="2" fillId="0" borderId="3" xfId="0" quotePrefix="1" applyFont="1" applyBorder="1" applyAlignment="1">
      <alignment horizontal="right" wrapText="1"/>
    </xf>
    <xf numFmtId="1" fontId="2" fillId="0" borderId="4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2" fillId="0" borderId="3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64" fontId="0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 wrapText="1"/>
    </xf>
    <xf numFmtId="43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consumption!$A$17:$A$69</c:f>
              <c:numCache>
                <c:formatCode>General</c:formatCode>
                <c:ptCount val="5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</c:numCache>
            </c:numRef>
          </c:xVal>
          <c:yVal>
            <c:numRef>
              <c:f>consumption!$D$17:$D$69</c:f>
              <c:numCache>
                <c:formatCode>_(* #,##0.00_);_(* \(#,##0.00\);_(* "-"??_);_(@_)</c:formatCode>
                <c:ptCount val="53"/>
                <c:pt idx="0">
                  <c:v>27.539167486070145</c:v>
                </c:pt>
                <c:pt idx="1">
                  <c:v>21.107796167247376</c:v>
                </c:pt>
                <c:pt idx="2">
                  <c:v>29.260383906300831</c:v>
                </c:pt>
                <c:pt idx="3">
                  <c:v>23.127448869752428</c:v>
                </c:pt>
                <c:pt idx="4">
                  <c:v>29.586372360844525</c:v>
                </c:pt>
                <c:pt idx="5">
                  <c:v>22.368977176669489</c:v>
                </c:pt>
                <c:pt idx="6">
                  <c:v>29.07955499580185</c:v>
                </c:pt>
                <c:pt idx="7">
                  <c:v>30.487736144452558</c:v>
                </c:pt>
                <c:pt idx="8">
                  <c:v>30.595799979207822</c:v>
                </c:pt>
                <c:pt idx="9">
                  <c:v>34.420692515032144</c:v>
                </c:pt>
                <c:pt idx="10">
                  <c:v>34.900579950289973</c:v>
                </c:pt>
                <c:pt idx="11">
                  <c:v>36.234363692753028</c:v>
                </c:pt>
                <c:pt idx="12">
                  <c:v>33.383894552569252</c:v>
                </c:pt>
                <c:pt idx="13">
                  <c:v>43.202730445493735</c:v>
                </c:pt>
                <c:pt idx="14">
                  <c:v>37.929390094146541</c:v>
                </c:pt>
                <c:pt idx="15">
                  <c:v>28.81440669319457</c:v>
                </c:pt>
                <c:pt idx="16">
                  <c:v>35.181707068649416</c:v>
                </c:pt>
                <c:pt idx="17">
                  <c:v>39.098372329603251</c:v>
                </c:pt>
                <c:pt idx="18">
                  <c:v>27.091361788617881</c:v>
                </c:pt>
                <c:pt idx="19">
                  <c:v>30.815292445166538</c:v>
                </c:pt>
                <c:pt idx="20">
                  <c:v>33.203976062480976</c:v>
                </c:pt>
                <c:pt idx="21">
                  <c:v>24.73374581600568</c:v>
                </c:pt>
                <c:pt idx="22">
                  <c:v>17.552759740259742</c:v>
                </c:pt>
                <c:pt idx="23">
                  <c:v>9.3344155844155843</c:v>
                </c:pt>
                <c:pt idx="24">
                  <c:v>11.770674784373416</c:v>
                </c:pt>
                <c:pt idx="25">
                  <c:v>11.361330898762427</c:v>
                </c:pt>
                <c:pt idx="26">
                  <c:v>9.3287365645913596</c:v>
                </c:pt>
                <c:pt idx="27">
                  <c:v>20.359979736575479</c:v>
                </c:pt>
                <c:pt idx="28">
                  <c:v>25.440315087861023</c:v>
                </c:pt>
                <c:pt idx="29">
                  <c:v>11.177802374723287</c:v>
                </c:pt>
                <c:pt idx="30">
                  <c:v>23.176482391893249</c:v>
                </c:pt>
                <c:pt idx="31">
                  <c:v>14.294282287085167</c:v>
                </c:pt>
                <c:pt idx="32">
                  <c:v>25.186660029865607</c:v>
                </c:pt>
                <c:pt idx="36">
                  <c:v>35.814439795215129</c:v>
                </c:pt>
                <c:pt idx="37">
                  <c:v>39.353438390138479</c:v>
                </c:pt>
                <c:pt idx="38">
                  <c:v>36.242097177300792</c:v>
                </c:pt>
                <c:pt idx="39">
                  <c:v>51.033257260903568</c:v>
                </c:pt>
                <c:pt idx="40">
                  <c:v>49.479949029362999</c:v>
                </c:pt>
                <c:pt idx="41">
                  <c:v>50.11328910275104</c:v>
                </c:pt>
                <c:pt idx="42">
                  <c:v>38.449863181070363</c:v>
                </c:pt>
                <c:pt idx="43">
                  <c:v>36.090666682729378</c:v>
                </c:pt>
                <c:pt idx="44">
                  <c:v>36.344231719604629</c:v>
                </c:pt>
                <c:pt idx="45">
                  <c:v>46.711286859433152</c:v>
                </c:pt>
                <c:pt idx="46">
                  <c:v>44.662808589305996</c:v>
                </c:pt>
                <c:pt idx="47">
                  <c:v>56.114473108413293</c:v>
                </c:pt>
                <c:pt idx="48">
                  <c:v>48.245179855275452</c:v>
                </c:pt>
                <c:pt idx="49">
                  <c:v>37.301040431641347</c:v>
                </c:pt>
                <c:pt idx="50">
                  <c:v>50.442819956864902</c:v>
                </c:pt>
                <c:pt idx="51">
                  <c:v>49.32451416681824</c:v>
                </c:pt>
                <c:pt idx="52">
                  <c:v>42.312460697506317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8-4124-8DB2-21337E72C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13231"/>
        <c:axId val="808013647"/>
      </c:scatterChart>
      <c:valAx>
        <c:axId val="80801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13647"/>
        <c:crosses val="autoZero"/>
        <c:crossBetween val="midCat"/>
      </c:valAx>
      <c:valAx>
        <c:axId val="8080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1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export!$A$17:$A$50</c:f>
              <c:numCache>
                <c:formatCode>General</c:formatCode>
                <c:ptCount val="3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</c:numCache>
            </c:numRef>
          </c:xVal>
          <c:yVal>
            <c:numRef>
              <c:f>export!$I$17:$I$50</c:f>
              <c:numCache>
                <c:formatCode>_-* #,##0_-;\-* #,##0_-;_-* "-"??_-;_-@_-</c:formatCode>
                <c:ptCount val="34"/>
                <c:pt idx="0">
                  <c:v>252.06600000000003</c:v>
                </c:pt>
                <c:pt idx="1">
                  <c:v>193.85399999999993</c:v>
                </c:pt>
                <c:pt idx="2">
                  <c:v>269.80999999999995</c:v>
                </c:pt>
                <c:pt idx="3">
                  <c:v>214.85400000000004</c:v>
                </c:pt>
                <c:pt idx="4">
                  <c:v>277.46099999999996</c:v>
                </c:pt>
                <c:pt idx="5">
                  <c:v>211.70000000000005</c:v>
                </c:pt>
                <c:pt idx="6">
                  <c:v>277.07000000000005</c:v>
                </c:pt>
                <c:pt idx="7">
                  <c:v>292.10299999999995</c:v>
                </c:pt>
                <c:pt idx="8">
                  <c:v>294.30100000000004</c:v>
                </c:pt>
                <c:pt idx="9">
                  <c:v>332.02200000000005</c:v>
                </c:pt>
                <c:pt idx="10">
                  <c:v>337</c:v>
                </c:pt>
                <c:pt idx="11">
                  <c:v>350.495</c:v>
                </c:pt>
                <c:pt idx="12">
                  <c:v>324.19100000000003</c:v>
                </c:pt>
                <c:pt idx="13">
                  <c:v>420.88099999999997</c:v>
                </c:pt>
                <c:pt idx="14">
                  <c:v>370.64599999999996</c:v>
                </c:pt>
                <c:pt idx="15">
                  <c:v>282.40999999999997</c:v>
                </c:pt>
                <c:pt idx="16">
                  <c:v>345.41399999999999</c:v>
                </c:pt>
                <c:pt idx="17">
                  <c:v>384.33699999999999</c:v>
                </c:pt>
                <c:pt idx="18">
                  <c:v>266.57899999999995</c:v>
                </c:pt>
                <c:pt idx="19">
                  <c:v>303.46900000000005</c:v>
                </c:pt>
                <c:pt idx="20">
                  <c:v>327.35799999999995</c:v>
                </c:pt>
                <c:pt idx="21">
                  <c:v>243.85000000000002</c:v>
                </c:pt>
                <c:pt idx="22">
                  <c:v>173</c:v>
                </c:pt>
                <c:pt idx="23">
                  <c:v>92</c:v>
                </c:pt>
                <c:pt idx="24">
                  <c:v>116</c:v>
                </c:pt>
                <c:pt idx="25">
                  <c:v>112</c:v>
                </c:pt>
                <c:pt idx="26">
                  <c:v>92</c:v>
                </c:pt>
                <c:pt idx="27">
                  <c:v>200.95299999999997</c:v>
                </c:pt>
                <c:pt idx="28">
                  <c:v>251.90999999999985</c:v>
                </c:pt>
                <c:pt idx="29">
                  <c:v>111.08500000000004</c:v>
                </c:pt>
                <c:pt idx="30">
                  <c:v>231</c:v>
                </c:pt>
                <c:pt idx="31">
                  <c:v>143</c:v>
                </c:pt>
                <c:pt idx="32">
                  <c:v>253</c:v>
                </c:pt>
                <c:pt idx="3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F-4B52-91DF-1E550A6B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31039"/>
        <c:axId val="37623119"/>
      </c:scatterChart>
      <c:valAx>
        <c:axId val="34333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3119"/>
        <c:crosses val="autoZero"/>
        <c:crossBetween val="midCat"/>
      </c:valAx>
      <c:valAx>
        <c:axId val="376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3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162357</xdr:colOff>
      <xdr:row>37</xdr:row>
      <xdr:rowOff>108238</xdr:rowOff>
    </xdr:from>
    <xdr:to>
      <xdr:col>10</xdr:col>
      <xdr:colOff>552017</xdr:colOff>
      <xdr:row>60</xdr:row>
      <xdr:rowOff>54119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41783-AF93-48C9-8BF7-16DD4D03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102053</xdr:colOff>
      <xdr:row>51</xdr:row>
      <xdr:rowOff>111580</xdr:rowOff>
    </xdr:from>
    <xdr:to>
      <xdr:col>6</xdr:col>
      <xdr:colOff>632731</xdr:colOff>
      <xdr:row>65</xdr:row>
      <xdr:rowOff>187780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7CCC2-0509-46C4-828F-9EC542BB8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D049-C9C1-4FA7-A499-3A18DEF6FE41}">
  <sheetPr codeName="Sheet10"/>
  <dimension ref="A1:B88"/>
  <sheetViews>
    <sheetView zoomScale="82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defaultColWidth="13.5703125" defaultRowHeight="15" x14ac:dyDescent="0.25"/>
  <cols>
    <col min="1" max="1" width="7" style="2" customWidth="1"/>
    <col min="2" max="2" width="18" style="2" bestFit="1" customWidth="1"/>
    <col min="3" max="16384" width="13.5703125" style="6"/>
  </cols>
  <sheetData>
    <row r="1" spans="1:2" s="3" customFormat="1" x14ac:dyDescent="0.25">
      <c r="A1" s="26" t="s">
        <v>1</v>
      </c>
      <c r="B1" s="27" t="s">
        <v>0</v>
      </c>
    </row>
    <row r="2" spans="1:2" s="1" customFormat="1" x14ac:dyDescent="0.25">
      <c r="A2" s="14">
        <v>1945</v>
      </c>
      <c r="B2" s="2"/>
    </row>
    <row r="3" spans="1:2" s="1" customFormat="1" x14ac:dyDescent="0.25">
      <c r="A3" s="14">
        <v>1946</v>
      </c>
      <c r="B3" s="2"/>
    </row>
    <row r="4" spans="1:2" s="1" customFormat="1" x14ac:dyDescent="0.25">
      <c r="A4" s="14">
        <v>1947</v>
      </c>
      <c r="B4" s="2"/>
    </row>
    <row r="5" spans="1:2" s="1" customFormat="1" x14ac:dyDescent="0.25">
      <c r="A5" s="14">
        <v>1948</v>
      </c>
      <c r="B5" s="2"/>
    </row>
    <row r="6" spans="1:2" s="1" customFormat="1" x14ac:dyDescent="0.25">
      <c r="A6" s="14">
        <v>1949</v>
      </c>
      <c r="B6" s="2"/>
    </row>
    <row r="7" spans="1:2" s="1" customFormat="1" x14ac:dyDescent="0.25">
      <c r="A7" s="14">
        <v>1950</v>
      </c>
      <c r="B7" s="2"/>
    </row>
    <row r="8" spans="1:2" s="1" customFormat="1" x14ac:dyDescent="0.25">
      <c r="A8" s="14">
        <v>1951</v>
      </c>
      <c r="B8" s="2"/>
    </row>
    <row r="9" spans="1:2" s="1" customFormat="1" x14ac:dyDescent="0.25">
      <c r="A9" s="14">
        <v>1952</v>
      </c>
      <c r="B9" s="2"/>
    </row>
    <row r="10" spans="1:2" s="1" customFormat="1" x14ac:dyDescent="0.25">
      <c r="A10" s="14">
        <v>1953</v>
      </c>
      <c r="B10" s="2"/>
    </row>
    <row r="11" spans="1:2" s="1" customFormat="1" x14ac:dyDescent="0.25">
      <c r="A11" s="14">
        <v>1954</v>
      </c>
      <c r="B11" s="2"/>
    </row>
    <row r="12" spans="1:2" s="1" customFormat="1" x14ac:dyDescent="0.25">
      <c r="A12" s="14">
        <v>1955</v>
      </c>
      <c r="B12" s="2"/>
    </row>
    <row r="13" spans="1:2" s="1" customFormat="1" x14ac:dyDescent="0.25">
      <c r="A13" s="14">
        <v>1956</v>
      </c>
      <c r="B13" s="2"/>
    </row>
    <row r="14" spans="1:2" s="1" customFormat="1" x14ac:dyDescent="0.25">
      <c r="A14" s="14">
        <v>1957</v>
      </c>
      <c r="B14" s="2"/>
    </row>
    <row r="15" spans="1:2" s="1" customFormat="1" x14ac:dyDescent="0.25">
      <c r="A15" s="14">
        <v>1958</v>
      </c>
      <c r="B15" s="2"/>
    </row>
    <row r="16" spans="1:2" s="1" customFormat="1" x14ac:dyDescent="0.25">
      <c r="A16" s="14">
        <v>1959</v>
      </c>
      <c r="B16" s="2"/>
    </row>
    <row r="17" spans="1:2" s="1" customFormat="1" x14ac:dyDescent="0.25">
      <c r="A17" s="14">
        <v>1960</v>
      </c>
      <c r="B17" s="2"/>
    </row>
    <row r="18" spans="1:2" s="1" customFormat="1" x14ac:dyDescent="0.25">
      <c r="A18" s="14">
        <v>1961</v>
      </c>
      <c r="B18" s="2"/>
    </row>
    <row r="19" spans="1:2" s="1" customFormat="1" x14ac:dyDescent="0.25">
      <c r="A19" s="14">
        <v>1962</v>
      </c>
      <c r="B19" s="2"/>
    </row>
    <row r="20" spans="1:2" s="1" customFormat="1" x14ac:dyDescent="0.25">
      <c r="A20" s="14">
        <v>1963</v>
      </c>
      <c r="B20" s="2"/>
    </row>
    <row r="21" spans="1:2" s="1" customFormat="1" x14ac:dyDescent="0.25">
      <c r="A21" s="14">
        <v>1964</v>
      </c>
      <c r="B21" s="2"/>
    </row>
    <row r="22" spans="1:2" s="1" customFormat="1" x14ac:dyDescent="0.25">
      <c r="A22" s="14">
        <v>1965</v>
      </c>
      <c r="B22" s="2"/>
    </row>
    <row r="23" spans="1:2" s="1" customFormat="1" x14ac:dyDescent="0.25">
      <c r="A23" s="14">
        <v>1966</v>
      </c>
      <c r="B23" s="2"/>
    </row>
    <row r="24" spans="1:2" s="1" customFormat="1" x14ac:dyDescent="0.25">
      <c r="A24" s="14">
        <v>1967</v>
      </c>
      <c r="B24" s="2"/>
    </row>
    <row r="25" spans="1:2" s="1" customFormat="1" x14ac:dyDescent="0.25">
      <c r="A25" s="14">
        <v>1968</v>
      </c>
      <c r="B25" s="2"/>
    </row>
    <row r="26" spans="1:2" s="1" customFormat="1" x14ac:dyDescent="0.25">
      <c r="A26" s="14">
        <v>1969</v>
      </c>
      <c r="B26" s="2"/>
    </row>
    <row r="27" spans="1:2" s="1" customFormat="1" x14ac:dyDescent="0.25">
      <c r="A27" s="14">
        <v>1970</v>
      </c>
      <c r="B27" s="2"/>
    </row>
    <row r="28" spans="1:2" s="1" customFormat="1" x14ac:dyDescent="0.25">
      <c r="A28" s="14">
        <v>1971</v>
      </c>
      <c r="B28" s="2"/>
    </row>
    <row r="29" spans="1:2" s="1" customFormat="1" x14ac:dyDescent="0.25">
      <c r="A29" s="14">
        <v>1972</v>
      </c>
      <c r="B29" s="2"/>
    </row>
    <row r="30" spans="1:2" s="1" customFormat="1" x14ac:dyDescent="0.25">
      <c r="A30" s="14">
        <v>1973</v>
      </c>
      <c r="B30" s="2"/>
    </row>
    <row r="31" spans="1:2" s="1" customFormat="1" x14ac:dyDescent="0.25">
      <c r="A31" s="14">
        <v>1974</v>
      </c>
      <c r="B31" s="2"/>
    </row>
    <row r="32" spans="1:2" s="1" customFormat="1" x14ac:dyDescent="0.25">
      <c r="A32" s="14">
        <v>1975</v>
      </c>
      <c r="B32" s="2"/>
    </row>
    <row r="33" spans="1:2" s="1" customFormat="1" x14ac:dyDescent="0.25">
      <c r="A33" s="14">
        <v>1976</v>
      </c>
      <c r="B33" s="2"/>
    </row>
    <row r="34" spans="1:2" s="1" customFormat="1" x14ac:dyDescent="0.25">
      <c r="A34" s="14">
        <v>1977</v>
      </c>
      <c r="B34" s="2"/>
    </row>
    <row r="35" spans="1:2" s="1" customFormat="1" x14ac:dyDescent="0.25">
      <c r="A35" s="14">
        <v>1978</v>
      </c>
      <c r="B35" s="2"/>
    </row>
    <row r="36" spans="1:2" s="1" customFormat="1" x14ac:dyDescent="0.25">
      <c r="A36" s="14">
        <v>1979</v>
      </c>
      <c r="B36" s="2"/>
    </row>
    <row r="37" spans="1:2" s="1" customFormat="1" x14ac:dyDescent="0.25">
      <c r="A37" s="14">
        <v>1980</v>
      </c>
      <c r="B37" s="2"/>
    </row>
    <row r="38" spans="1:2" s="1" customFormat="1" x14ac:dyDescent="0.25">
      <c r="A38" s="14">
        <v>1981</v>
      </c>
      <c r="B38" s="2"/>
    </row>
    <row r="39" spans="1:2" s="1" customFormat="1" x14ac:dyDescent="0.25">
      <c r="A39" s="14">
        <v>1982</v>
      </c>
      <c r="B39" s="2"/>
    </row>
    <row r="40" spans="1:2" s="1" customFormat="1" x14ac:dyDescent="0.25">
      <c r="A40" s="14">
        <v>1983</v>
      </c>
      <c r="B40" s="2"/>
    </row>
    <row r="41" spans="1:2" s="1" customFormat="1" x14ac:dyDescent="0.25">
      <c r="A41" s="14">
        <v>1984</v>
      </c>
      <c r="B41" s="2"/>
    </row>
    <row r="42" spans="1:2" s="1" customFormat="1" x14ac:dyDescent="0.25">
      <c r="A42" s="14">
        <v>1985</v>
      </c>
      <c r="B42" s="2"/>
    </row>
    <row r="43" spans="1:2" s="1" customFormat="1" x14ac:dyDescent="0.25">
      <c r="A43" s="14">
        <v>1986</v>
      </c>
      <c r="B43" s="2"/>
    </row>
    <row r="44" spans="1:2" s="1" customFormat="1" x14ac:dyDescent="0.25">
      <c r="A44" s="14">
        <v>1987</v>
      </c>
      <c r="B44" s="2"/>
    </row>
    <row r="45" spans="1:2" s="1" customFormat="1" x14ac:dyDescent="0.25">
      <c r="A45" s="14">
        <v>1988</v>
      </c>
      <c r="B45" s="2"/>
    </row>
    <row r="46" spans="1:2" s="1" customFormat="1" x14ac:dyDescent="0.25">
      <c r="A46" s="14">
        <v>1989</v>
      </c>
      <c r="B46" s="2"/>
    </row>
    <row r="47" spans="1:2" s="1" customFormat="1" x14ac:dyDescent="0.25">
      <c r="A47" s="14">
        <v>1990</v>
      </c>
      <c r="B47" s="2"/>
    </row>
    <row r="48" spans="1:2" s="1" customFormat="1" x14ac:dyDescent="0.25">
      <c r="A48" s="14">
        <v>1991</v>
      </c>
      <c r="B48" s="2"/>
    </row>
    <row r="49" spans="1:2" s="1" customFormat="1" x14ac:dyDescent="0.25">
      <c r="A49" s="14">
        <v>1992</v>
      </c>
      <c r="B49" s="2"/>
    </row>
    <row r="50" spans="1:2" s="1" customFormat="1" x14ac:dyDescent="0.25">
      <c r="A50" s="14">
        <v>1993</v>
      </c>
      <c r="B50" s="2"/>
    </row>
    <row r="51" spans="1:2" s="1" customFormat="1" x14ac:dyDescent="0.25">
      <c r="A51" s="14">
        <v>1994</v>
      </c>
      <c r="B51" s="2"/>
    </row>
    <row r="52" spans="1:2" s="1" customFormat="1" x14ac:dyDescent="0.25">
      <c r="A52" s="14">
        <v>1995</v>
      </c>
      <c r="B52" s="2"/>
    </row>
    <row r="53" spans="1:2" s="1" customFormat="1" x14ac:dyDescent="0.25">
      <c r="A53" s="14">
        <v>1996</v>
      </c>
      <c r="B53" s="2"/>
    </row>
    <row r="54" spans="1:2" s="1" customFormat="1" x14ac:dyDescent="0.25">
      <c r="A54" s="14">
        <v>1997</v>
      </c>
      <c r="B54" s="2"/>
    </row>
    <row r="55" spans="1:2" s="1" customFormat="1" x14ac:dyDescent="0.25">
      <c r="A55" s="14">
        <v>1998</v>
      </c>
      <c r="B55" s="2"/>
    </row>
    <row r="56" spans="1:2" s="1" customFormat="1" x14ac:dyDescent="0.25">
      <c r="A56" s="14">
        <v>1999</v>
      </c>
      <c r="B56" s="2"/>
    </row>
    <row r="57" spans="1:2" s="1" customFormat="1" x14ac:dyDescent="0.25">
      <c r="A57" s="14">
        <v>2000</v>
      </c>
      <c r="B57" s="2"/>
    </row>
    <row r="58" spans="1:2" s="1" customFormat="1" x14ac:dyDescent="0.25">
      <c r="A58" s="14">
        <v>2001</v>
      </c>
      <c r="B58" s="2"/>
    </row>
    <row r="59" spans="1:2" s="1" customFormat="1" x14ac:dyDescent="0.25">
      <c r="A59" s="14">
        <v>2002</v>
      </c>
      <c r="B59" s="2"/>
    </row>
    <row r="60" spans="1:2" s="1" customFormat="1" x14ac:dyDescent="0.25">
      <c r="A60" s="14">
        <v>2003</v>
      </c>
      <c r="B60" s="2"/>
    </row>
    <row r="61" spans="1:2" s="1" customFormat="1" x14ac:dyDescent="0.25">
      <c r="A61" s="14">
        <v>2004</v>
      </c>
      <c r="B61" s="2"/>
    </row>
    <row r="62" spans="1:2" s="1" customFormat="1" x14ac:dyDescent="0.25">
      <c r="A62" s="14">
        <v>2005</v>
      </c>
      <c r="B62" s="2"/>
    </row>
    <row r="63" spans="1:2" s="1" customFormat="1" x14ac:dyDescent="0.25">
      <c r="A63" s="14">
        <v>2006</v>
      </c>
      <c r="B63" s="16">
        <f>B64-2500*(1.2*1.2)</f>
        <v>85867.199999999997</v>
      </c>
    </row>
    <row r="64" spans="1:2" s="1" customFormat="1" x14ac:dyDescent="0.25">
      <c r="A64" s="14">
        <v>2007</v>
      </c>
      <c r="B64" s="16">
        <f>B65-2500*(1.2*1.2)</f>
        <v>89467.199999999997</v>
      </c>
    </row>
    <row r="65" spans="1:2" s="1" customFormat="1" x14ac:dyDescent="0.25">
      <c r="A65" s="14">
        <v>2008</v>
      </c>
      <c r="B65" s="16">
        <f>B66-5450*(1.2*1.2)</f>
        <v>93067.199999999997</v>
      </c>
    </row>
    <row r="66" spans="1:2" s="1" customFormat="1" x14ac:dyDescent="0.25">
      <c r="A66" s="14">
        <v>2009</v>
      </c>
      <c r="B66" s="16">
        <f>B67-2450*(1.2*1.2)</f>
        <v>100915.2</v>
      </c>
    </row>
    <row r="67" spans="1:2" s="1" customFormat="1" x14ac:dyDescent="0.25">
      <c r="A67" s="14">
        <v>2010</v>
      </c>
      <c r="B67" s="16">
        <f>B68-2470*(1.2*1.2)</f>
        <v>104443.2</v>
      </c>
    </row>
    <row r="68" spans="1:2" s="1" customFormat="1" x14ac:dyDescent="0.25">
      <c r="A68" s="14">
        <v>2011</v>
      </c>
      <c r="B68" s="15">
        <f>108000</f>
        <v>108000</v>
      </c>
    </row>
    <row r="69" spans="1:2" s="1" customFormat="1" x14ac:dyDescent="0.25">
      <c r="A69" s="14">
        <v>2012</v>
      </c>
      <c r="B69" s="16">
        <f>B68+2430*(1.2*1.2)</f>
        <v>111499.2</v>
      </c>
    </row>
    <row r="70" spans="1:2" s="1" customFormat="1" x14ac:dyDescent="0.25">
      <c r="A70" s="14">
        <v>2013</v>
      </c>
    </row>
    <row r="71" spans="1:2" s="1" customFormat="1" x14ac:dyDescent="0.25">
      <c r="A71" s="14">
        <v>2014</v>
      </c>
      <c r="B71" s="2"/>
    </row>
    <row r="72" spans="1:2" s="1" customFormat="1" x14ac:dyDescent="0.25">
      <c r="A72" s="14">
        <v>2015</v>
      </c>
      <c r="B72" s="2"/>
    </row>
    <row r="73" spans="1:2" s="1" customFormat="1" x14ac:dyDescent="0.25">
      <c r="A73" s="14">
        <v>2016</v>
      </c>
      <c r="B73" s="2"/>
    </row>
    <row r="74" spans="1:2" s="1" customFormat="1" x14ac:dyDescent="0.25">
      <c r="A74" s="14">
        <v>2017</v>
      </c>
      <c r="B74" s="2"/>
    </row>
    <row r="75" spans="1:2" s="1" customFormat="1" x14ac:dyDescent="0.25">
      <c r="A75" s="14">
        <v>2018</v>
      </c>
      <c r="B75" s="2"/>
    </row>
    <row r="76" spans="1:2" s="1" customFormat="1" x14ac:dyDescent="0.25">
      <c r="A76" s="14">
        <v>2019</v>
      </c>
      <c r="B76" s="2"/>
    </row>
    <row r="77" spans="1:2" s="1" customFormat="1" x14ac:dyDescent="0.25">
      <c r="A77" s="14">
        <v>2020</v>
      </c>
      <c r="B77" s="2"/>
    </row>
    <row r="78" spans="1:2" x14ac:dyDescent="0.25">
      <c r="A78" s="13"/>
      <c r="B78" s="13"/>
    </row>
    <row r="79" spans="1:2" x14ac:dyDescent="0.25">
      <c r="A79" s="13"/>
      <c r="B79" s="13"/>
    </row>
    <row r="80" spans="1:2" x14ac:dyDescent="0.25">
      <c r="A80" s="13"/>
      <c r="B80" s="13"/>
    </row>
    <row r="81" spans="1:2" x14ac:dyDescent="0.25">
      <c r="A81" s="13"/>
      <c r="B81" s="13"/>
    </row>
    <row r="82" spans="1:2" x14ac:dyDescent="0.25">
      <c r="A82" s="13"/>
      <c r="B82" s="13"/>
    </row>
    <row r="83" spans="1:2" x14ac:dyDescent="0.25">
      <c r="A83" s="13"/>
      <c r="B83" s="13"/>
    </row>
    <row r="84" spans="1:2" x14ac:dyDescent="0.25">
      <c r="A84" s="13"/>
      <c r="B84" s="13"/>
    </row>
    <row r="85" spans="1:2" x14ac:dyDescent="0.25">
      <c r="A85" s="13"/>
      <c r="B85" s="13"/>
    </row>
    <row r="86" spans="1:2" x14ac:dyDescent="0.25">
      <c r="A86" s="13"/>
      <c r="B86" s="13"/>
    </row>
    <row r="87" spans="1:2" x14ac:dyDescent="0.25">
      <c r="A87" s="13"/>
      <c r="B87" s="13"/>
    </row>
    <row r="88" spans="1:2" x14ac:dyDescent="0.25">
      <c r="A88" s="13"/>
      <c r="B88" s="1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DA53-7E46-4237-BFF2-D54E4EED559A}">
  <sheetPr codeName="Sheet9"/>
  <dimension ref="A1:D88"/>
  <sheetViews>
    <sheetView tabSelected="1" zoomScale="88" zoomScaleNormal="115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H35" sqref="H35"/>
    </sheetView>
  </sheetViews>
  <sheetFormatPr defaultColWidth="13.5703125" defaultRowHeight="15" x14ac:dyDescent="0.25"/>
  <cols>
    <col min="1" max="1" width="7" style="2" customWidth="1"/>
    <col min="2" max="2" width="16.85546875" style="6" customWidth="1"/>
    <col min="3" max="3" width="17" customWidth="1"/>
    <col min="4" max="16384" width="13.5703125" style="6"/>
  </cols>
  <sheetData>
    <row r="1" spans="1:3" s="3" customFormat="1" ht="30" x14ac:dyDescent="0.25">
      <c r="A1" s="26" t="s">
        <v>1</v>
      </c>
      <c r="B1" s="27" t="s">
        <v>3</v>
      </c>
      <c r="C1" s="25" t="s">
        <v>23</v>
      </c>
    </row>
    <row r="2" spans="1:3" s="1" customFormat="1" x14ac:dyDescent="0.25">
      <c r="A2" s="14">
        <v>1945</v>
      </c>
      <c r="B2" s="8"/>
      <c r="C2"/>
    </row>
    <row r="3" spans="1:3" s="1" customFormat="1" x14ac:dyDescent="0.25">
      <c r="A3" s="14">
        <v>1946</v>
      </c>
      <c r="B3" s="8"/>
      <c r="C3"/>
    </row>
    <row r="4" spans="1:3" s="1" customFormat="1" x14ac:dyDescent="0.25">
      <c r="A4" s="14">
        <v>1947</v>
      </c>
      <c r="B4" s="8"/>
      <c r="C4"/>
    </row>
    <row r="5" spans="1:3" s="1" customFormat="1" x14ac:dyDescent="0.25">
      <c r="A5" s="14">
        <v>1948</v>
      </c>
      <c r="B5" s="8"/>
      <c r="C5"/>
    </row>
    <row r="6" spans="1:3" s="1" customFormat="1" x14ac:dyDescent="0.25">
      <c r="A6" s="14">
        <v>1949</v>
      </c>
      <c r="B6" s="8"/>
      <c r="C6"/>
    </row>
    <row r="7" spans="1:3" s="1" customFormat="1" x14ac:dyDescent="0.25">
      <c r="A7" s="14">
        <v>1950</v>
      </c>
      <c r="B7" s="8"/>
      <c r="C7"/>
    </row>
    <row r="8" spans="1:3" s="1" customFormat="1" x14ac:dyDescent="0.25">
      <c r="A8" s="14">
        <v>1951</v>
      </c>
      <c r="B8" s="8"/>
      <c r="C8"/>
    </row>
    <row r="9" spans="1:3" s="1" customFormat="1" x14ac:dyDescent="0.25">
      <c r="A9" s="14">
        <v>1952</v>
      </c>
      <c r="B9" s="8"/>
      <c r="C9"/>
    </row>
    <row r="10" spans="1:3" s="1" customFormat="1" x14ac:dyDescent="0.25">
      <c r="A10" s="14">
        <v>1953</v>
      </c>
      <c r="B10" s="8"/>
      <c r="C10"/>
    </row>
    <row r="11" spans="1:3" s="1" customFormat="1" x14ac:dyDescent="0.25">
      <c r="A11" s="14">
        <v>1954</v>
      </c>
      <c r="B11" s="8"/>
      <c r="C11"/>
    </row>
    <row r="12" spans="1:3" s="1" customFormat="1" x14ac:dyDescent="0.25">
      <c r="A12" s="14">
        <v>1955</v>
      </c>
      <c r="B12" s="8"/>
      <c r="C12"/>
    </row>
    <row r="13" spans="1:3" s="1" customFormat="1" x14ac:dyDescent="0.25">
      <c r="A13" s="14">
        <v>1956</v>
      </c>
      <c r="B13" s="8"/>
      <c r="C13"/>
    </row>
    <row r="14" spans="1:3" s="1" customFormat="1" x14ac:dyDescent="0.25">
      <c r="A14" s="14">
        <v>1957</v>
      </c>
      <c r="B14" s="8"/>
      <c r="C14"/>
    </row>
    <row r="15" spans="1:3" s="1" customFormat="1" x14ac:dyDescent="0.25">
      <c r="A15" s="14">
        <v>1958</v>
      </c>
      <c r="B15" s="8"/>
      <c r="C15"/>
    </row>
    <row r="16" spans="1:3" s="1" customFormat="1" x14ac:dyDescent="0.25">
      <c r="A16" s="14">
        <v>1959</v>
      </c>
      <c r="B16" s="8"/>
      <c r="C16"/>
    </row>
    <row r="17" spans="1:4" s="1" customFormat="1" x14ac:dyDescent="0.25">
      <c r="A17" s="14">
        <v>1960</v>
      </c>
      <c r="B17" s="8"/>
      <c r="C17" s="8">
        <v>9153</v>
      </c>
      <c r="D17" s="39">
        <f>(prod!B17+import!B17-export!B17)/C17*1000</f>
        <v>27.539167486070145</v>
      </c>
    </row>
    <row r="18" spans="1:4" s="1" customFormat="1" x14ac:dyDescent="0.25">
      <c r="A18" s="14">
        <v>1961</v>
      </c>
      <c r="B18" s="8"/>
      <c r="C18" s="8">
        <v>9184</v>
      </c>
      <c r="D18" s="39">
        <f>(prod!B18+import!B18-export!B18)/C18*1000</f>
        <v>21.107796167247376</v>
      </c>
    </row>
    <row r="19" spans="1:4" s="1" customFormat="1" x14ac:dyDescent="0.25">
      <c r="A19" s="14">
        <v>1962</v>
      </c>
      <c r="B19" s="8"/>
      <c r="C19" s="8">
        <v>9221</v>
      </c>
      <c r="D19" s="39">
        <f>(prod!B19+import!B19-export!B19)/C19*1000</f>
        <v>29.260383906300831</v>
      </c>
    </row>
    <row r="20" spans="1:4" s="1" customFormat="1" x14ac:dyDescent="0.25">
      <c r="A20" s="14">
        <v>1963</v>
      </c>
      <c r="B20" s="8"/>
      <c r="C20" s="8">
        <v>9290</v>
      </c>
      <c r="D20" s="39">
        <f>(prod!B20+import!B20-export!B20)/C20*1000</f>
        <v>23.127448869752428</v>
      </c>
    </row>
    <row r="21" spans="1:4" s="1" customFormat="1" x14ac:dyDescent="0.25">
      <c r="A21" s="14">
        <v>1964</v>
      </c>
      <c r="B21" s="8"/>
      <c r="C21" s="8">
        <v>9378</v>
      </c>
      <c r="D21" s="39">
        <f>(prod!B21+import!B21-export!B21)/C21*1000</f>
        <v>29.586372360844525</v>
      </c>
    </row>
    <row r="22" spans="1:4" s="1" customFormat="1" x14ac:dyDescent="0.25">
      <c r="A22" s="14">
        <v>1965</v>
      </c>
      <c r="B22" s="8"/>
      <c r="C22" s="8">
        <v>9464</v>
      </c>
      <c r="D22" s="39">
        <f>(prod!B22+import!B22-export!B22)/C22*1000</f>
        <v>22.368977176669489</v>
      </c>
    </row>
    <row r="23" spans="1:4" s="1" customFormat="1" x14ac:dyDescent="0.25">
      <c r="A23" s="14">
        <v>1966</v>
      </c>
      <c r="B23" s="8"/>
      <c r="C23" s="8">
        <v>9528</v>
      </c>
      <c r="D23" s="39">
        <f>(prod!B23+import!B23-export!B23)/C23*1000</f>
        <v>29.07955499580185</v>
      </c>
    </row>
    <row r="24" spans="1:4" s="1" customFormat="1" x14ac:dyDescent="0.25">
      <c r="A24" s="14">
        <v>1967</v>
      </c>
      <c r="B24" s="8"/>
      <c r="C24" s="8">
        <v>9581</v>
      </c>
      <c r="D24" s="39">
        <f>(prod!B24+import!B24-export!B24)/C24*1000</f>
        <v>30.487736144452558</v>
      </c>
    </row>
    <row r="25" spans="1:4" s="1" customFormat="1" x14ac:dyDescent="0.25">
      <c r="A25" s="14">
        <v>1968</v>
      </c>
      <c r="B25" s="8"/>
      <c r="C25" s="8">
        <v>9619</v>
      </c>
      <c r="D25" s="39">
        <f>(prod!B25+import!B25-export!B25)/C25*1000</f>
        <v>30.595799979207822</v>
      </c>
    </row>
    <row r="26" spans="1:4" s="1" customFormat="1" x14ac:dyDescent="0.25">
      <c r="A26" s="14">
        <v>1969</v>
      </c>
      <c r="B26" s="8"/>
      <c r="C26" s="8">
        <v>9646</v>
      </c>
      <c r="D26" s="39">
        <f>(prod!B26+import!B26-export!B26)/C26*1000</f>
        <v>34.420692515032144</v>
      </c>
    </row>
    <row r="27" spans="1:4" s="1" customFormat="1" x14ac:dyDescent="0.25">
      <c r="A27" s="14">
        <v>1970</v>
      </c>
      <c r="B27" s="8"/>
      <c r="C27" s="8">
        <v>9656</v>
      </c>
      <c r="D27" s="39">
        <f>(prod!B27+import!B27-export!B27)/C27*1000</f>
        <v>34.900579950289973</v>
      </c>
    </row>
    <row r="28" spans="1:4" s="1" customFormat="1" x14ac:dyDescent="0.25">
      <c r="A28" s="14">
        <v>1971</v>
      </c>
      <c r="B28" s="8"/>
      <c r="C28" s="8">
        <v>9673</v>
      </c>
      <c r="D28" s="39">
        <f>(prod!B28+import!B28-export!B28)/C28*1000</f>
        <v>36.234363692753028</v>
      </c>
    </row>
    <row r="29" spans="1:4" s="1" customFormat="1" x14ac:dyDescent="0.25">
      <c r="A29" s="14">
        <v>1972</v>
      </c>
      <c r="B29" s="8"/>
      <c r="C29" s="8">
        <v>9711</v>
      </c>
      <c r="D29" s="39">
        <f>(prod!B29+import!B29-export!B29)/C29*1000</f>
        <v>33.383894552569252</v>
      </c>
    </row>
    <row r="30" spans="1:4" s="1" customFormat="1" x14ac:dyDescent="0.25">
      <c r="A30" s="14">
        <v>1973</v>
      </c>
      <c r="B30" s="8"/>
      <c r="C30" s="8">
        <v>9742</v>
      </c>
      <c r="D30" s="39">
        <f>(prod!B30+import!B30-export!B30)/C30*1000</f>
        <v>43.202730445493735</v>
      </c>
    </row>
    <row r="31" spans="1:4" s="1" customFormat="1" x14ac:dyDescent="0.25">
      <c r="A31" s="14">
        <v>1974</v>
      </c>
      <c r="B31" s="8"/>
      <c r="C31" s="8">
        <v>9772</v>
      </c>
      <c r="D31" s="39">
        <f>(prod!B31+import!B31-export!B31)/C31*1000</f>
        <v>37.929390094146541</v>
      </c>
    </row>
    <row r="32" spans="1:4" s="1" customFormat="1" x14ac:dyDescent="0.25">
      <c r="A32" s="14">
        <v>1975</v>
      </c>
      <c r="C32" s="8">
        <v>9801</v>
      </c>
      <c r="D32" s="39">
        <f>(prod!B32+import!B32-export!B32)/C32*1000</f>
        <v>28.81440669319457</v>
      </c>
    </row>
    <row r="33" spans="1:4" s="1" customFormat="1" x14ac:dyDescent="0.25">
      <c r="A33" s="14">
        <v>1976</v>
      </c>
      <c r="C33" s="8">
        <v>9818</v>
      </c>
      <c r="D33" s="39">
        <f>(prod!B33+import!B33-export!B33)/C33*1000</f>
        <v>35.181707068649416</v>
      </c>
    </row>
    <row r="34" spans="1:4" s="1" customFormat="1" x14ac:dyDescent="0.25">
      <c r="A34" s="14">
        <v>1977</v>
      </c>
      <c r="C34" s="8">
        <v>9830</v>
      </c>
      <c r="D34" s="39">
        <f>(prod!B34+import!B34-export!B34)/C34*1000</f>
        <v>39.098372329603251</v>
      </c>
    </row>
    <row r="35" spans="1:4" s="1" customFormat="1" x14ac:dyDescent="0.25">
      <c r="A35" s="14">
        <v>1978</v>
      </c>
      <c r="C35" s="8">
        <v>9840</v>
      </c>
      <c r="D35" s="39">
        <f>(prod!B35+import!B35-export!B35)/C35*1000</f>
        <v>27.091361788617881</v>
      </c>
    </row>
    <row r="36" spans="1:4" s="1" customFormat="1" x14ac:dyDescent="0.25">
      <c r="A36" s="14">
        <v>1979</v>
      </c>
      <c r="B36" s="8"/>
      <c r="C36" s="8">
        <v>9848</v>
      </c>
      <c r="D36" s="39">
        <f>(prod!B36+import!B36-export!B36)/C36*1000</f>
        <v>30.815292445166538</v>
      </c>
    </row>
    <row r="37" spans="1:4" s="1" customFormat="1" x14ac:dyDescent="0.25">
      <c r="A37" s="14">
        <v>1980</v>
      </c>
      <c r="B37" s="8"/>
      <c r="C37" s="8">
        <v>9859</v>
      </c>
      <c r="D37" s="39">
        <f>(prod!B37+import!B37-export!B37)/C37*1000</f>
        <v>33.203976062480976</v>
      </c>
    </row>
    <row r="38" spans="1:4" s="1" customFormat="1" x14ac:dyDescent="0.25">
      <c r="A38" s="14">
        <v>1981</v>
      </c>
      <c r="B38" s="8"/>
      <c r="C38" s="8">
        <v>9859</v>
      </c>
      <c r="D38" s="39">
        <f>(prod!B38+import!B38-export!B38)/C38*1000</f>
        <v>24.73374581600568</v>
      </c>
    </row>
    <row r="39" spans="1:4" s="1" customFormat="1" x14ac:dyDescent="0.25">
      <c r="A39" s="14">
        <v>1982</v>
      </c>
      <c r="B39" s="8"/>
      <c r="C39" s="8">
        <v>9856</v>
      </c>
      <c r="D39" s="39">
        <f>(prod!B39+import!B39-export!B39)/C39*1000</f>
        <v>17.552759740259742</v>
      </c>
    </row>
    <row r="40" spans="1:4" s="1" customFormat="1" x14ac:dyDescent="0.25">
      <c r="A40" s="14">
        <v>1983</v>
      </c>
      <c r="B40" s="8"/>
      <c r="C40" s="8">
        <v>9856</v>
      </c>
      <c r="D40" s="39">
        <f>(prod!B40+import!B40-export!B40)/C40*1000</f>
        <v>9.3344155844155843</v>
      </c>
    </row>
    <row r="41" spans="1:4" s="1" customFormat="1" x14ac:dyDescent="0.25">
      <c r="A41" s="14">
        <v>1984</v>
      </c>
      <c r="B41" s="8"/>
      <c r="C41" s="8">
        <v>9855</v>
      </c>
      <c r="D41" s="39">
        <f>(prod!B41+import!B41-export!B41)/C41*1000</f>
        <v>11.770674784373416</v>
      </c>
    </row>
    <row r="42" spans="1:4" s="1" customFormat="1" x14ac:dyDescent="0.25">
      <c r="A42" s="14">
        <v>1985</v>
      </c>
      <c r="B42" s="8"/>
      <c r="C42" s="8">
        <v>9858</v>
      </c>
      <c r="D42" s="39">
        <f>(prod!B42+import!B42-export!B42)/C42*1000</f>
        <v>11.361330898762427</v>
      </c>
    </row>
    <row r="43" spans="1:4" s="1" customFormat="1" x14ac:dyDescent="0.25">
      <c r="A43" s="14">
        <v>1986</v>
      </c>
      <c r="B43" s="8"/>
      <c r="C43" s="8">
        <v>9862</v>
      </c>
      <c r="D43" s="39">
        <f>(prod!B43+import!B43-export!B43)/C43*1000</f>
        <v>9.3287365645913596</v>
      </c>
    </row>
    <row r="44" spans="1:4" s="1" customFormat="1" x14ac:dyDescent="0.25">
      <c r="A44" s="14">
        <v>1987</v>
      </c>
      <c r="B44" s="8"/>
      <c r="C44" s="8">
        <v>9870</v>
      </c>
      <c r="D44" s="39">
        <f>(prod!B44+import!B44-export!B44)/C44*1000</f>
        <v>20.359979736575479</v>
      </c>
    </row>
    <row r="45" spans="1:4" s="1" customFormat="1" x14ac:dyDescent="0.25">
      <c r="A45" s="14">
        <v>1988</v>
      </c>
      <c r="B45" s="8"/>
      <c r="C45" s="8">
        <v>9902</v>
      </c>
      <c r="D45" s="39">
        <f>(prod!B45+import!B45-export!B45)/C45*1000</f>
        <v>25.440315087861023</v>
      </c>
    </row>
    <row r="46" spans="1:4" s="1" customFormat="1" x14ac:dyDescent="0.25">
      <c r="A46" s="14">
        <v>1989</v>
      </c>
      <c r="B46" s="8"/>
      <c r="C46" s="8">
        <v>9938</v>
      </c>
      <c r="D46" s="39">
        <f>(prod!B46+import!B46-export!B46)/C46*1000</f>
        <v>11.177802374723287</v>
      </c>
    </row>
    <row r="47" spans="1:4" s="1" customFormat="1" x14ac:dyDescent="0.25">
      <c r="A47" s="14">
        <v>1990</v>
      </c>
      <c r="B47" s="8"/>
      <c r="C47" s="8">
        <v>9967</v>
      </c>
      <c r="D47" s="39">
        <f>(prod!B47+import!B47-export!B47)/C47*1000</f>
        <v>23.176482391893249</v>
      </c>
    </row>
    <row r="48" spans="1:4" s="1" customFormat="1" x14ac:dyDescent="0.25">
      <c r="A48" s="14">
        <v>1991</v>
      </c>
      <c r="B48" s="8"/>
      <c r="C48" s="8">
        <v>10004</v>
      </c>
      <c r="D48" s="39">
        <f>(prod!B48+import!B48-export!B48)/C48*1000</f>
        <v>14.294282287085167</v>
      </c>
    </row>
    <row r="49" spans="1:4" s="1" customFormat="1" x14ac:dyDescent="0.25">
      <c r="A49" s="14">
        <v>1992</v>
      </c>
      <c r="B49" s="8"/>
      <c r="C49" s="8">
        <v>10045</v>
      </c>
      <c r="D49" s="39">
        <f>(prod!B49+import!B49-export!B49)/C49*1000</f>
        <v>25.186660029865607</v>
      </c>
    </row>
    <row r="50" spans="1:4" s="1" customFormat="1" x14ac:dyDescent="0.25">
      <c r="A50" s="14">
        <v>1993</v>
      </c>
      <c r="B50" s="8"/>
      <c r="C50" s="8">
        <v>10084</v>
      </c>
      <c r="D50" s="39"/>
    </row>
    <row r="51" spans="1:4" s="1" customFormat="1" x14ac:dyDescent="0.25">
      <c r="A51" s="14">
        <v>1994</v>
      </c>
      <c r="B51" s="8"/>
      <c r="C51" s="8">
        <v>10116</v>
      </c>
      <c r="D51" s="39"/>
    </row>
    <row r="52" spans="1:4" s="1" customFormat="1" x14ac:dyDescent="0.25">
      <c r="A52" s="14">
        <v>1995</v>
      </c>
      <c r="B52" s="8"/>
      <c r="C52" s="8">
        <v>10137</v>
      </c>
      <c r="D52" s="39"/>
    </row>
    <row r="53" spans="1:4" s="1" customFormat="1" x14ac:dyDescent="0.25">
      <c r="A53" s="14">
        <v>1996</v>
      </c>
      <c r="B53" s="8"/>
      <c r="C53" s="8">
        <v>10157</v>
      </c>
      <c r="D53" s="39">
        <f>(prod!B53+import!B53-export!B53)/C53*1000</f>
        <v>35.814439795215129</v>
      </c>
    </row>
    <row r="54" spans="1:4" s="1" customFormat="1" x14ac:dyDescent="0.25">
      <c r="A54" s="14">
        <v>1997</v>
      </c>
      <c r="B54" s="8"/>
      <c r="C54" s="8">
        <v>10181</v>
      </c>
      <c r="D54" s="39">
        <f>(prod!B54+import!B54-export!B54)/C54*1000</f>
        <v>39.353438390138479</v>
      </c>
    </row>
    <row r="55" spans="1:4" s="1" customFormat="1" x14ac:dyDescent="0.25">
      <c r="A55" s="14">
        <v>1998</v>
      </c>
      <c r="B55" s="8"/>
      <c r="C55" s="8">
        <v>10203</v>
      </c>
      <c r="D55" s="39">
        <f>(prod!B55+import!B55-export!B55)/C55*1000</f>
        <v>36.242097177300792</v>
      </c>
    </row>
    <row r="56" spans="1:4" s="1" customFormat="1" x14ac:dyDescent="0.25">
      <c r="A56" s="14">
        <v>1999</v>
      </c>
      <c r="B56" s="8"/>
      <c r="C56" s="8">
        <v>10226</v>
      </c>
      <c r="D56" s="39">
        <f>(prod!B56+import!B56-export!B56)/C56*1000</f>
        <v>51.033257260903568</v>
      </c>
    </row>
    <row r="57" spans="1:4" s="1" customFormat="1" x14ac:dyDescent="0.25">
      <c r="A57" s="14">
        <v>2000</v>
      </c>
      <c r="B57" s="8"/>
      <c r="C57" s="8">
        <v>10251</v>
      </c>
      <c r="D57" s="39">
        <f>(prod!B57+import!B57-export!B57)/C57*1000</f>
        <v>49.479949029362999</v>
      </c>
    </row>
    <row r="58" spans="1:4" s="1" customFormat="1" x14ac:dyDescent="0.25">
      <c r="A58" s="14">
        <v>2001</v>
      </c>
      <c r="B58" s="8"/>
      <c r="C58" s="8">
        <v>10287</v>
      </c>
      <c r="D58" s="39">
        <f>(prod!B58+import!B58-export!B58)/C58*1000</f>
        <v>50.11328910275104</v>
      </c>
    </row>
    <row r="59" spans="1:4" s="1" customFormat="1" x14ac:dyDescent="0.25">
      <c r="A59" s="14">
        <v>2002</v>
      </c>
      <c r="B59" s="8"/>
      <c r="C59" s="8">
        <v>10333</v>
      </c>
      <c r="D59" s="39">
        <f>(prod!B59+import!B59-export!B59)/C59*1000</f>
        <v>38.449863181070363</v>
      </c>
    </row>
    <row r="60" spans="1:4" s="1" customFormat="1" x14ac:dyDescent="0.25">
      <c r="A60" s="14">
        <v>2003</v>
      </c>
      <c r="B60" s="8"/>
      <c r="C60" s="8">
        <v>10376</v>
      </c>
      <c r="D60" s="39">
        <f>(prod!B60+import!B60-export!B60)/C60*1000</f>
        <v>36.090666682729378</v>
      </c>
    </row>
    <row r="61" spans="1:4" s="1" customFormat="1" x14ac:dyDescent="0.25">
      <c r="A61" s="14">
        <v>2004</v>
      </c>
      <c r="B61" s="8"/>
      <c r="C61" s="8">
        <v>10421</v>
      </c>
      <c r="D61" s="39">
        <f>(prod!B61+import!B61-export!B61)/C61*1000</f>
        <v>36.344231719604629</v>
      </c>
    </row>
    <row r="62" spans="1:4" s="1" customFormat="1" x14ac:dyDescent="0.25">
      <c r="A62" s="14">
        <v>2005</v>
      </c>
      <c r="B62" s="8"/>
      <c r="C62" s="8">
        <v>10479</v>
      </c>
      <c r="D62" s="39">
        <f>(prod!B62+import!B62-export!B62)/C62*1000</f>
        <v>46.711286859433152</v>
      </c>
    </row>
    <row r="63" spans="1:4" s="1" customFormat="1" x14ac:dyDescent="0.25">
      <c r="A63" s="14">
        <v>2006</v>
      </c>
      <c r="B63" s="8"/>
      <c r="C63" s="8">
        <v>10548</v>
      </c>
      <c r="D63" s="39">
        <f>(prod!B63+import!B63-export!B63)/C63*1000</f>
        <v>44.662808589305996</v>
      </c>
    </row>
    <row r="64" spans="1:4" s="1" customFormat="1" x14ac:dyDescent="0.25">
      <c r="A64" s="14">
        <v>2007</v>
      </c>
      <c r="B64" s="8">
        <f>2500*(1.2*1.2)</f>
        <v>3600</v>
      </c>
      <c r="C64" s="8">
        <v>10626</v>
      </c>
      <c r="D64" s="39">
        <f>(prod!B64+import!B64-export!B64)/C64*1000</f>
        <v>56.114473108413293</v>
      </c>
    </row>
    <row r="65" spans="1:4" s="1" customFormat="1" x14ac:dyDescent="0.25">
      <c r="A65" s="14">
        <v>2008</v>
      </c>
      <c r="B65" s="8">
        <f>2500*(1.2*1.2)</f>
        <v>3600</v>
      </c>
      <c r="C65" s="8">
        <v>10710</v>
      </c>
      <c r="D65" s="39">
        <f>(prod!B65+import!B65-export!B65)/C65*1000</f>
        <v>48.245179855275452</v>
      </c>
    </row>
    <row r="66" spans="1:4" s="1" customFormat="1" x14ac:dyDescent="0.25">
      <c r="A66" s="14">
        <v>2009</v>
      </c>
      <c r="B66" s="8">
        <f>5450*(1.2*1.2)</f>
        <v>7848</v>
      </c>
      <c r="C66" s="8">
        <v>10796</v>
      </c>
      <c r="D66" s="39">
        <f>(prod!B66+import!B66-export!B66)/C66*1000</f>
        <v>37.301040431641347</v>
      </c>
    </row>
    <row r="67" spans="1:4" s="1" customFormat="1" x14ac:dyDescent="0.25">
      <c r="A67" s="14">
        <v>2010</v>
      </c>
      <c r="B67" s="8">
        <f>2450*(1.2*1.2)</f>
        <v>3528</v>
      </c>
      <c r="C67" s="8">
        <v>10896</v>
      </c>
      <c r="D67" s="39">
        <f>(prod!B67+import!B67-export!B67)/C67*1000</f>
        <v>50.442819956864902</v>
      </c>
    </row>
    <row r="68" spans="1:4" s="1" customFormat="1" x14ac:dyDescent="0.25">
      <c r="A68" s="14">
        <v>2011</v>
      </c>
      <c r="B68" s="8">
        <f>2470*(1.2*1.2)</f>
        <v>3556.7999999999997</v>
      </c>
      <c r="C68" s="8">
        <v>10994</v>
      </c>
      <c r="D68" s="39">
        <f>(prod!B68+import!B68-export!B68)/C68*1000</f>
        <v>49.32451416681824</v>
      </c>
    </row>
    <row r="69" spans="1:4" s="1" customFormat="1" x14ac:dyDescent="0.25">
      <c r="A69" s="14">
        <v>2012</v>
      </c>
      <c r="B69" s="8">
        <f>2430*(1.2*1.2)</f>
        <v>3499.2</v>
      </c>
      <c r="C69" s="8">
        <v>11068</v>
      </c>
      <c r="D69" s="39">
        <f>(prod!B69+import!B69-export!B69)/C69*1000</f>
        <v>42.312460697506317</v>
      </c>
    </row>
    <row r="70" spans="1:4" s="1" customFormat="1" x14ac:dyDescent="0.25">
      <c r="A70" s="14">
        <v>2013</v>
      </c>
      <c r="B70" s="8"/>
      <c r="C70" s="8">
        <v>11125</v>
      </c>
      <c r="D70" s="39"/>
    </row>
    <row r="71" spans="1:4" s="1" customFormat="1" x14ac:dyDescent="0.25">
      <c r="A71" s="14">
        <v>2014</v>
      </c>
      <c r="B71" s="8"/>
      <c r="C71" s="8">
        <v>11180</v>
      </c>
      <c r="D71" s="39"/>
    </row>
    <row r="72" spans="1:4" s="1" customFormat="1" x14ac:dyDescent="0.25">
      <c r="A72" s="14">
        <v>2015</v>
      </c>
      <c r="B72" s="8"/>
      <c r="C72" s="8">
        <v>11238</v>
      </c>
      <c r="D72" s="39"/>
    </row>
    <row r="73" spans="1:4" s="1" customFormat="1" x14ac:dyDescent="0.25">
      <c r="A73" s="14">
        <v>2016</v>
      </c>
      <c r="B73" s="8"/>
      <c r="C73" s="8">
        <v>11295</v>
      </c>
      <c r="D73" s="39"/>
    </row>
    <row r="74" spans="1:4" s="1" customFormat="1" x14ac:dyDescent="0.25">
      <c r="A74" s="14">
        <v>2017</v>
      </c>
      <c r="B74" s="8"/>
      <c r="C74" s="8">
        <v>11349</v>
      </c>
      <c r="D74" s="39"/>
    </row>
    <row r="75" spans="1:4" s="1" customFormat="1" x14ac:dyDescent="0.25">
      <c r="A75" s="14">
        <v>2018</v>
      </c>
      <c r="C75" s="8">
        <v>11404</v>
      </c>
      <c r="D75" s="39"/>
    </row>
    <row r="76" spans="1:4" s="1" customFormat="1" x14ac:dyDescent="0.25">
      <c r="A76" s="14">
        <v>2019</v>
      </c>
      <c r="C76"/>
    </row>
    <row r="77" spans="1:4" s="1" customFormat="1" x14ac:dyDescent="0.25">
      <c r="A77" s="14">
        <v>2020</v>
      </c>
      <c r="C77"/>
    </row>
    <row r="78" spans="1:4" x14ac:dyDescent="0.25">
      <c r="A78" s="13"/>
    </row>
    <row r="79" spans="1:4" x14ac:dyDescent="0.25">
      <c r="A79" s="13"/>
      <c r="B79" s="8"/>
    </row>
    <row r="80" spans="1:4" x14ac:dyDescent="0.25">
      <c r="A80" s="13"/>
      <c r="B80" s="8"/>
    </row>
    <row r="81" spans="1:2" x14ac:dyDescent="0.25">
      <c r="A81" s="13"/>
      <c r="B81" s="8"/>
    </row>
    <row r="82" spans="1:2" x14ac:dyDescent="0.25">
      <c r="A82" s="13"/>
      <c r="B82" s="8"/>
    </row>
    <row r="83" spans="1:2" x14ac:dyDescent="0.25">
      <c r="A83" s="13"/>
      <c r="B83" s="8"/>
    </row>
    <row r="84" spans="1:2" x14ac:dyDescent="0.25">
      <c r="A84" s="13"/>
      <c r="B84" s="8"/>
    </row>
    <row r="85" spans="1:2" x14ac:dyDescent="0.25">
      <c r="A85" s="13"/>
      <c r="B85" s="8"/>
    </row>
    <row r="86" spans="1:2" x14ac:dyDescent="0.25">
      <c r="A86" s="13"/>
      <c r="B86" s="8"/>
    </row>
    <row r="87" spans="1:2" x14ac:dyDescent="0.25">
      <c r="A87" s="13"/>
      <c r="B87" s="8"/>
    </row>
    <row r="88" spans="1:2" x14ac:dyDescent="0.25">
      <c r="A88" s="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2404-9C07-4082-8695-AA4274664C99}">
  <sheetPr codeName="Sheet8"/>
  <dimension ref="A1:F88"/>
  <sheetViews>
    <sheetView zoomScale="85" zoomScaleNormal="85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50" sqref="B50"/>
    </sheetView>
  </sheetViews>
  <sheetFormatPr defaultColWidth="13.5703125" defaultRowHeight="15" x14ac:dyDescent="0.25"/>
  <cols>
    <col min="1" max="1" width="7" style="2" customWidth="1"/>
    <col min="2" max="2" width="14.42578125" style="5" bestFit="1" customWidth="1"/>
    <col min="3" max="3" width="15.7109375" style="6" bestFit="1" customWidth="1"/>
    <col min="4" max="16384" width="13.5703125" style="6"/>
  </cols>
  <sheetData>
    <row r="1" spans="1:3" s="3" customFormat="1" x14ac:dyDescent="0.25">
      <c r="A1" s="24" t="s">
        <v>1</v>
      </c>
      <c r="B1" s="25" t="s">
        <v>2</v>
      </c>
      <c r="C1" s="25" t="s">
        <v>4</v>
      </c>
    </row>
    <row r="2" spans="1:3" s="1" customFormat="1" x14ac:dyDescent="0.25">
      <c r="A2" s="2">
        <v>1945</v>
      </c>
      <c r="B2" s="9"/>
    </row>
    <row r="3" spans="1:3" s="1" customFormat="1" x14ac:dyDescent="0.25">
      <c r="A3" s="2">
        <v>1946</v>
      </c>
      <c r="B3" s="9"/>
    </row>
    <row r="4" spans="1:3" s="1" customFormat="1" x14ac:dyDescent="0.25">
      <c r="A4" s="2">
        <v>1947</v>
      </c>
      <c r="B4" s="9"/>
    </row>
    <row r="5" spans="1:3" s="1" customFormat="1" x14ac:dyDescent="0.25">
      <c r="A5" s="2">
        <v>1948</v>
      </c>
      <c r="B5" s="9"/>
    </row>
    <row r="6" spans="1:3" s="1" customFormat="1" x14ac:dyDescent="0.25">
      <c r="A6" s="2">
        <v>1949</v>
      </c>
      <c r="B6" s="9"/>
    </row>
    <row r="7" spans="1:3" s="1" customFormat="1" x14ac:dyDescent="0.25">
      <c r="A7" s="2">
        <v>1950</v>
      </c>
      <c r="B7" s="9">
        <v>206.25</v>
      </c>
    </row>
    <row r="8" spans="1:3" s="1" customFormat="1" x14ac:dyDescent="0.25">
      <c r="A8" s="2">
        <v>1951</v>
      </c>
      <c r="B8" s="9"/>
    </row>
    <row r="9" spans="1:3" s="1" customFormat="1" x14ac:dyDescent="0.25">
      <c r="A9" s="2">
        <v>1952</v>
      </c>
      <c r="B9" s="9"/>
    </row>
    <row r="10" spans="1:3" s="1" customFormat="1" x14ac:dyDescent="0.25">
      <c r="A10" s="2">
        <v>1953</v>
      </c>
      <c r="B10" s="9"/>
    </row>
    <row r="11" spans="1:3" s="1" customFormat="1" x14ac:dyDescent="0.25">
      <c r="A11" s="2">
        <v>1954</v>
      </c>
      <c r="B11" s="9"/>
    </row>
    <row r="12" spans="1:3" s="1" customFormat="1" x14ac:dyDescent="0.25">
      <c r="A12" s="2">
        <v>1955</v>
      </c>
      <c r="B12" s="9"/>
    </row>
    <row r="13" spans="1:3" s="1" customFormat="1" x14ac:dyDescent="0.25">
      <c r="A13" s="2">
        <v>1956</v>
      </c>
      <c r="B13" s="9"/>
    </row>
    <row r="14" spans="1:3" s="1" customFormat="1" x14ac:dyDescent="0.25">
      <c r="A14" s="2">
        <v>1957</v>
      </c>
      <c r="B14" s="9"/>
    </row>
    <row r="15" spans="1:3" s="1" customFormat="1" x14ac:dyDescent="0.25">
      <c r="A15" s="2">
        <v>1958</v>
      </c>
      <c r="B15" s="9"/>
    </row>
    <row r="16" spans="1:3" s="1" customFormat="1" x14ac:dyDescent="0.25">
      <c r="A16" s="2">
        <v>1959</v>
      </c>
      <c r="B16" s="9"/>
    </row>
    <row r="17" spans="1:6" s="1" customFormat="1" x14ac:dyDescent="0.25">
      <c r="A17" s="2">
        <v>1960</v>
      </c>
      <c r="B17" s="9">
        <v>699.89800000000002</v>
      </c>
    </row>
    <row r="18" spans="1:6" s="1" customFormat="1" x14ac:dyDescent="0.25">
      <c r="A18" s="2">
        <v>1961</v>
      </c>
      <c r="B18" s="9">
        <v>582.92999999999995</v>
      </c>
    </row>
    <row r="19" spans="1:6" s="1" customFormat="1" x14ac:dyDescent="0.25">
      <c r="A19" s="2">
        <v>1962</v>
      </c>
      <c r="B19" s="9">
        <v>726.21799999999996</v>
      </c>
      <c r="C19" s="6"/>
    </row>
    <row r="20" spans="1:6" s="1" customFormat="1" x14ac:dyDescent="0.25">
      <c r="A20" s="2">
        <v>1963</v>
      </c>
      <c r="B20" s="9">
        <v>642.11800000000005</v>
      </c>
      <c r="C20" s="6"/>
    </row>
    <row r="21" spans="1:6" s="1" customFormat="1" x14ac:dyDescent="0.25">
      <c r="A21" s="2">
        <v>1964</v>
      </c>
      <c r="B21" s="9">
        <v>747.31899999999996</v>
      </c>
      <c r="C21" s="6"/>
    </row>
    <row r="22" spans="1:6" s="1" customFormat="1" x14ac:dyDescent="0.25">
      <c r="A22" s="2">
        <v>1965</v>
      </c>
      <c r="B22" s="9">
        <v>606.51</v>
      </c>
      <c r="C22" s="6"/>
    </row>
    <row r="23" spans="1:6" s="1" customFormat="1" x14ac:dyDescent="0.25">
      <c r="A23" s="2">
        <v>1966</v>
      </c>
      <c r="B23" s="9">
        <v>619.07000000000005</v>
      </c>
      <c r="C23" s="6"/>
    </row>
    <row r="24" spans="1:6" s="1" customFormat="1" x14ac:dyDescent="0.25">
      <c r="A24" s="2">
        <v>1967</v>
      </c>
      <c r="B24" s="9">
        <v>633.10299999999995</v>
      </c>
      <c r="C24" s="6"/>
    </row>
    <row r="25" spans="1:6" s="1" customFormat="1" x14ac:dyDescent="0.25">
      <c r="A25" s="2">
        <v>1968</v>
      </c>
      <c r="B25" s="9">
        <v>674.30100000000004</v>
      </c>
      <c r="C25" s="6"/>
    </row>
    <row r="26" spans="1:6" s="1" customFormat="1" x14ac:dyDescent="0.25">
      <c r="A26" s="2">
        <v>1969</v>
      </c>
      <c r="B26" s="9">
        <v>729.02200000000005</v>
      </c>
      <c r="C26" s="6"/>
    </row>
    <row r="27" spans="1:6" s="1" customFormat="1" x14ac:dyDescent="0.25">
      <c r="A27" s="2">
        <v>1970</v>
      </c>
      <c r="B27" s="9">
        <v>871</v>
      </c>
      <c r="C27" s="8">
        <v>680</v>
      </c>
      <c r="D27" s="11"/>
      <c r="F27" s="11"/>
    </row>
    <row r="28" spans="1:6" s="1" customFormat="1" x14ac:dyDescent="0.25">
      <c r="A28" s="2">
        <v>1971</v>
      </c>
      <c r="B28" s="9">
        <v>813.495</v>
      </c>
      <c r="C28" s="8">
        <v>620</v>
      </c>
      <c r="D28" s="11"/>
      <c r="F28" s="11"/>
    </row>
    <row r="29" spans="1:6" s="1" customFormat="1" x14ac:dyDescent="0.25">
      <c r="A29" s="2">
        <v>1972</v>
      </c>
      <c r="B29" s="9">
        <v>850.19100000000003</v>
      </c>
      <c r="C29" s="8">
        <v>650</v>
      </c>
      <c r="D29" s="11"/>
      <c r="F29" s="11"/>
    </row>
    <row r="30" spans="1:6" s="1" customFormat="1" x14ac:dyDescent="0.25">
      <c r="A30" s="2">
        <v>1973</v>
      </c>
      <c r="B30" s="9">
        <v>929.88099999999997</v>
      </c>
      <c r="C30" s="8">
        <v>770</v>
      </c>
      <c r="D30" s="11"/>
      <c r="F30" s="11"/>
    </row>
    <row r="31" spans="1:6" s="1" customFormat="1" x14ac:dyDescent="0.25">
      <c r="A31" s="2">
        <v>1974</v>
      </c>
      <c r="B31" s="9">
        <v>830.64599999999996</v>
      </c>
      <c r="C31" s="8">
        <v>1050</v>
      </c>
      <c r="D31" s="11"/>
      <c r="F31" s="11"/>
    </row>
    <row r="32" spans="1:6" s="1" customFormat="1" x14ac:dyDescent="0.25">
      <c r="A32" s="2">
        <v>1975</v>
      </c>
      <c r="B32" s="9">
        <v>588.41</v>
      </c>
      <c r="C32" s="8">
        <v>1275</v>
      </c>
      <c r="D32" s="11"/>
      <c r="F32" s="11"/>
    </row>
    <row r="33" spans="1:6" s="1" customFormat="1" x14ac:dyDescent="0.25">
      <c r="A33" s="2">
        <v>1976</v>
      </c>
      <c r="B33" s="9">
        <v>768.41399999999999</v>
      </c>
      <c r="C33" s="8">
        <v>1570</v>
      </c>
      <c r="D33" s="11"/>
      <c r="F33" s="11"/>
    </row>
    <row r="34" spans="1:6" s="1" customFormat="1" x14ac:dyDescent="0.25">
      <c r="A34" s="2">
        <v>1977</v>
      </c>
      <c r="B34" s="9">
        <v>838.33699999999999</v>
      </c>
      <c r="C34" s="8">
        <v>1830</v>
      </c>
      <c r="D34" s="11"/>
      <c r="F34" s="11"/>
    </row>
    <row r="35" spans="1:6" s="1" customFormat="1" x14ac:dyDescent="0.25">
      <c r="A35" s="2">
        <v>1978</v>
      </c>
      <c r="B35" s="9">
        <v>811.57899999999995</v>
      </c>
      <c r="C35" s="8">
        <v>1850</v>
      </c>
      <c r="D35" s="11"/>
      <c r="F35" s="11"/>
    </row>
    <row r="36" spans="1:6" s="1" customFormat="1" x14ac:dyDescent="0.25">
      <c r="A36" s="2">
        <v>1979</v>
      </c>
      <c r="B36" s="9">
        <v>841.46900000000005</v>
      </c>
      <c r="C36" s="8">
        <v>1850</v>
      </c>
      <c r="D36" s="11"/>
      <c r="F36" s="11"/>
    </row>
    <row r="37" spans="1:6" s="1" customFormat="1" x14ac:dyDescent="0.25">
      <c r="A37" s="2">
        <v>1980</v>
      </c>
      <c r="B37" s="9">
        <v>856.35799999999995</v>
      </c>
      <c r="C37" s="8">
        <v>2500</v>
      </c>
      <c r="D37" s="11"/>
      <c r="F37" s="11"/>
    </row>
    <row r="38" spans="1:6" s="1" customFormat="1" x14ac:dyDescent="0.25">
      <c r="A38" s="2">
        <v>1981</v>
      </c>
      <c r="B38" s="9">
        <v>706.85</v>
      </c>
      <c r="C38" s="8">
        <v>2100</v>
      </c>
      <c r="D38" s="11"/>
      <c r="F38" s="11"/>
    </row>
    <row r="39" spans="1:6" s="1" customFormat="1" x14ac:dyDescent="0.25">
      <c r="A39" s="2">
        <v>1982</v>
      </c>
      <c r="B39" s="9">
        <v>710</v>
      </c>
      <c r="C39" s="8">
        <v>1900</v>
      </c>
      <c r="D39" s="11"/>
      <c r="F39" s="11"/>
    </row>
    <row r="40" spans="1:6" s="1" customFormat="1" x14ac:dyDescent="0.25">
      <c r="A40" s="2">
        <v>1983</v>
      </c>
      <c r="B40" s="9">
        <v>706</v>
      </c>
      <c r="C40" s="8"/>
    </row>
    <row r="41" spans="1:6" s="1" customFormat="1" x14ac:dyDescent="0.25">
      <c r="A41" s="2">
        <v>1984</v>
      </c>
      <c r="B41" s="9">
        <v>840</v>
      </c>
      <c r="C41" s="8"/>
    </row>
    <row r="42" spans="1:6" s="1" customFormat="1" x14ac:dyDescent="0.25">
      <c r="A42" s="2">
        <v>1985</v>
      </c>
      <c r="B42" s="9">
        <v>802</v>
      </c>
      <c r="C42" s="8"/>
    </row>
    <row r="43" spans="1:6" s="1" customFormat="1" x14ac:dyDescent="0.25">
      <c r="A43" s="2">
        <v>1986</v>
      </c>
      <c r="B43" s="9">
        <v>825</v>
      </c>
      <c r="C43" s="8"/>
    </row>
    <row r="44" spans="1:6" s="1" customFormat="1" x14ac:dyDescent="0.25">
      <c r="A44" s="2">
        <v>1987</v>
      </c>
      <c r="B44" s="9">
        <v>885.95299999999997</v>
      </c>
      <c r="C44" s="6"/>
    </row>
    <row r="45" spans="1:6" s="1" customFormat="1" x14ac:dyDescent="0.25">
      <c r="A45" s="2">
        <v>1988</v>
      </c>
      <c r="B45" s="9">
        <v>945.91</v>
      </c>
      <c r="C45" s="6"/>
    </row>
    <row r="46" spans="1:6" s="1" customFormat="1" x14ac:dyDescent="0.25">
      <c r="A46" s="2">
        <v>1989</v>
      </c>
      <c r="B46" s="9">
        <v>989.08500000000004</v>
      </c>
      <c r="C46" s="6"/>
    </row>
    <row r="47" spans="1:6" s="1" customFormat="1" x14ac:dyDescent="0.25">
      <c r="A47" s="2">
        <v>1990</v>
      </c>
      <c r="B47" s="9">
        <v>1142</v>
      </c>
    </row>
    <row r="48" spans="1:6" s="1" customFormat="1" x14ac:dyDescent="0.25">
      <c r="A48" s="2">
        <v>1991</v>
      </c>
      <c r="B48" s="9">
        <v>898</v>
      </c>
    </row>
    <row r="49" spans="1:2" s="1" customFormat="1" x14ac:dyDescent="0.25">
      <c r="A49" s="2">
        <v>1992</v>
      </c>
      <c r="B49" s="9">
        <v>1013</v>
      </c>
    </row>
    <row r="50" spans="1:2" s="1" customFormat="1" x14ac:dyDescent="0.25">
      <c r="A50" s="2">
        <v>1993</v>
      </c>
      <c r="B50" s="9">
        <v>961</v>
      </c>
    </row>
    <row r="51" spans="1:2" s="1" customFormat="1" x14ac:dyDescent="0.25">
      <c r="A51" s="2">
        <v>1994</v>
      </c>
      <c r="B51" s="9">
        <v>1103</v>
      </c>
    </row>
    <row r="52" spans="1:2" s="1" customFormat="1" x14ac:dyDescent="0.25">
      <c r="A52" s="2">
        <v>1995</v>
      </c>
      <c r="B52" s="9">
        <v>1193</v>
      </c>
    </row>
    <row r="53" spans="1:2" s="1" customFormat="1" x14ac:dyDescent="0.25">
      <c r="A53" s="2">
        <v>1996</v>
      </c>
      <c r="B53" s="9">
        <v>1138</v>
      </c>
    </row>
    <row r="54" spans="1:2" s="1" customFormat="1" x14ac:dyDescent="0.25">
      <c r="A54" s="2">
        <v>1997</v>
      </c>
      <c r="B54" s="9">
        <v>1162</v>
      </c>
    </row>
    <row r="55" spans="1:2" s="1" customFormat="1" x14ac:dyDescent="0.25">
      <c r="A55" s="2">
        <v>1998</v>
      </c>
      <c r="B55" s="9">
        <v>1125</v>
      </c>
    </row>
    <row r="56" spans="1:2" s="1" customFormat="1" x14ac:dyDescent="0.25">
      <c r="A56" s="2">
        <v>1999</v>
      </c>
      <c r="B56" s="9">
        <v>1085</v>
      </c>
    </row>
    <row r="57" spans="1:2" s="1" customFormat="1" x14ac:dyDescent="0.25">
      <c r="A57" s="2">
        <v>2000</v>
      </c>
      <c r="B57" s="9">
        <v>1134</v>
      </c>
    </row>
    <row r="58" spans="1:2" s="1" customFormat="1" x14ac:dyDescent="0.25">
      <c r="A58" s="2">
        <v>2001</v>
      </c>
      <c r="B58" s="9">
        <v>1143</v>
      </c>
    </row>
    <row r="59" spans="1:2" s="1" customFormat="1" x14ac:dyDescent="0.25">
      <c r="A59" s="2">
        <v>2002</v>
      </c>
      <c r="B59" s="9">
        <v>1275</v>
      </c>
    </row>
    <row r="60" spans="1:2" s="1" customFormat="1" x14ac:dyDescent="0.25">
      <c r="A60" s="2">
        <v>2003</v>
      </c>
      <c r="B60" s="9">
        <v>1148</v>
      </c>
    </row>
    <row r="61" spans="1:2" s="1" customFormat="1" x14ac:dyDescent="0.25">
      <c r="A61" s="2">
        <v>2004</v>
      </c>
      <c r="B61" s="9">
        <v>1149</v>
      </c>
    </row>
    <row r="62" spans="1:2" s="1" customFormat="1" x14ac:dyDescent="0.25">
      <c r="A62" s="2">
        <v>2005</v>
      </c>
      <c r="B62" s="9">
        <v>1234</v>
      </c>
    </row>
    <row r="63" spans="1:2" s="1" customFormat="1" x14ac:dyDescent="0.25">
      <c r="A63" s="2">
        <v>2006</v>
      </c>
      <c r="B63" s="9">
        <v>1227</v>
      </c>
    </row>
    <row r="64" spans="1:2" s="1" customFormat="1" x14ac:dyDescent="0.25">
      <c r="A64" s="2">
        <v>2007</v>
      </c>
      <c r="B64" s="9">
        <v>1363</v>
      </c>
    </row>
    <row r="65" spans="1:2" s="1" customFormat="1" x14ac:dyDescent="0.25">
      <c r="A65" s="2">
        <v>2008</v>
      </c>
      <c r="B65" s="9">
        <v>1301</v>
      </c>
    </row>
    <row r="66" spans="1:2" s="1" customFormat="1" x14ac:dyDescent="0.25">
      <c r="A66" s="2">
        <v>2009</v>
      </c>
      <c r="B66" s="9">
        <v>990</v>
      </c>
    </row>
    <row r="67" spans="1:2" s="1" customFormat="1" x14ac:dyDescent="0.25">
      <c r="A67" s="2">
        <v>2010</v>
      </c>
      <c r="B67" s="9">
        <v>1170</v>
      </c>
    </row>
    <row r="68" spans="1:2" s="1" customFormat="1" x14ac:dyDescent="0.25">
      <c r="A68" s="2">
        <v>2011</v>
      </c>
      <c r="B68" s="9">
        <v>1226</v>
      </c>
    </row>
    <row r="69" spans="1:2" s="1" customFormat="1" x14ac:dyDescent="0.25">
      <c r="A69" s="2">
        <v>2012</v>
      </c>
      <c r="B69" s="9">
        <v>1010</v>
      </c>
    </row>
    <row r="70" spans="1:2" s="1" customFormat="1" x14ac:dyDescent="0.25">
      <c r="A70" s="2">
        <v>2013</v>
      </c>
    </row>
    <row r="71" spans="1:2" s="1" customFormat="1" x14ac:dyDescent="0.25">
      <c r="A71" s="2">
        <v>2014</v>
      </c>
      <c r="B71" s="9"/>
    </row>
    <row r="72" spans="1:2" s="1" customFormat="1" x14ac:dyDescent="0.25">
      <c r="A72" s="2">
        <v>2015</v>
      </c>
      <c r="B72" s="7"/>
    </row>
    <row r="73" spans="1:2" s="1" customFormat="1" x14ac:dyDescent="0.25">
      <c r="A73" s="2">
        <v>2016</v>
      </c>
      <c r="B73" s="7"/>
    </row>
    <row r="74" spans="1:2" s="1" customFormat="1" x14ac:dyDescent="0.25">
      <c r="A74" s="2">
        <v>2017</v>
      </c>
      <c r="B74" s="7"/>
    </row>
    <row r="75" spans="1:2" s="1" customFormat="1" x14ac:dyDescent="0.25">
      <c r="A75" s="2">
        <v>2018</v>
      </c>
      <c r="B75" s="7"/>
    </row>
    <row r="76" spans="1:2" s="1" customFormat="1" x14ac:dyDescent="0.25">
      <c r="A76" s="2">
        <v>2019</v>
      </c>
      <c r="B76" s="7"/>
    </row>
    <row r="77" spans="1:2" s="1" customFormat="1" x14ac:dyDescent="0.25">
      <c r="A77" s="2">
        <v>2020</v>
      </c>
      <c r="B77" s="7"/>
    </row>
    <row r="78" spans="1:2" x14ac:dyDescent="0.25">
      <c r="A78" s="13"/>
    </row>
    <row r="79" spans="1:2" x14ac:dyDescent="0.25">
      <c r="A79" s="13"/>
    </row>
    <row r="80" spans="1:2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653F-4255-4899-B7D6-3BA7509BAA32}">
  <sheetPr codeName="Sheet1"/>
  <dimension ref="A1:H77"/>
  <sheetViews>
    <sheetView zoomScale="72" zoomScaleNormal="115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B50" sqref="B50"/>
    </sheetView>
  </sheetViews>
  <sheetFormatPr defaultColWidth="13.5703125" defaultRowHeight="15" x14ac:dyDescent="0.25"/>
  <cols>
    <col min="1" max="1" width="7" style="18" customWidth="1"/>
    <col min="2" max="7" width="19.42578125" style="17" customWidth="1"/>
    <col min="8" max="16384" width="13.5703125" style="19"/>
  </cols>
  <sheetData>
    <row r="1" spans="1:7" s="29" customFormat="1" x14ac:dyDescent="0.25">
      <c r="A1" s="28" t="s">
        <v>1</v>
      </c>
      <c r="B1" s="25" t="s">
        <v>2</v>
      </c>
      <c r="C1" s="25" t="s">
        <v>13</v>
      </c>
      <c r="D1" s="25" t="s">
        <v>14</v>
      </c>
      <c r="E1" s="25" t="s">
        <v>15</v>
      </c>
      <c r="F1" s="25" t="s">
        <v>5</v>
      </c>
      <c r="G1" s="25" t="s">
        <v>16</v>
      </c>
    </row>
    <row r="2" spans="1:7" x14ac:dyDescent="0.25">
      <c r="A2" s="20">
        <v>1945</v>
      </c>
      <c r="B2" s="37"/>
      <c r="C2" s="37"/>
      <c r="D2" s="37"/>
      <c r="E2" s="37"/>
      <c r="F2" s="37"/>
      <c r="G2" s="37"/>
    </row>
    <row r="3" spans="1:7" x14ac:dyDescent="0.25">
      <c r="A3" s="20">
        <v>1946</v>
      </c>
      <c r="B3" s="37"/>
      <c r="C3" s="37"/>
      <c r="D3" s="37"/>
      <c r="E3" s="37"/>
      <c r="F3" s="37"/>
      <c r="G3" s="37"/>
    </row>
    <row r="4" spans="1:7" x14ac:dyDescent="0.25">
      <c r="A4" s="20">
        <v>1947</v>
      </c>
      <c r="B4" s="37"/>
      <c r="C4" s="37"/>
      <c r="D4" s="37"/>
      <c r="E4" s="37"/>
      <c r="F4" s="37"/>
      <c r="G4" s="37"/>
    </row>
    <row r="5" spans="1:7" x14ac:dyDescent="0.25">
      <c r="A5" s="20">
        <v>1948</v>
      </c>
      <c r="B5" s="37"/>
      <c r="C5" s="37"/>
      <c r="D5" s="37"/>
      <c r="E5" s="37"/>
      <c r="F5" s="37"/>
      <c r="G5" s="37"/>
    </row>
    <row r="6" spans="1:7" x14ac:dyDescent="0.25">
      <c r="A6" s="20">
        <v>1949</v>
      </c>
      <c r="B6" s="37"/>
      <c r="C6" s="37"/>
      <c r="D6" s="37"/>
      <c r="E6" s="37"/>
      <c r="F6" s="37"/>
      <c r="G6" s="37"/>
    </row>
    <row r="7" spans="1:7" x14ac:dyDescent="0.25">
      <c r="A7" s="20">
        <v>1950</v>
      </c>
      <c r="B7" s="37"/>
      <c r="C7" s="37"/>
      <c r="D7" s="37"/>
      <c r="E7" s="37"/>
      <c r="F7" s="37"/>
      <c r="G7" s="37"/>
    </row>
    <row r="8" spans="1:7" x14ac:dyDescent="0.25">
      <c r="A8" s="20">
        <v>1951</v>
      </c>
      <c r="B8" s="37"/>
      <c r="C8" s="37"/>
      <c r="D8" s="37"/>
      <c r="E8" s="37"/>
      <c r="F8" s="37"/>
      <c r="G8" s="37"/>
    </row>
    <row r="9" spans="1:7" x14ac:dyDescent="0.25">
      <c r="A9" s="20">
        <v>1952</v>
      </c>
      <c r="B9" s="37"/>
      <c r="C9" s="37"/>
      <c r="D9" s="37"/>
      <c r="E9" s="37"/>
      <c r="F9" s="37"/>
      <c r="G9" s="37"/>
    </row>
    <row r="10" spans="1:7" x14ac:dyDescent="0.25">
      <c r="A10" s="20">
        <v>1953</v>
      </c>
      <c r="B10" s="37"/>
      <c r="C10" s="37"/>
      <c r="D10" s="37"/>
      <c r="E10" s="37"/>
      <c r="F10" s="37"/>
      <c r="G10" s="37"/>
    </row>
    <row r="11" spans="1:7" x14ac:dyDescent="0.25">
      <c r="A11" s="20">
        <v>1954</v>
      </c>
      <c r="B11" s="37"/>
      <c r="C11" s="37"/>
      <c r="D11" s="37"/>
      <c r="E11" s="37"/>
      <c r="F11" s="37"/>
      <c r="G11" s="37"/>
    </row>
    <row r="12" spans="1:7" x14ac:dyDescent="0.25">
      <c r="A12" s="20">
        <v>1955</v>
      </c>
      <c r="B12" s="37"/>
      <c r="C12" s="37"/>
      <c r="D12" s="37"/>
      <c r="E12" s="37"/>
      <c r="F12" s="37"/>
      <c r="G12" s="37"/>
    </row>
    <row r="13" spans="1:7" x14ac:dyDescent="0.25">
      <c r="A13" s="20">
        <v>1956</v>
      </c>
      <c r="B13" s="37"/>
      <c r="C13" s="37"/>
      <c r="D13" s="37"/>
      <c r="E13" s="37"/>
      <c r="F13" s="37"/>
      <c r="G13" s="37"/>
    </row>
    <row r="14" spans="1:7" x14ac:dyDescent="0.25">
      <c r="A14" s="20">
        <v>1957</v>
      </c>
      <c r="B14" s="37"/>
      <c r="C14" s="37"/>
      <c r="D14" s="37"/>
      <c r="E14" s="37"/>
      <c r="F14" s="37"/>
      <c r="G14" s="37"/>
    </row>
    <row r="15" spans="1:7" x14ac:dyDescent="0.25">
      <c r="A15" s="20">
        <v>1958</v>
      </c>
      <c r="B15" s="8">
        <v>4.7309999999999999</v>
      </c>
      <c r="C15" s="8">
        <v>2.5950000000000002</v>
      </c>
      <c r="D15" s="8">
        <f>0.051+0.483</f>
        <v>0.53400000000000003</v>
      </c>
      <c r="E15" s="8">
        <v>1.0289999999999999</v>
      </c>
      <c r="F15" s="8">
        <v>0.02</v>
      </c>
      <c r="G15" s="8">
        <v>6.6000000000000003E-2</v>
      </c>
    </row>
    <row r="16" spans="1:7" x14ac:dyDescent="0.25">
      <c r="A16" s="20">
        <v>1959</v>
      </c>
      <c r="B16" s="37"/>
      <c r="C16" s="37"/>
      <c r="D16" s="37"/>
      <c r="E16" s="37"/>
      <c r="F16" s="37"/>
      <c r="G16" s="37"/>
    </row>
    <row r="17" spans="1:8" x14ac:dyDescent="0.25">
      <c r="A17" s="20">
        <v>1960</v>
      </c>
      <c r="B17" s="37">
        <f>SUM(C17:G17)</f>
        <v>14</v>
      </c>
      <c r="C17" s="37">
        <v>11</v>
      </c>
      <c r="D17" s="37">
        <v>1</v>
      </c>
      <c r="E17" s="37">
        <v>2</v>
      </c>
      <c r="F17" s="37">
        <v>0</v>
      </c>
      <c r="G17" s="37">
        <v>0</v>
      </c>
      <c r="H17" s="23"/>
    </row>
    <row r="18" spans="1:8" x14ac:dyDescent="0.25">
      <c r="A18" s="20">
        <v>1961</v>
      </c>
      <c r="B18" s="37">
        <f t="shared" ref="B18:B20" si="0">SUM(C18:G18)</f>
        <v>6</v>
      </c>
      <c r="C18" s="37">
        <v>3</v>
      </c>
      <c r="D18" s="37">
        <v>1</v>
      </c>
      <c r="E18" s="37">
        <v>1</v>
      </c>
      <c r="F18" s="37">
        <v>0</v>
      </c>
      <c r="G18" s="37">
        <v>1</v>
      </c>
      <c r="H18" s="23"/>
    </row>
    <row r="19" spans="1:8" x14ac:dyDescent="0.25">
      <c r="A19" s="20">
        <v>1962</v>
      </c>
      <c r="B19" s="37">
        <f t="shared" si="0"/>
        <v>12</v>
      </c>
      <c r="C19" s="37">
        <v>7</v>
      </c>
      <c r="D19" s="37">
        <v>2</v>
      </c>
      <c r="E19" s="37">
        <v>2</v>
      </c>
      <c r="F19" s="37">
        <v>0</v>
      </c>
      <c r="G19" s="37">
        <v>1</v>
      </c>
      <c r="H19" s="23"/>
    </row>
    <row r="20" spans="1:8" x14ac:dyDescent="0.25">
      <c r="A20" s="20">
        <v>1963</v>
      </c>
      <c r="B20" s="37">
        <f t="shared" si="0"/>
        <v>8</v>
      </c>
      <c r="C20" s="37">
        <v>1</v>
      </c>
      <c r="D20" s="37">
        <v>4</v>
      </c>
      <c r="E20" s="37">
        <v>2</v>
      </c>
      <c r="F20" s="37">
        <v>0</v>
      </c>
      <c r="G20" s="37">
        <v>1</v>
      </c>
      <c r="H20" s="23"/>
    </row>
    <row r="21" spans="1:8" x14ac:dyDescent="0.25">
      <c r="A21" s="20">
        <v>1964</v>
      </c>
      <c r="B21" s="8">
        <v>22.033999999999999</v>
      </c>
      <c r="C21" s="37">
        <v>6</v>
      </c>
      <c r="D21" s="37">
        <v>12</v>
      </c>
      <c r="E21" s="37">
        <v>2</v>
      </c>
      <c r="F21" s="37">
        <v>0</v>
      </c>
      <c r="G21" s="37">
        <v>1</v>
      </c>
      <c r="H21" s="23"/>
    </row>
    <row r="22" spans="1:8" x14ac:dyDescent="0.25">
      <c r="A22" s="20">
        <v>1965</v>
      </c>
      <c r="B22" s="8">
        <v>24.206</v>
      </c>
      <c r="C22" s="37">
        <v>7</v>
      </c>
      <c r="D22" s="37">
        <v>14</v>
      </c>
      <c r="E22" s="37">
        <v>2</v>
      </c>
      <c r="F22" s="37">
        <v>0</v>
      </c>
      <c r="G22" s="37">
        <v>1</v>
      </c>
      <c r="H22" s="23"/>
    </row>
    <row r="23" spans="1:8" x14ac:dyDescent="0.25">
      <c r="A23" s="20">
        <v>1966</v>
      </c>
      <c r="B23" s="37">
        <f t="shared" ref="B23:B26" si="1">SUM(C23:G23)</f>
        <v>34</v>
      </c>
      <c r="C23" s="37">
        <v>14</v>
      </c>
      <c r="D23" s="37">
        <v>16</v>
      </c>
      <c r="E23" s="37">
        <v>2</v>
      </c>
      <c r="F23" s="37">
        <v>0</v>
      </c>
      <c r="G23" s="37">
        <v>2</v>
      </c>
      <c r="H23" s="23"/>
    </row>
    <row r="24" spans="1:8" x14ac:dyDescent="0.25">
      <c r="A24" s="20">
        <v>1967</v>
      </c>
      <c r="B24" s="37">
        <f t="shared" si="1"/>
        <v>29</v>
      </c>
      <c r="C24" s="37">
        <v>19</v>
      </c>
      <c r="D24" s="37">
        <v>5</v>
      </c>
      <c r="E24" s="37">
        <v>2</v>
      </c>
      <c r="F24" s="37">
        <v>0</v>
      </c>
      <c r="G24" s="37">
        <v>3</v>
      </c>
      <c r="H24" s="23"/>
    </row>
    <row r="25" spans="1:8" x14ac:dyDescent="0.25">
      <c r="A25" s="20">
        <v>1968</v>
      </c>
      <c r="B25" s="37">
        <f t="shared" si="1"/>
        <v>33</v>
      </c>
      <c r="C25" s="37">
        <v>18</v>
      </c>
      <c r="D25" s="37">
        <v>10</v>
      </c>
      <c r="E25" s="37">
        <v>3</v>
      </c>
      <c r="F25" s="37">
        <v>0</v>
      </c>
      <c r="G25" s="37">
        <v>2</v>
      </c>
      <c r="H25" s="23"/>
    </row>
    <row r="26" spans="1:8" x14ac:dyDescent="0.25">
      <c r="A26" s="20">
        <v>1969</v>
      </c>
      <c r="B26" s="37">
        <f t="shared" si="1"/>
        <v>35</v>
      </c>
      <c r="C26" s="37">
        <v>11</v>
      </c>
      <c r="D26" s="37">
        <v>16</v>
      </c>
      <c r="E26" s="37">
        <v>3</v>
      </c>
      <c r="F26" s="37">
        <v>0</v>
      </c>
      <c r="G26" s="37">
        <v>5</v>
      </c>
      <c r="H26" s="23"/>
    </row>
    <row r="27" spans="1:8" x14ac:dyDescent="0.25">
      <c r="A27" s="20">
        <v>1970</v>
      </c>
      <c r="B27" s="4">
        <f>30+7</f>
        <v>37</v>
      </c>
      <c r="C27" s="37">
        <v>8</v>
      </c>
      <c r="D27" s="37">
        <v>19</v>
      </c>
      <c r="E27" s="37">
        <v>3</v>
      </c>
      <c r="F27" s="37">
        <v>0</v>
      </c>
      <c r="G27" s="37">
        <v>6</v>
      </c>
      <c r="H27" s="23"/>
    </row>
    <row r="28" spans="1:8" x14ac:dyDescent="0.25">
      <c r="A28" s="20">
        <v>1971</v>
      </c>
      <c r="B28" s="37">
        <f t="shared" ref="B28:B38" si="2">SUM(C28:G28)</f>
        <v>35</v>
      </c>
      <c r="C28" s="37">
        <v>6</v>
      </c>
      <c r="D28" s="37">
        <v>19</v>
      </c>
      <c r="E28" s="37">
        <v>3</v>
      </c>
      <c r="F28" s="37">
        <v>0</v>
      </c>
      <c r="G28" s="37">
        <v>7</v>
      </c>
      <c r="H28" s="23"/>
    </row>
    <row r="29" spans="1:8" x14ac:dyDescent="0.25">
      <c r="A29" s="20">
        <v>1972</v>
      </c>
      <c r="B29" s="37">
        <f t="shared" si="2"/>
        <v>43</v>
      </c>
      <c r="C29" s="37">
        <v>13</v>
      </c>
      <c r="D29" s="37">
        <v>21</v>
      </c>
      <c r="E29" s="37">
        <v>4</v>
      </c>
      <c r="F29" s="37">
        <v>0</v>
      </c>
      <c r="G29" s="37">
        <v>5</v>
      </c>
      <c r="H29" s="23"/>
    </row>
    <row r="30" spans="1:8" x14ac:dyDescent="0.25">
      <c r="A30" s="20">
        <v>1973</v>
      </c>
      <c r="B30" s="37">
        <f t="shared" si="2"/>
        <v>56</v>
      </c>
      <c r="C30" s="37">
        <v>21</v>
      </c>
      <c r="D30" s="37">
        <v>20</v>
      </c>
      <c r="E30" s="37">
        <v>8</v>
      </c>
      <c r="F30" s="37">
        <v>0</v>
      </c>
      <c r="G30" s="37">
        <v>7</v>
      </c>
      <c r="H30" s="23"/>
    </row>
    <row r="31" spans="1:8" x14ac:dyDescent="0.25">
      <c r="A31" s="20">
        <v>1974</v>
      </c>
      <c r="B31" s="37">
        <f t="shared" si="2"/>
        <v>55</v>
      </c>
      <c r="C31" s="37">
        <v>25</v>
      </c>
      <c r="D31" s="37">
        <v>20</v>
      </c>
      <c r="E31" s="37">
        <v>6</v>
      </c>
      <c r="F31" s="37">
        <v>0</v>
      </c>
      <c r="G31" s="37">
        <v>4</v>
      </c>
      <c r="H31" s="23"/>
    </row>
    <row r="32" spans="1:8" x14ac:dyDescent="0.25">
      <c r="A32" s="20">
        <v>1975</v>
      </c>
      <c r="B32" s="37">
        <f t="shared" si="2"/>
        <v>52</v>
      </c>
      <c r="C32" s="37">
        <v>26</v>
      </c>
      <c r="D32" s="37">
        <v>15</v>
      </c>
      <c r="E32" s="37">
        <v>5</v>
      </c>
      <c r="F32" s="37">
        <v>1</v>
      </c>
      <c r="G32" s="37">
        <v>5</v>
      </c>
      <c r="H32" s="23"/>
    </row>
    <row r="33" spans="1:8" x14ac:dyDescent="0.25">
      <c r="A33" s="20">
        <v>1976</v>
      </c>
      <c r="B33" s="37">
        <f t="shared" si="2"/>
        <v>82</v>
      </c>
      <c r="C33" s="37">
        <v>43</v>
      </c>
      <c r="D33" s="37">
        <v>19</v>
      </c>
      <c r="E33" s="37">
        <v>12</v>
      </c>
      <c r="F33" s="37">
        <v>2</v>
      </c>
      <c r="G33" s="37">
        <v>6</v>
      </c>
      <c r="H33" s="23"/>
    </row>
    <row r="34" spans="1:8" x14ac:dyDescent="0.25">
      <c r="A34" s="20">
        <v>1977</v>
      </c>
      <c r="B34" s="37">
        <f t="shared" si="2"/>
        <v>94</v>
      </c>
      <c r="C34" s="37">
        <v>57</v>
      </c>
      <c r="D34" s="37">
        <v>17</v>
      </c>
      <c r="E34" s="37">
        <v>10</v>
      </c>
      <c r="F34" s="37">
        <v>3</v>
      </c>
      <c r="G34" s="37">
        <v>7</v>
      </c>
      <c r="H34" s="23"/>
    </row>
    <row r="35" spans="1:8" x14ac:dyDescent="0.25">
      <c r="A35" s="20">
        <v>1978</v>
      </c>
      <c r="B35" s="37">
        <f t="shared" si="2"/>
        <v>88</v>
      </c>
      <c r="C35" s="37">
        <v>55</v>
      </c>
      <c r="D35" s="37">
        <v>15</v>
      </c>
      <c r="E35" s="37">
        <v>7</v>
      </c>
      <c r="F35" s="37">
        <v>5</v>
      </c>
      <c r="G35" s="37">
        <v>6</v>
      </c>
      <c r="H35" s="23"/>
    </row>
    <row r="36" spans="1:8" x14ac:dyDescent="0.25">
      <c r="A36" s="20">
        <v>1979</v>
      </c>
      <c r="B36" s="37">
        <f t="shared" si="2"/>
        <v>108</v>
      </c>
      <c r="C36" s="37">
        <v>78</v>
      </c>
      <c r="D36" s="37">
        <v>8</v>
      </c>
      <c r="E36" s="37">
        <v>9</v>
      </c>
      <c r="F36" s="37">
        <v>6</v>
      </c>
      <c r="G36" s="37">
        <v>7</v>
      </c>
      <c r="H36" s="23"/>
    </row>
    <row r="37" spans="1:8" x14ac:dyDescent="0.25">
      <c r="A37" s="20">
        <v>1980</v>
      </c>
      <c r="B37" s="37">
        <f t="shared" si="2"/>
        <v>128</v>
      </c>
      <c r="C37" s="37">
        <v>97</v>
      </c>
      <c r="D37" s="37">
        <v>7</v>
      </c>
      <c r="E37" s="37">
        <v>8</v>
      </c>
      <c r="F37" s="37">
        <v>9</v>
      </c>
      <c r="G37" s="37">
        <v>7</v>
      </c>
      <c r="H37" s="23"/>
    </row>
    <row r="38" spans="1:8" x14ac:dyDescent="0.25">
      <c r="A38" s="20">
        <v>1981</v>
      </c>
      <c r="B38" s="37">
        <f t="shared" si="2"/>
        <v>123</v>
      </c>
      <c r="C38" s="37">
        <v>98</v>
      </c>
      <c r="D38" s="37">
        <v>6</v>
      </c>
      <c r="E38" s="37">
        <v>5</v>
      </c>
      <c r="F38" s="37">
        <v>8</v>
      </c>
      <c r="G38" s="37">
        <v>6</v>
      </c>
      <c r="H38" s="23"/>
    </row>
    <row r="39" spans="1:8" x14ac:dyDescent="0.25">
      <c r="A39" s="20">
        <v>1982</v>
      </c>
      <c r="B39" s="4">
        <f>154+17</f>
        <v>171</v>
      </c>
      <c r="C39" s="37">
        <v>140</v>
      </c>
      <c r="D39" s="37">
        <v>7</v>
      </c>
      <c r="E39" s="37">
        <v>7</v>
      </c>
      <c r="F39" s="37">
        <v>7</v>
      </c>
      <c r="G39" s="37">
        <v>6</v>
      </c>
      <c r="H39" s="23"/>
    </row>
    <row r="40" spans="1:8" x14ac:dyDescent="0.25">
      <c r="A40" s="20">
        <v>1983</v>
      </c>
      <c r="B40" s="4">
        <f>138+17</f>
        <v>155</v>
      </c>
      <c r="C40" s="37">
        <v>126</v>
      </c>
      <c r="D40" s="37">
        <v>7</v>
      </c>
      <c r="E40" s="37">
        <v>5</v>
      </c>
      <c r="F40" s="37">
        <v>6</v>
      </c>
      <c r="G40" s="37">
        <v>7</v>
      </c>
      <c r="H40" s="23"/>
    </row>
    <row r="41" spans="1:8" x14ac:dyDescent="0.25">
      <c r="A41" s="20">
        <v>1984</v>
      </c>
      <c r="B41" s="4">
        <f>118+18</f>
        <v>136</v>
      </c>
      <c r="C41" s="37">
        <v>103</v>
      </c>
      <c r="D41" s="37">
        <v>8</v>
      </c>
      <c r="E41" s="37">
        <v>7</v>
      </c>
      <c r="F41" s="37">
        <v>5</v>
      </c>
      <c r="G41" s="37">
        <v>9</v>
      </c>
      <c r="H41" s="23"/>
    </row>
    <row r="42" spans="1:8" x14ac:dyDescent="0.25">
      <c r="A42" s="20">
        <v>1985</v>
      </c>
      <c r="B42" s="4">
        <f>131+20</f>
        <v>151</v>
      </c>
      <c r="C42" s="37">
        <v>118</v>
      </c>
      <c r="D42" s="37">
        <v>7</v>
      </c>
      <c r="E42" s="37">
        <v>6</v>
      </c>
      <c r="F42" s="37">
        <v>5</v>
      </c>
      <c r="G42" s="37">
        <v>11</v>
      </c>
      <c r="H42" s="23"/>
    </row>
    <row r="43" spans="1:8" x14ac:dyDescent="0.25">
      <c r="A43" s="20">
        <v>1986</v>
      </c>
      <c r="B43" s="4">
        <f>136+24</f>
        <v>160</v>
      </c>
      <c r="C43" s="37">
        <v>125</v>
      </c>
      <c r="D43" s="37">
        <v>5</v>
      </c>
      <c r="E43" s="37">
        <v>6</v>
      </c>
      <c r="F43" s="37">
        <v>6</v>
      </c>
      <c r="G43" s="37">
        <v>15</v>
      </c>
      <c r="H43" s="23"/>
    </row>
    <row r="44" spans="1:8" x14ac:dyDescent="0.25">
      <c r="A44" s="20">
        <v>1987</v>
      </c>
      <c r="B44" s="37">
        <f t="shared" ref="B44:B50" si="3">SUM(C44:G44)</f>
        <v>191</v>
      </c>
      <c r="C44" s="37">
        <v>155</v>
      </c>
      <c r="D44" s="37">
        <v>6</v>
      </c>
      <c r="E44" s="37">
        <v>5</v>
      </c>
      <c r="F44" s="37">
        <v>6</v>
      </c>
      <c r="G44" s="37">
        <v>19</v>
      </c>
      <c r="H44" s="23"/>
    </row>
    <row r="45" spans="1:8" x14ac:dyDescent="0.25">
      <c r="A45" s="20">
        <v>1988</v>
      </c>
      <c r="B45" s="37">
        <f t="shared" si="3"/>
        <v>194</v>
      </c>
      <c r="C45" s="37">
        <v>142</v>
      </c>
      <c r="D45" s="37">
        <v>7</v>
      </c>
      <c r="E45" s="37">
        <v>6</v>
      </c>
      <c r="F45" s="37">
        <v>6</v>
      </c>
      <c r="G45" s="37">
        <v>33</v>
      </c>
      <c r="H45" s="23"/>
    </row>
    <row r="46" spans="1:8" x14ac:dyDescent="0.25">
      <c r="A46" s="20">
        <v>1989</v>
      </c>
      <c r="B46" s="37">
        <f t="shared" si="3"/>
        <v>198</v>
      </c>
      <c r="C46" s="37">
        <v>142</v>
      </c>
      <c r="D46" s="37">
        <v>8</v>
      </c>
      <c r="E46" s="37">
        <v>5</v>
      </c>
      <c r="F46" s="37">
        <v>7</v>
      </c>
      <c r="G46" s="37">
        <v>36</v>
      </c>
      <c r="H46" s="23"/>
    </row>
    <row r="47" spans="1:8" x14ac:dyDescent="0.25">
      <c r="A47" s="20">
        <v>1990</v>
      </c>
      <c r="B47" s="37">
        <f t="shared" si="3"/>
        <v>180</v>
      </c>
      <c r="C47" s="37">
        <v>124</v>
      </c>
      <c r="D47" s="37">
        <v>11</v>
      </c>
      <c r="E47" s="37">
        <v>7</v>
      </c>
      <c r="F47" s="37">
        <v>8</v>
      </c>
      <c r="G47" s="37">
        <v>30</v>
      </c>
      <c r="H47" s="23"/>
    </row>
    <row r="48" spans="1:8" x14ac:dyDescent="0.25">
      <c r="A48" s="20">
        <v>1991</v>
      </c>
      <c r="B48" s="37">
        <f t="shared" si="3"/>
        <v>202</v>
      </c>
      <c r="C48" s="37">
        <v>147</v>
      </c>
      <c r="D48" s="37">
        <v>10</v>
      </c>
      <c r="E48" s="37">
        <v>6</v>
      </c>
      <c r="F48" s="37">
        <v>11</v>
      </c>
      <c r="G48" s="37">
        <v>28</v>
      </c>
      <c r="H48" s="23"/>
    </row>
    <row r="49" spans="1:8" x14ac:dyDescent="0.25">
      <c r="A49" s="20">
        <v>1992</v>
      </c>
      <c r="B49" s="37">
        <f t="shared" si="3"/>
        <v>221</v>
      </c>
      <c r="C49" s="37">
        <v>166</v>
      </c>
      <c r="D49" s="37">
        <v>10</v>
      </c>
      <c r="E49" s="37">
        <v>6</v>
      </c>
      <c r="F49" s="37">
        <v>10</v>
      </c>
      <c r="G49" s="37">
        <v>29</v>
      </c>
      <c r="H49" s="23"/>
    </row>
    <row r="50" spans="1:8" x14ac:dyDescent="0.25">
      <c r="A50" s="20">
        <v>1993</v>
      </c>
      <c r="B50" s="37">
        <f t="shared" si="3"/>
        <v>155</v>
      </c>
      <c r="C50" s="37">
        <v>106</v>
      </c>
      <c r="D50" s="37">
        <v>10</v>
      </c>
      <c r="E50" s="37">
        <v>8</v>
      </c>
      <c r="F50" s="37">
        <v>6</v>
      </c>
      <c r="G50" s="37">
        <v>25</v>
      </c>
      <c r="H50" s="23"/>
    </row>
    <row r="51" spans="1:8" x14ac:dyDescent="0.25">
      <c r="A51" s="20">
        <v>1994</v>
      </c>
      <c r="B51" s="37"/>
      <c r="C51" s="38"/>
      <c r="D51" s="38"/>
      <c r="E51" s="38"/>
      <c r="F51" s="38"/>
      <c r="G51" s="38"/>
    </row>
    <row r="52" spans="1:8" x14ac:dyDescent="0.25">
      <c r="A52" s="20">
        <v>1995</v>
      </c>
      <c r="B52" s="37"/>
      <c r="C52" s="38"/>
      <c r="D52" s="38"/>
      <c r="E52" s="38"/>
      <c r="F52" s="38"/>
      <c r="G52" s="38"/>
    </row>
    <row r="53" spans="1:8" x14ac:dyDescent="0.25">
      <c r="A53" s="20">
        <v>1996</v>
      </c>
      <c r="B53" s="8">
        <v>227.74783500000004</v>
      </c>
      <c r="C53" s="38"/>
      <c r="D53" s="38"/>
      <c r="E53" s="38"/>
      <c r="F53" s="38"/>
      <c r="G53" s="38"/>
    </row>
    <row r="54" spans="1:8" x14ac:dyDescent="0.25">
      <c r="A54" s="20">
        <v>1997</v>
      </c>
      <c r="B54" s="8">
        <v>144.56236999999996</v>
      </c>
      <c r="C54" s="37"/>
      <c r="D54" s="37"/>
      <c r="E54" s="37"/>
      <c r="F54" s="37"/>
      <c r="G54" s="37"/>
    </row>
    <row r="55" spans="1:8" x14ac:dyDescent="0.25">
      <c r="A55" s="20">
        <v>1998</v>
      </c>
      <c r="B55" s="8">
        <v>219.30247999999997</v>
      </c>
      <c r="D55" s="38"/>
      <c r="E55" s="38"/>
      <c r="F55" s="38"/>
      <c r="G55" s="38"/>
    </row>
    <row r="56" spans="1:8" x14ac:dyDescent="0.25">
      <c r="A56" s="20">
        <v>1999</v>
      </c>
      <c r="B56" s="8">
        <v>257.18237499999998</v>
      </c>
      <c r="D56" s="38"/>
      <c r="E56" s="38"/>
      <c r="F56" s="38"/>
      <c r="G56" s="38"/>
    </row>
    <row r="57" spans="1:8" x14ac:dyDescent="0.25">
      <c r="A57" s="20">
        <v>2000</v>
      </c>
      <c r="B57" s="8">
        <v>250.85938999999999</v>
      </c>
      <c r="C57" s="38"/>
      <c r="D57" s="38"/>
      <c r="E57" s="38"/>
      <c r="F57" s="38"/>
      <c r="G57" s="38"/>
    </row>
    <row r="58" spans="1:8" x14ac:dyDescent="0.25">
      <c r="A58" s="20">
        <v>2001</v>
      </c>
      <c r="B58" s="8">
        <v>238.67235000000002</v>
      </c>
      <c r="C58" s="38"/>
      <c r="D58" s="38"/>
      <c r="E58" s="38"/>
      <c r="F58" s="38"/>
      <c r="G58" s="38"/>
    </row>
    <row r="59" spans="1:8" x14ac:dyDescent="0.25">
      <c r="A59" s="20">
        <v>2002</v>
      </c>
      <c r="B59" s="8">
        <v>245.98853500000001</v>
      </c>
      <c r="C59" s="38"/>
      <c r="D59" s="38"/>
      <c r="E59" s="38"/>
      <c r="F59" s="38"/>
      <c r="G59" s="38"/>
    </row>
    <row r="60" spans="1:8" x14ac:dyDescent="0.25">
      <c r="A60" s="20">
        <v>2003</v>
      </c>
      <c r="B60" s="8">
        <v>262.16664499999996</v>
      </c>
      <c r="C60" s="38"/>
      <c r="D60" s="38"/>
      <c r="E60" s="38"/>
      <c r="F60" s="38"/>
      <c r="G60" s="38"/>
    </row>
    <row r="61" spans="1:8" x14ac:dyDescent="0.25">
      <c r="A61" s="20">
        <v>2004</v>
      </c>
      <c r="B61" s="8">
        <v>270.80542999999994</v>
      </c>
      <c r="C61" s="38"/>
      <c r="D61" s="38"/>
      <c r="E61" s="38"/>
      <c r="F61" s="37">
        <v>10.8</v>
      </c>
      <c r="G61" s="38"/>
      <c r="H61" s="38"/>
    </row>
    <row r="62" spans="1:8" x14ac:dyDescent="0.25">
      <c r="A62" s="20">
        <v>2005</v>
      </c>
      <c r="B62" s="8">
        <v>272.66947499999998</v>
      </c>
      <c r="C62" s="38"/>
      <c r="D62" s="38"/>
      <c r="E62" s="38"/>
      <c r="F62" s="37">
        <v>15.1</v>
      </c>
      <c r="G62" s="38"/>
      <c r="H62" s="38"/>
    </row>
    <row r="63" spans="1:8" x14ac:dyDescent="0.25">
      <c r="A63" s="20">
        <v>2006</v>
      </c>
      <c r="B63" s="8">
        <v>286.68788999999992</v>
      </c>
      <c r="C63" s="38"/>
      <c r="D63" s="38"/>
      <c r="E63" s="38"/>
      <c r="F63" s="38"/>
      <c r="G63" s="38"/>
      <c r="H63" s="38"/>
    </row>
    <row r="64" spans="1:8" x14ac:dyDescent="0.25">
      <c r="A64" s="20">
        <v>2007</v>
      </c>
      <c r="B64" s="8">
        <v>327.98110000000008</v>
      </c>
      <c r="C64" s="38"/>
      <c r="D64" s="38"/>
      <c r="E64" s="38"/>
      <c r="F64" s="38"/>
      <c r="G64" s="38"/>
    </row>
    <row r="65" spans="1:7" x14ac:dyDescent="0.25">
      <c r="A65" s="20">
        <v>2008</v>
      </c>
      <c r="B65" s="8">
        <v>298.70961000000005</v>
      </c>
      <c r="C65" s="37"/>
      <c r="D65" s="37"/>
      <c r="E65" s="37"/>
      <c r="F65" s="37"/>
      <c r="G65" s="37"/>
    </row>
    <row r="66" spans="1:7" x14ac:dyDescent="0.25">
      <c r="A66" s="20">
        <v>2009</v>
      </c>
      <c r="B66" s="8">
        <v>226.05818500000001</v>
      </c>
      <c r="C66" s="37"/>
      <c r="D66" s="37"/>
      <c r="E66" s="37"/>
      <c r="F66" s="37"/>
      <c r="G66" s="37"/>
    </row>
    <row r="67" spans="1:7" x14ac:dyDescent="0.25">
      <c r="A67" s="20">
        <v>2010</v>
      </c>
      <c r="B67" s="8">
        <v>291.62551499999995</v>
      </c>
      <c r="D67" s="37"/>
      <c r="E67" s="37"/>
      <c r="F67" s="37"/>
      <c r="G67" s="37"/>
    </row>
    <row r="68" spans="1:7" x14ac:dyDescent="0.25">
      <c r="A68" s="20">
        <v>2011</v>
      </c>
      <c r="B68" s="8">
        <v>276.16961000000003</v>
      </c>
      <c r="D68" s="37"/>
      <c r="E68" s="37"/>
      <c r="F68" s="37"/>
      <c r="G68" s="37"/>
    </row>
    <row r="69" spans="1:7" x14ac:dyDescent="0.25">
      <c r="A69" s="20">
        <v>2012</v>
      </c>
      <c r="B69" s="8">
        <v>238.987775</v>
      </c>
      <c r="D69" s="37"/>
      <c r="E69" s="37"/>
      <c r="F69" s="37"/>
      <c r="G69" s="37"/>
    </row>
    <row r="70" spans="1:7" x14ac:dyDescent="0.25">
      <c r="A70" s="20">
        <v>2013</v>
      </c>
      <c r="B70" s="8">
        <v>273.47733999999997</v>
      </c>
      <c r="D70" s="37"/>
      <c r="E70" s="37"/>
      <c r="F70" s="37"/>
      <c r="G70" s="37"/>
    </row>
    <row r="71" spans="1:7" x14ac:dyDescent="0.25">
      <c r="A71" s="20">
        <v>2014</v>
      </c>
      <c r="B71" s="8">
        <v>240.30352999999999</v>
      </c>
      <c r="D71" s="37"/>
      <c r="E71" s="37"/>
      <c r="F71" s="37"/>
      <c r="G71" s="37"/>
    </row>
    <row r="72" spans="1:7" x14ac:dyDescent="0.25">
      <c r="A72" s="20">
        <v>2015</v>
      </c>
      <c r="B72" s="8">
        <v>224.46110999999999</v>
      </c>
      <c r="D72" s="37"/>
      <c r="E72" s="37"/>
      <c r="F72" s="37"/>
      <c r="G72" s="37"/>
    </row>
    <row r="73" spans="1:7" x14ac:dyDescent="0.25">
      <c r="A73" s="20">
        <v>2016</v>
      </c>
      <c r="B73" s="8">
        <v>216.26886500000001</v>
      </c>
      <c r="D73" s="37"/>
      <c r="E73" s="37"/>
      <c r="F73" s="37"/>
      <c r="G73" s="37"/>
    </row>
    <row r="74" spans="1:7" x14ac:dyDescent="0.25">
      <c r="A74" s="20">
        <v>2017</v>
      </c>
      <c r="B74" s="8">
        <v>230.95865499999996</v>
      </c>
      <c r="C74" s="37"/>
      <c r="D74" s="37"/>
      <c r="E74" s="37"/>
      <c r="F74" s="37"/>
      <c r="G74" s="37"/>
    </row>
    <row r="75" spans="1:7" x14ac:dyDescent="0.25">
      <c r="A75" s="20">
        <v>2018</v>
      </c>
      <c r="B75" s="8">
        <v>228.64879500000001</v>
      </c>
      <c r="C75" s="37"/>
      <c r="D75" s="37"/>
      <c r="E75" s="37"/>
      <c r="F75" s="37"/>
      <c r="G75" s="37"/>
    </row>
    <row r="76" spans="1:7" x14ac:dyDescent="0.25">
      <c r="A76" s="20">
        <v>2019</v>
      </c>
      <c r="B76" s="8">
        <v>254.22450500000002</v>
      </c>
      <c r="C76" s="37"/>
      <c r="D76" s="37"/>
      <c r="E76" s="37"/>
      <c r="F76" s="37"/>
      <c r="G76" s="37"/>
    </row>
    <row r="77" spans="1:7" x14ac:dyDescent="0.25">
      <c r="A77" s="20">
        <v>2020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87BC-FAB8-4B3E-8393-9A15FDDF8E5E}">
  <sheetPr codeName="Sheet2"/>
  <dimension ref="A1:I88"/>
  <sheetViews>
    <sheetView zoomScale="70" zoomScaleNormal="7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73" sqref="D73"/>
    </sheetView>
  </sheetViews>
  <sheetFormatPr defaultColWidth="13.5703125" defaultRowHeight="15" x14ac:dyDescent="0.25"/>
  <cols>
    <col min="1" max="1" width="7" style="2" customWidth="1"/>
    <col min="2" max="7" width="20.140625" style="8" customWidth="1"/>
    <col min="8" max="16384" width="13.5703125" style="6"/>
  </cols>
  <sheetData>
    <row r="1" spans="1:9" s="3" customFormat="1" x14ac:dyDescent="0.25">
      <c r="A1" s="26" t="s">
        <v>1</v>
      </c>
      <c r="B1" s="25" t="s">
        <v>2</v>
      </c>
      <c r="C1" s="25" t="s">
        <v>13</v>
      </c>
      <c r="D1" s="25" t="s">
        <v>14</v>
      </c>
      <c r="E1" s="25" t="s">
        <v>15</v>
      </c>
      <c r="F1" s="25" t="s">
        <v>5</v>
      </c>
      <c r="G1" s="25" t="s">
        <v>16</v>
      </c>
    </row>
    <row r="2" spans="1:9" s="1" customFormat="1" x14ac:dyDescent="0.25">
      <c r="A2" s="14">
        <v>1945</v>
      </c>
      <c r="B2" s="8"/>
      <c r="C2" s="8"/>
      <c r="D2" s="8"/>
      <c r="E2" s="8"/>
      <c r="F2" s="8"/>
      <c r="G2" s="8"/>
    </row>
    <row r="3" spans="1:9" s="1" customFormat="1" x14ac:dyDescent="0.25">
      <c r="A3" s="14">
        <v>1946</v>
      </c>
      <c r="B3" s="8"/>
      <c r="C3" s="8"/>
      <c r="D3" s="8"/>
      <c r="E3" s="8"/>
      <c r="F3" s="8"/>
      <c r="G3" s="8"/>
    </row>
    <row r="4" spans="1:9" s="1" customFormat="1" x14ac:dyDescent="0.25">
      <c r="A4" s="14">
        <v>1947</v>
      </c>
      <c r="B4" s="8"/>
      <c r="C4" s="8"/>
      <c r="D4" s="8"/>
      <c r="E4" s="8"/>
      <c r="F4" s="8"/>
      <c r="G4" s="8"/>
    </row>
    <row r="5" spans="1:9" s="1" customFormat="1" x14ac:dyDescent="0.25">
      <c r="A5" s="14">
        <v>1948</v>
      </c>
      <c r="B5" s="8"/>
      <c r="C5" s="8"/>
      <c r="D5" s="8"/>
      <c r="E5" s="8"/>
      <c r="F5" s="8"/>
      <c r="G5" s="8"/>
    </row>
    <row r="6" spans="1:9" s="1" customFormat="1" x14ac:dyDescent="0.25">
      <c r="A6" s="14">
        <v>1949</v>
      </c>
      <c r="B6" s="8"/>
      <c r="C6" s="8"/>
      <c r="D6" s="8"/>
      <c r="E6" s="8"/>
      <c r="F6" s="8"/>
      <c r="G6" s="8"/>
    </row>
    <row r="7" spans="1:9" s="1" customFormat="1" x14ac:dyDescent="0.25">
      <c r="A7" s="14">
        <v>1950</v>
      </c>
      <c r="B7" s="8"/>
      <c r="C7" s="10"/>
      <c r="D7" s="10"/>
      <c r="E7" s="10"/>
      <c r="F7" s="10"/>
      <c r="G7" s="10"/>
    </row>
    <row r="8" spans="1:9" s="1" customFormat="1" x14ac:dyDescent="0.25">
      <c r="A8" s="14">
        <v>1951</v>
      </c>
      <c r="B8" s="8"/>
      <c r="C8" s="10"/>
      <c r="D8" s="10"/>
      <c r="E8" s="10"/>
      <c r="F8" s="10"/>
      <c r="G8" s="10"/>
    </row>
    <row r="9" spans="1:9" s="1" customFormat="1" x14ac:dyDescent="0.25">
      <c r="A9" s="14">
        <v>1952</v>
      </c>
      <c r="B9" s="8"/>
      <c r="C9" s="10"/>
      <c r="D9" s="10"/>
      <c r="E9" s="10"/>
      <c r="F9" s="10"/>
      <c r="G9" s="10"/>
    </row>
    <row r="10" spans="1:9" s="1" customFormat="1" x14ac:dyDescent="0.25">
      <c r="A10" s="14">
        <v>1953</v>
      </c>
      <c r="B10" s="8">
        <f>12*17.961</f>
        <v>215.53199999999998</v>
      </c>
      <c r="C10" s="8">
        <v>47.539000000000001</v>
      </c>
      <c r="D10" s="8">
        <v>129.82300000000001</v>
      </c>
      <c r="E10" s="8">
        <v>24.427</v>
      </c>
      <c r="F10" s="8">
        <v>0.89</v>
      </c>
      <c r="G10" s="8">
        <v>1.1659999999999999</v>
      </c>
      <c r="I10" s="11">
        <f>prod!B10+import!B10-export!B10</f>
        <v>-215.53199999999998</v>
      </c>
    </row>
    <row r="11" spans="1:9" s="1" customFormat="1" x14ac:dyDescent="0.25">
      <c r="A11" s="14">
        <v>1954</v>
      </c>
      <c r="B11" s="8">
        <f>12*20.025</f>
        <v>240.29999999999998</v>
      </c>
      <c r="C11" s="8">
        <f>12*3.454</f>
        <v>41.448</v>
      </c>
      <c r="D11" s="8">
        <f>12*12.018</f>
        <v>144.21600000000001</v>
      </c>
      <c r="E11" s="8">
        <f>12*2.584</f>
        <v>31.008000000000003</v>
      </c>
      <c r="F11" s="10"/>
      <c r="G11" s="8">
        <f>12*0.146</f>
        <v>1.7519999999999998</v>
      </c>
      <c r="I11" s="11">
        <f>prod!B11+import!B11-export!B11</f>
        <v>-240.29999999999998</v>
      </c>
    </row>
    <row r="12" spans="1:9" s="1" customFormat="1" x14ac:dyDescent="0.25">
      <c r="A12" s="14">
        <v>1955</v>
      </c>
      <c r="B12" s="8">
        <f>12*27.272</f>
        <v>327.26400000000001</v>
      </c>
      <c r="C12" s="8">
        <f>12*4.237</f>
        <v>50.844000000000001</v>
      </c>
      <c r="D12" s="8">
        <f>12*15.289</f>
        <v>183.46799999999999</v>
      </c>
      <c r="E12" s="8">
        <f>12*3.438</f>
        <v>41.256</v>
      </c>
      <c r="F12" s="10"/>
      <c r="G12" s="8">
        <f>12*0.18</f>
        <v>2.16</v>
      </c>
      <c r="I12" s="11">
        <f>prod!B12+import!B12-export!B12</f>
        <v>-327.26400000000001</v>
      </c>
    </row>
    <row r="13" spans="1:9" s="1" customFormat="1" x14ac:dyDescent="0.25">
      <c r="A13" s="14">
        <v>1956</v>
      </c>
      <c r="B13" s="8">
        <f>12*28.632</f>
        <v>343.584</v>
      </c>
      <c r="C13" s="8">
        <f>12*4.232</f>
        <v>50.784000000000006</v>
      </c>
      <c r="D13" s="8">
        <f>12*17.902</f>
        <v>214.82400000000001</v>
      </c>
      <c r="E13" s="8">
        <f>12*3.324</f>
        <v>39.887999999999998</v>
      </c>
      <c r="F13" s="10"/>
      <c r="G13" s="8">
        <f>12*0.291</f>
        <v>3.492</v>
      </c>
      <c r="I13" s="11">
        <f>prod!B13+import!B13-export!B13</f>
        <v>-343.584</v>
      </c>
    </row>
    <row r="14" spans="1:9" s="1" customFormat="1" x14ac:dyDescent="0.25">
      <c r="A14" s="14">
        <v>1957</v>
      </c>
      <c r="B14" s="8">
        <f>12*24.209</f>
        <v>290.50799999999998</v>
      </c>
      <c r="C14" s="8">
        <f>12*4.028</f>
        <v>48.335999999999999</v>
      </c>
      <c r="D14" s="8">
        <f>12*14.816</f>
        <v>177.792</v>
      </c>
      <c r="E14" s="8">
        <f>12*3.621</f>
        <v>43.451999999999998</v>
      </c>
      <c r="F14" s="10"/>
      <c r="G14" s="8">
        <f>12*0.353</f>
        <v>4.2359999999999998</v>
      </c>
      <c r="I14" s="11">
        <f>prod!B14+import!B14-export!B14</f>
        <v>-290.50799999999998</v>
      </c>
    </row>
    <row r="15" spans="1:9" s="1" customFormat="1" x14ac:dyDescent="0.25">
      <c r="A15" s="14">
        <v>1958</v>
      </c>
      <c r="B15" s="8">
        <f>12*27.366</f>
        <v>328.392</v>
      </c>
      <c r="C15" s="8">
        <f>12*3.898</f>
        <v>46.776000000000003</v>
      </c>
      <c r="D15" s="8">
        <f>12*17.217</f>
        <v>206.60399999999998</v>
      </c>
      <c r="E15" s="8">
        <f>12*3.773</f>
        <v>45.276000000000003</v>
      </c>
      <c r="F15" s="8">
        <f>12*0.5638</f>
        <v>6.7655999999999992</v>
      </c>
      <c r="G15" s="8">
        <f>12*0.333</f>
        <v>3.9960000000000004</v>
      </c>
      <c r="H15" s="11"/>
      <c r="I15" s="11">
        <f>prod!B15+import!B15-export!B15</f>
        <v>-323.661</v>
      </c>
    </row>
    <row r="16" spans="1:9" s="1" customFormat="1" x14ac:dyDescent="0.25">
      <c r="A16" s="14">
        <v>1959</v>
      </c>
      <c r="B16" s="8">
        <f>12*35.975</f>
        <v>431.70000000000005</v>
      </c>
      <c r="C16" s="8">
        <f>12*5.948</f>
        <v>71.376000000000005</v>
      </c>
      <c r="D16" s="8">
        <f>12*22.512</f>
        <v>270.14400000000001</v>
      </c>
      <c r="E16" s="8">
        <f>12*4.155</f>
        <v>49.86</v>
      </c>
      <c r="F16" s="10"/>
      <c r="G16" s="8">
        <f>12*0.399</f>
        <v>4.7880000000000003</v>
      </c>
      <c r="H16" s="11"/>
      <c r="I16" s="11">
        <f>prod!B16+import!B16-export!B16</f>
        <v>-431.70000000000005</v>
      </c>
    </row>
    <row r="17" spans="1:9" s="1" customFormat="1" x14ac:dyDescent="0.25">
      <c r="A17" s="14">
        <v>1960</v>
      </c>
      <c r="B17" s="8">
        <f>12*38.486</f>
        <v>461.83199999999999</v>
      </c>
      <c r="C17" s="8">
        <f>12*6.717</f>
        <v>80.603999999999999</v>
      </c>
      <c r="D17" s="8">
        <f>12*24.272</f>
        <v>291.26400000000001</v>
      </c>
      <c r="E17" s="8">
        <f>12*4.369</f>
        <v>52.427999999999997</v>
      </c>
      <c r="F17" s="8">
        <f>12*1.09</f>
        <v>13.080000000000002</v>
      </c>
      <c r="G17" s="8">
        <f>12*0.543</f>
        <v>6.516</v>
      </c>
      <c r="H17" s="11"/>
      <c r="I17" s="11">
        <f>prod!B17+import!B17-export!B17</f>
        <v>252.06600000000003</v>
      </c>
    </row>
    <row r="18" spans="1:9" s="1" customFormat="1" x14ac:dyDescent="0.25">
      <c r="A18" s="14">
        <v>1961</v>
      </c>
      <c r="B18" s="8">
        <f>12*32.923</f>
        <v>395.07600000000002</v>
      </c>
      <c r="C18" s="8">
        <v>74</v>
      </c>
      <c r="D18" s="8">
        <v>238</v>
      </c>
      <c r="E18" s="8">
        <v>48</v>
      </c>
      <c r="F18" s="8">
        <v>17</v>
      </c>
      <c r="G18" s="8">
        <v>4</v>
      </c>
      <c r="H18" s="11"/>
      <c r="I18" s="11">
        <f>prod!B18+import!B18-export!B18</f>
        <v>193.85399999999993</v>
      </c>
    </row>
    <row r="19" spans="1:9" s="1" customFormat="1" x14ac:dyDescent="0.25">
      <c r="A19" s="14">
        <v>1962</v>
      </c>
      <c r="B19" s="8">
        <f>12*39.034</f>
        <v>468.40800000000002</v>
      </c>
      <c r="C19" s="8">
        <v>75</v>
      </c>
      <c r="D19" s="8">
        <v>295</v>
      </c>
      <c r="E19" s="8">
        <v>55</v>
      </c>
      <c r="F19" s="8">
        <v>20</v>
      </c>
      <c r="G19" s="8">
        <v>9</v>
      </c>
      <c r="H19" s="11"/>
      <c r="I19" s="11">
        <f>prod!B19+import!B19-export!B19</f>
        <v>269.80999999999995</v>
      </c>
    </row>
    <row r="20" spans="1:9" s="1" customFormat="1" x14ac:dyDescent="0.25">
      <c r="A20" s="14">
        <v>1963</v>
      </c>
      <c r="B20" s="8">
        <f>12*36.272</f>
        <v>435.26400000000001</v>
      </c>
      <c r="C20" s="8">
        <v>74</v>
      </c>
      <c r="D20" s="8">
        <v>254</v>
      </c>
      <c r="E20" s="8">
        <v>60</v>
      </c>
      <c r="F20" s="8">
        <v>21</v>
      </c>
      <c r="G20" s="8">
        <v>11</v>
      </c>
      <c r="H20" s="11"/>
      <c r="I20" s="11">
        <f>prod!B20+import!B20-export!B20</f>
        <v>214.85400000000004</v>
      </c>
    </row>
    <row r="21" spans="1:9" s="1" customFormat="1" x14ac:dyDescent="0.25">
      <c r="A21" s="14">
        <v>1964</v>
      </c>
      <c r="B21" s="8">
        <f>12*40.991</f>
        <v>491.892</v>
      </c>
      <c r="C21" s="8">
        <v>79</v>
      </c>
      <c r="D21" s="8">
        <v>289</v>
      </c>
      <c r="E21" s="8">
        <v>69</v>
      </c>
      <c r="F21" s="8">
        <v>25</v>
      </c>
      <c r="G21" s="8">
        <v>11</v>
      </c>
      <c r="H21" s="11"/>
      <c r="I21" s="11">
        <f>prod!B21+import!B21-export!B21</f>
        <v>277.46099999999996</v>
      </c>
    </row>
    <row r="22" spans="1:9" s="1" customFormat="1" x14ac:dyDescent="0.25">
      <c r="A22" s="14">
        <v>1965</v>
      </c>
      <c r="B22" s="8">
        <f>12*34.918</f>
        <v>419.01599999999996</v>
      </c>
      <c r="C22" s="8">
        <v>85</v>
      </c>
      <c r="D22" s="8">
        <v>199</v>
      </c>
      <c r="E22" s="8">
        <v>70</v>
      </c>
      <c r="F22" s="8">
        <v>34</v>
      </c>
      <c r="G22" s="8">
        <v>14</v>
      </c>
      <c r="H22" s="11"/>
      <c r="I22" s="11">
        <f>prod!B22+import!B22-export!B22</f>
        <v>211.70000000000005</v>
      </c>
    </row>
    <row r="23" spans="1:9" s="1" customFormat="1" x14ac:dyDescent="0.25">
      <c r="A23" s="14">
        <v>1966</v>
      </c>
      <c r="B23" s="4">
        <f>SUM(C23:G23)</f>
        <v>376</v>
      </c>
      <c r="C23" s="8">
        <v>76</v>
      </c>
      <c r="D23" s="8">
        <v>187</v>
      </c>
      <c r="E23" s="8">
        <v>65</v>
      </c>
      <c r="F23" s="8">
        <v>32</v>
      </c>
      <c r="G23" s="8">
        <v>16</v>
      </c>
      <c r="H23" s="11"/>
      <c r="I23" s="11">
        <f>prod!B23+import!B23-export!B23</f>
        <v>277.07000000000005</v>
      </c>
    </row>
    <row r="24" spans="1:9" s="1" customFormat="1" x14ac:dyDescent="0.25">
      <c r="A24" s="14">
        <v>1967</v>
      </c>
      <c r="B24" s="4">
        <f t="shared" ref="B24:B26" si="0">SUM(C24:G24)</f>
        <v>370</v>
      </c>
      <c r="C24" s="8">
        <v>72</v>
      </c>
      <c r="D24" s="8">
        <v>177</v>
      </c>
      <c r="E24" s="8">
        <v>66</v>
      </c>
      <c r="F24" s="8">
        <v>36</v>
      </c>
      <c r="G24" s="8">
        <v>19</v>
      </c>
      <c r="H24" s="11"/>
      <c r="I24" s="11">
        <f>prod!B24+import!B24-export!B24</f>
        <v>292.10299999999995</v>
      </c>
    </row>
    <row r="25" spans="1:9" s="1" customFormat="1" x14ac:dyDescent="0.25">
      <c r="A25" s="14">
        <v>1968</v>
      </c>
      <c r="B25" s="4">
        <f t="shared" si="0"/>
        <v>413</v>
      </c>
      <c r="C25" s="8">
        <v>79</v>
      </c>
      <c r="D25" s="8">
        <v>221</v>
      </c>
      <c r="E25" s="8">
        <v>55</v>
      </c>
      <c r="F25" s="8">
        <v>37</v>
      </c>
      <c r="G25" s="8">
        <v>21</v>
      </c>
      <c r="H25" s="11"/>
      <c r="I25" s="11">
        <f>prod!B25+import!B25-export!B25</f>
        <v>294.30100000000004</v>
      </c>
    </row>
    <row r="26" spans="1:9" s="1" customFormat="1" x14ac:dyDescent="0.25">
      <c r="A26" s="14">
        <v>1969</v>
      </c>
      <c r="B26" s="4">
        <f t="shared" si="0"/>
        <v>432</v>
      </c>
      <c r="C26" s="8">
        <v>79</v>
      </c>
      <c r="D26" s="8">
        <v>233</v>
      </c>
      <c r="E26" s="8">
        <v>57</v>
      </c>
      <c r="F26" s="8">
        <v>42</v>
      </c>
      <c r="G26" s="8">
        <v>21</v>
      </c>
      <c r="H26" s="11"/>
      <c r="I26" s="11">
        <f>prod!B26+import!B26-export!B26</f>
        <v>332.02200000000005</v>
      </c>
    </row>
    <row r="27" spans="1:9" s="1" customFormat="1" x14ac:dyDescent="0.25">
      <c r="A27" s="14">
        <v>1970</v>
      </c>
      <c r="B27" s="4">
        <f>479+92</f>
        <v>571</v>
      </c>
      <c r="C27" s="8">
        <v>150</v>
      </c>
      <c r="D27" s="8">
        <v>273</v>
      </c>
      <c r="E27" s="8">
        <v>56</v>
      </c>
      <c r="F27" s="8">
        <v>47</v>
      </c>
      <c r="G27" s="8">
        <v>25</v>
      </c>
      <c r="H27" s="11"/>
      <c r="I27" s="11">
        <f>prod!B27+import!B27-export!B27</f>
        <v>337</v>
      </c>
    </row>
    <row r="28" spans="1:9" s="1" customFormat="1" x14ac:dyDescent="0.25">
      <c r="A28" s="14">
        <v>1971</v>
      </c>
      <c r="B28" s="4">
        <f t="shared" ref="B28:B38" si="1">SUM(C28:G28)</f>
        <v>498</v>
      </c>
      <c r="C28" s="8">
        <v>161</v>
      </c>
      <c r="D28" s="8">
        <v>213</v>
      </c>
      <c r="E28" s="8">
        <v>51</v>
      </c>
      <c r="F28" s="8">
        <v>45</v>
      </c>
      <c r="G28" s="8">
        <v>28</v>
      </c>
      <c r="H28" s="11"/>
      <c r="I28" s="11">
        <f>prod!B28+import!B28-export!B28</f>
        <v>350.495</v>
      </c>
    </row>
    <row r="29" spans="1:9" s="1" customFormat="1" x14ac:dyDescent="0.25">
      <c r="A29" s="14">
        <v>1972</v>
      </c>
      <c r="B29" s="4">
        <f t="shared" si="1"/>
        <v>569</v>
      </c>
      <c r="C29" s="8">
        <v>192</v>
      </c>
      <c r="D29" s="8">
        <v>249</v>
      </c>
      <c r="E29" s="8">
        <v>57</v>
      </c>
      <c r="F29" s="8">
        <v>44</v>
      </c>
      <c r="G29" s="8">
        <v>27</v>
      </c>
      <c r="H29" s="11"/>
      <c r="I29" s="11">
        <f>prod!B29+import!B29-export!B29</f>
        <v>324.19100000000003</v>
      </c>
    </row>
    <row r="30" spans="1:9" s="1" customFormat="1" x14ac:dyDescent="0.25">
      <c r="A30" s="14">
        <v>1973</v>
      </c>
      <c r="B30" s="4">
        <f t="shared" si="1"/>
        <v>565</v>
      </c>
      <c r="C30" s="8">
        <v>176</v>
      </c>
      <c r="D30" s="8">
        <v>271</v>
      </c>
      <c r="E30" s="8">
        <v>53</v>
      </c>
      <c r="F30" s="8">
        <v>40</v>
      </c>
      <c r="G30" s="8">
        <v>25</v>
      </c>
      <c r="H30" s="11"/>
      <c r="I30" s="11">
        <f>prod!B30+import!B30-export!B30</f>
        <v>420.88099999999997</v>
      </c>
    </row>
    <row r="31" spans="1:9" s="1" customFormat="1" x14ac:dyDescent="0.25">
      <c r="A31" s="14">
        <v>1974</v>
      </c>
      <c r="B31" s="4">
        <f t="shared" si="1"/>
        <v>515</v>
      </c>
      <c r="C31" s="8">
        <v>149</v>
      </c>
      <c r="D31" s="8">
        <v>252</v>
      </c>
      <c r="E31" s="8">
        <v>56</v>
      </c>
      <c r="F31" s="8">
        <v>34</v>
      </c>
      <c r="G31" s="8">
        <v>24</v>
      </c>
      <c r="H31" s="11"/>
      <c r="I31" s="11">
        <f>prod!B31+import!B31-export!B31</f>
        <v>370.64599999999996</v>
      </c>
    </row>
    <row r="32" spans="1:9" s="1" customFormat="1" x14ac:dyDescent="0.25">
      <c r="A32" s="14">
        <v>1975</v>
      </c>
      <c r="B32" s="4">
        <f t="shared" si="1"/>
        <v>358</v>
      </c>
      <c r="C32" s="8">
        <v>134</v>
      </c>
      <c r="D32" s="8">
        <v>132</v>
      </c>
      <c r="E32" s="8">
        <v>38</v>
      </c>
      <c r="F32" s="8">
        <v>34</v>
      </c>
      <c r="G32" s="8">
        <v>20</v>
      </c>
      <c r="H32" s="11"/>
      <c r="I32" s="11">
        <f>prod!B32+import!B32-export!B32</f>
        <v>282.40999999999997</v>
      </c>
    </row>
    <row r="33" spans="1:9" s="1" customFormat="1" x14ac:dyDescent="0.25">
      <c r="A33" s="14">
        <v>1976</v>
      </c>
      <c r="B33" s="4">
        <f t="shared" si="1"/>
        <v>505</v>
      </c>
      <c r="C33" s="8">
        <v>264</v>
      </c>
      <c r="D33" s="8">
        <v>138</v>
      </c>
      <c r="E33" s="8">
        <v>44</v>
      </c>
      <c r="F33" s="8">
        <v>32</v>
      </c>
      <c r="G33" s="8">
        <v>27</v>
      </c>
      <c r="H33" s="11"/>
      <c r="I33" s="11">
        <f>prod!B33+import!B33-export!B33</f>
        <v>345.41399999999999</v>
      </c>
    </row>
    <row r="34" spans="1:9" s="1" customFormat="1" x14ac:dyDescent="0.25">
      <c r="A34" s="14">
        <v>1977</v>
      </c>
      <c r="B34" s="4">
        <f t="shared" si="1"/>
        <v>548</v>
      </c>
      <c r="C34" s="8">
        <v>347</v>
      </c>
      <c r="D34" s="8">
        <v>110</v>
      </c>
      <c r="E34" s="8">
        <v>39</v>
      </c>
      <c r="F34" s="8">
        <v>26</v>
      </c>
      <c r="G34" s="8">
        <v>26</v>
      </c>
      <c r="H34" s="11"/>
      <c r="I34" s="11">
        <f>prod!B34+import!B34-export!B34</f>
        <v>384.33699999999999</v>
      </c>
    </row>
    <row r="35" spans="1:9" s="1" customFormat="1" x14ac:dyDescent="0.25">
      <c r="A35" s="14">
        <v>1978</v>
      </c>
      <c r="B35" s="4">
        <f t="shared" si="1"/>
        <v>633</v>
      </c>
      <c r="C35" s="8">
        <v>423</v>
      </c>
      <c r="D35" s="8">
        <v>112</v>
      </c>
      <c r="E35" s="8">
        <v>37</v>
      </c>
      <c r="F35" s="8">
        <v>33</v>
      </c>
      <c r="G35" s="8">
        <v>28</v>
      </c>
      <c r="H35" s="11"/>
      <c r="I35" s="11">
        <f>prod!B35+import!B35-export!B35</f>
        <v>266.57899999999995</v>
      </c>
    </row>
    <row r="36" spans="1:9" s="1" customFormat="1" x14ac:dyDescent="0.25">
      <c r="A36" s="14">
        <v>1979</v>
      </c>
      <c r="B36" s="4">
        <f t="shared" si="1"/>
        <v>646</v>
      </c>
      <c r="C36" s="8">
        <v>449</v>
      </c>
      <c r="D36" s="8">
        <v>87</v>
      </c>
      <c r="E36" s="8">
        <v>41</v>
      </c>
      <c r="F36" s="8">
        <v>41</v>
      </c>
      <c r="G36" s="8">
        <v>28</v>
      </c>
      <c r="H36" s="11"/>
      <c r="I36" s="11">
        <f>prod!B36+import!B36-export!B36</f>
        <v>303.46900000000005</v>
      </c>
    </row>
    <row r="37" spans="1:9" s="1" customFormat="1" x14ac:dyDescent="0.25">
      <c r="A37" s="14">
        <v>1980</v>
      </c>
      <c r="B37" s="4">
        <f>SUM(C37:G37)</f>
        <v>657</v>
      </c>
      <c r="C37" s="8">
        <v>472</v>
      </c>
      <c r="D37" s="8">
        <v>55</v>
      </c>
      <c r="E37" s="8">
        <v>49</v>
      </c>
      <c r="F37" s="8">
        <v>54</v>
      </c>
      <c r="G37" s="8">
        <v>27</v>
      </c>
      <c r="H37" s="11"/>
      <c r="I37" s="11">
        <f>prod!B37+import!B37-export!B37</f>
        <v>327.35799999999995</v>
      </c>
    </row>
    <row r="38" spans="1:9" s="1" customFormat="1" x14ac:dyDescent="0.25">
      <c r="A38" s="14">
        <v>1981</v>
      </c>
      <c r="B38" s="4">
        <f t="shared" si="1"/>
        <v>586</v>
      </c>
      <c r="C38" s="8">
        <v>419</v>
      </c>
      <c r="D38" s="8">
        <v>54</v>
      </c>
      <c r="E38" s="8">
        <v>46</v>
      </c>
      <c r="F38" s="8">
        <v>39</v>
      </c>
      <c r="G38" s="8">
        <v>28</v>
      </c>
      <c r="H38" s="11"/>
      <c r="I38" s="11">
        <f>prod!B38+import!B38-export!B38</f>
        <v>243.85000000000002</v>
      </c>
    </row>
    <row r="39" spans="1:9" s="1" customFormat="1" x14ac:dyDescent="0.25">
      <c r="A39" s="14">
        <v>1982</v>
      </c>
      <c r="B39" s="4">
        <f>600+108</f>
        <v>708</v>
      </c>
      <c r="C39" s="8">
        <v>527</v>
      </c>
      <c r="D39" s="8">
        <v>36</v>
      </c>
      <c r="E39" s="8">
        <v>38</v>
      </c>
      <c r="F39" s="8">
        <v>29</v>
      </c>
      <c r="G39" s="8">
        <v>29</v>
      </c>
      <c r="H39" s="11"/>
      <c r="I39" s="11">
        <f>prod!B39+import!B39-export!B39</f>
        <v>173</v>
      </c>
    </row>
    <row r="40" spans="1:9" s="1" customFormat="1" x14ac:dyDescent="0.25">
      <c r="A40" s="14">
        <v>1983</v>
      </c>
      <c r="B40" s="4">
        <f>645+124</f>
        <v>769</v>
      </c>
      <c r="C40" s="8">
        <v>568</v>
      </c>
      <c r="D40" s="8">
        <v>39</v>
      </c>
      <c r="E40" s="8">
        <v>37</v>
      </c>
      <c r="F40" s="8">
        <v>25</v>
      </c>
      <c r="G40" s="8">
        <v>37</v>
      </c>
      <c r="H40" s="11"/>
      <c r="I40" s="11">
        <f>prod!B40+import!B40-export!B40</f>
        <v>92</v>
      </c>
    </row>
    <row r="41" spans="1:9" s="1" customFormat="1" x14ac:dyDescent="0.25">
      <c r="A41" s="14">
        <v>1984</v>
      </c>
      <c r="B41" s="4">
        <f>718+142</f>
        <v>860</v>
      </c>
      <c r="C41" s="8">
        <v>634</v>
      </c>
      <c r="D41" s="8">
        <v>39</v>
      </c>
      <c r="E41" s="8">
        <v>45</v>
      </c>
      <c r="F41" s="8">
        <v>24</v>
      </c>
      <c r="G41" s="8">
        <v>42</v>
      </c>
      <c r="H41" s="11"/>
      <c r="I41" s="11">
        <f>prod!B41+import!B41-export!B41</f>
        <v>116</v>
      </c>
    </row>
    <row r="42" spans="1:9" s="1" customFormat="1" x14ac:dyDescent="0.25">
      <c r="A42" s="14">
        <v>1985</v>
      </c>
      <c r="B42" s="4">
        <f>688+153</f>
        <v>841</v>
      </c>
      <c r="C42" s="8">
        <v>615</v>
      </c>
      <c r="D42" s="8">
        <v>33</v>
      </c>
      <c r="E42" s="8">
        <v>39</v>
      </c>
      <c r="F42" s="8">
        <v>27</v>
      </c>
      <c r="G42" s="8">
        <v>49</v>
      </c>
      <c r="H42" s="11"/>
      <c r="I42" s="11">
        <f>prod!B42+import!B42-export!B42</f>
        <v>112</v>
      </c>
    </row>
    <row r="43" spans="1:9" s="1" customFormat="1" x14ac:dyDescent="0.25">
      <c r="A43" s="14">
        <v>1986</v>
      </c>
      <c r="B43" s="4">
        <f>726+167</f>
        <v>893</v>
      </c>
      <c r="C43" s="8">
        <v>633</v>
      </c>
      <c r="D43" s="8">
        <v>46</v>
      </c>
      <c r="E43" s="8">
        <v>48</v>
      </c>
      <c r="F43" s="8">
        <v>28</v>
      </c>
      <c r="G43" s="8">
        <v>59</v>
      </c>
      <c r="H43" s="11"/>
      <c r="I43" s="11">
        <f>prod!B43+import!B43-export!B43</f>
        <v>92</v>
      </c>
    </row>
    <row r="44" spans="1:9" s="1" customFormat="1" x14ac:dyDescent="0.25">
      <c r="A44" s="14">
        <v>1987</v>
      </c>
      <c r="B44" s="4">
        <f t="shared" ref="B44:B50" si="2">SUM(C44:G44)</f>
        <v>876</v>
      </c>
      <c r="C44" s="8">
        <v>675</v>
      </c>
      <c r="D44" s="8">
        <v>41</v>
      </c>
      <c r="E44" s="8">
        <v>54</v>
      </c>
      <c r="F44" s="8">
        <v>32</v>
      </c>
      <c r="G44" s="8">
        <v>74</v>
      </c>
      <c r="H44" s="11"/>
      <c r="I44" s="11">
        <f>prod!B44+import!B44-export!B44</f>
        <v>200.95299999999997</v>
      </c>
    </row>
    <row r="45" spans="1:9" s="1" customFormat="1" x14ac:dyDescent="0.25">
      <c r="A45" s="14">
        <v>1988</v>
      </c>
      <c r="B45" s="4">
        <f t="shared" si="2"/>
        <v>888</v>
      </c>
      <c r="C45" s="8">
        <v>671</v>
      </c>
      <c r="D45" s="8">
        <v>27</v>
      </c>
      <c r="E45" s="8">
        <v>58</v>
      </c>
      <c r="F45" s="8">
        <v>37</v>
      </c>
      <c r="G45" s="8">
        <v>95</v>
      </c>
      <c r="H45" s="11"/>
      <c r="I45" s="11">
        <f>prod!B45+import!B45-export!B45</f>
        <v>251.90999999999985</v>
      </c>
    </row>
    <row r="46" spans="1:9" s="1" customFormat="1" x14ac:dyDescent="0.25">
      <c r="A46" s="14">
        <v>1989</v>
      </c>
      <c r="B46" s="4">
        <f t="shared" si="2"/>
        <v>1076</v>
      </c>
      <c r="C46" s="8">
        <v>850</v>
      </c>
      <c r="D46" s="8">
        <v>22</v>
      </c>
      <c r="E46" s="8">
        <v>61</v>
      </c>
      <c r="F46" s="8">
        <v>32</v>
      </c>
      <c r="G46" s="8">
        <v>111</v>
      </c>
      <c r="H46" s="11"/>
      <c r="I46" s="11">
        <f>prod!B46+import!B46-export!B46</f>
        <v>111.08500000000004</v>
      </c>
    </row>
    <row r="47" spans="1:9" s="1" customFormat="1" x14ac:dyDescent="0.25">
      <c r="A47" s="14">
        <v>1990</v>
      </c>
      <c r="B47" s="4">
        <f t="shared" si="2"/>
        <v>1091</v>
      </c>
      <c r="C47" s="8">
        <v>887</v>
      </c>
      <c r="D47" s="8">
        <v>12</v>
      </c>
      <c r="E47" s="8">
        <v>62</v>
      </c>
      <c r="F47" s="8">
        <v>30</v>
      </c>
      <c r="G47" s="8">
        <v>100</v>
      </c>
      <c r="H47" s="11"/>
      <c r="I47" s="11">
        <f>prod!B47+import!B47-export!B47</f>
        <v>231</v>
      </c>
    </row>
    <row r="48" spans="1:9" s="1" customFormat="1" x14ac:dyDescent="0.25">
      <c r="A48" s="14">
        <v>1991</v>
      </c>
      <c r="B48" s="4">
        <f t="shared" si="2"/>
        <v>957</v>
      </c>
      <c r="C48" s="8">
        <v>765</v>
      </c>
      <c r="D48" s="8">
        <v>5</v>
      </c>
      <c r="E48" s="8">
        <v>66</v>
      </c>
      <c r="F48" s="8">
        <v>28</v>
      </c>
      <c r="G48" s="8">
        <v>93</v>
      </c>
      <c r="H48" s="11"/>
      <c r="I48" s="11">
        <f>prod!B48+import!B48-export!B48</f>
        <v>143</v>
      </c>
    </row>
    <row r="49" spans="1:9" s="1" customFormat="1" x14ac:dyDescent="0.25">
      <c r="A49" s="14">
        <v>1992</v>
      </c>
      <c r="B49" s="4">
        <f t="shared" si="2"/>
        <v>981</v>
      </c>
      <c r="C49" s="8">
        <v>779</v>
      </c>
      <c r="D49" s="8">
        <v>7</v>
      </c>
      <c r="E49" s="8">
        <v>60</v>
      </c>
      <c r="F49" s="8">
        <v>26</v>
      </c>
      <c r="G49" s="8">
        <v>109</v>
      </c>
      <c r="H49" s="11"/>
      <c r="I49" s="11">
        <f>prod!B49+import!B49-export!B49</f>
        <v>253</v>
      </c>
    </row>
    <row r="50" spans="1:9" s="1" customFormat="1" x14ac:dyDescent="0.25">
      <c r="A50" s="14">
        <v>1993</v>
      </c>
      <c r="B50" s="4">
        <f t="shared" si="2"/>
        <v>1065</v>
      </c>
      <c r="C50" s="8">
        <v>866</v>
      </c>
      <c r="D50" s="8">
        <v>4</v>
      </c>
      <c r="E50" s="8">
        <v>58</v>
      </c>
      <c r="F50" s="8">
        <v>27</v>
      </c>
      <c r="G50" s="8">
        <v>110</v>
      </c>
      <c r="H50" s="11"/>
      <c r="I50" s="11">
        <f>prod!B50+import!B50-export!B50</f>
        <v>51</v>
      </c>
    </row>
    <row r="51" spans="1:9" s="1" customFormat="1" x14ac:dyDescent="0.25">
      <c r="A51" s="14">
        <v>1994</v>
      </c>
      <c r="B51" s="8"/>
      <c r="C51" s="10"/>
      <c r="D51" s="10"/>
      <c r="E51" s="10"/>
      <c r="F51" s="10"/>
      <c r="G51" s="10"/>
      <c r="I51" s="11"/>
    </row>
    <row r="52" spans="1:9" s="1" customFormat="1" x14ac:dyDescent="0.25">
      <c r="A52" s="14">
        <v>1995</v>
      </c>
      <c r="B52" s="8"/>
      <c r="C52" s="11"/>
      <c r="D52" s="10"/>
      <c r="E52" s="10"/>
      <c r="F52" s="10"/>
      <c r="G52" s="10"/>
      <c r="I52" s="11"/>
    </row>
    <row r="53" spans="1:9" s="1" customFormat="1" x14ac:dyDescent="0.25">
      <c r="A53" s="14">
        <v>1996</v>
      </c>
      <c r="B53" s="8">
        <v>1001.9805700000001</v>
      </c>
      <c r="C53" s="11"/>
      <c r="D53" s="10"/>
      <c r="E53" s="10"/>
      <c r="F53" s="10"/>
      <c r="G53" s="10"/>
      <c r="I53" s="11"/>
    </row>
    <row r="54" spans="1:9" s="1" customFormat="1" x14ac:dyDescent="0.25">
      <c r="A54" s="14">
        <v>1997</v>
      </c>
      <c r="B54" s="8">
        <v>905.90501374999997</v>
      </c>
      <c r="C54" s="11"/>
      <c r="D54" s="10"/>
      <c r="E54" s="10"/>
      <c r="F54" s="10"/>
      <c r="G54" s="10"/>
      <c r="I54" s="11"/>
    </row>
    <row r="55" spans="1:9" s="1" customFormat="1" x14ac:dyDescent="0.25">
      <c r="A55" s="14">
        <v>1998</v>
      </c>
      <c r="B55" s="8">
        <v>974.52436250000005</v>
      </c>
      <c r="C55" s="11"/>
      <c r="D55" s="10"/>
      <c r="E55" s="10"/>
      <c r="F55" s="10"/>
      <c r="G55" s="10"/>
      <c r="I55" s="11"/>
    </row>
    <row r="56" spans="1:9" s="1" customFormat="1" x14ac:dyDescent="0.25">
      <c r="A56" s="14">
        <v>1999</v>
      </c>
      <c r="B56" s="8">
        <v>820.31628624999996</v>
      </c>
      <c r="C56" s="11"/>
      <c r="D56" s="10"/>
      <c r="E56" s="10"/>
      <c r="F56" s="10"/>
      <c r="G56" s="10"/>
      <c r="I56" s="11"/>
    </row>
    <row r="57" spans="1:9" s="1" customFormat="1" x14ac:dyDescent="0.25">
      <c r="A57" s="14">
        <v>2000</v>
      </c>
      <c r="B57" s="8">
        <v>877.64043249999997</v>
      </c>
      <c r="C57" s="11"/>
      <c r="D57" s="10"/>
      <c r="E57" s="10"/>
      <c r="F57" s="10"/>
      <c r="G57" s="10"/>
      <c r="I57" s="11"/>
    </row>
    <row r="58" spans="1:9" s="1" customFormat="1" x14ac:dyDescent="0.25">
      <c r="A58" s="14">
        <v>2001</v>
      </c>
      <c r="B58" s="8">
        <v>866.15694500000006</v>
      </c>
      <c r="C58" s="11"/>
      <c r="D58" s="8"/>
      <c r="E58" s="8"/>
      <c r="F58" s="8"/>
      <c r="G58" s="8"/>
      <c r="I58" s="11"/>
    </row>
    <row r="59" spans="1:9" s="1" customFormat="1" x14ac:dyDescent="0.25">
      <c r="A59" s="14">
        <v>2002</v>
      </c>
      <c r="B59" s="8">
        <v>1123.6860987499999</v>
      </c>
      <c r="C59" s="11"/>
      <c r="D59" s="8"/>
      <c r="E59" s="8"/>
      <c r="F59" s="8"/>
      <c r="G59" s="8"/>
      <c r="I59" s="11"/>
    </row>
    <row r="60" spans="1:9" s="1" customFormat="1" x14ac:dyDescent="0.25">
      <c r="A60" s="14">
        <v>2003</v>
      </c>
      <c r="B60" s="8">
        <v>1035.6898874999999</v>
      </c>
      <c r="C60" s="11"/>
      <c r="D60" s="8"/>
      <c r="E60" s="8"/>
      <c r="F60" s="8"/>
      <c r="G60" s="8"/>
      <c r="I60" s="11"/>
    </row>
    <row r="61" spans="1:9" s="1" customFormat="1" x14ac:dyDescent="0.25">
      <c r="A61" s="14">
        <v>2004</v>
      </c>
      <c r="B61" s="8">
        <v>1041.0621912500001</v>
      </c>
      <c r="C61" s="11"/>
      <c r="D61" s="10"/>
      <c r="E61" s="10"/>
      <c r="F61" s="8">
        <v>34.1</v>
      </c>
      <c r="G61" s="10"/>
      <c r="H61" s="10"/>
      <c r="I61" s="11"/>
    </row>
    <row r="62" spans="1:9" s="1" customFormat="1" x14ac:dyDescent="0.25">
      <c r="A62" s="14">
        <v>2005</v>
      </c>
      <c r="B62" s="8">
        <v>1017.1818999999999</v>
      </c>
      <c r="C62" s="11"/>
      <c r="D62" s="10"/>
      <c r="E62" s="10"/>
      <c r="F62" s="8">
        <v>30.9</v>
      </c>
      <c r="G62" s="10"/>
      <c r="H62" s="10"/>
      <c r="I62" s="11"/>
    </row>
    <row r="63" spans="1:9" s="1" customFormat="1" x14ac:dyDescent="0.25">
      <c r="A63" s="14">
        <v>2006</v>
      </c>
      <c r="B63" s="8">
        <v>1042.5845850000003</v>
      </c>
      <c r="C63" s="11"/>
      <c r="D63" s="10"/>
      <c r="E63" s="10"/>
      <c r="F63" s="8"/>
      <c r="G63" s="10"/>
      <c r="H63" s="10"/>
      <c r="I63" s="11"/>
    </row>
    <row r="64" spans="1:9" s="1" customFormat="1" x14ac:dyDescent="0.25">
      <c r="A64" s="14">
        <v>2007</v>
      </c>
      <c r="B64" s="8">
        <v>1094.7087087500004</v>
      </c>
      <c r="C64" s="11"/>
      <c r="D64" s="10"/>
      <c r="E64" s="10"/>
      <c r="F64" s="8"/>
      <c r="G64" s="10"/>
      <c r="H64" s="10"/>
      <c r="I64" s="11"/>
    </row>
    <row r="65" spans="1:9" s="1" customFormat="1" x14ac:dyDescent="0.25">
      <c r="A65" s="14">
        <v>2008</v>
      </c>
      <c r="B65" s="8">
        <v>1083.00373375</v>
      </c>
      <c r="C65" s="11"/>
      <c r="D65" s="10"/>
      <c r="E65" s="10"/>
      <c r="F65" s="8"/>
      <c r="G65" s="10"/>
      <c r="H65" s="10"/>
      <c r="I65" s="11"/>
    </row>
    <row r="66" spans="1:9" s="1" customFormat="1" x14ac:dyDescent="0.25">
      <c r="A66" s="14">
        <v>2009</v>
      </c>
      <c r="B66" s="8">
        <v>813.35615250000012</v>
      </c>
      <c r="C66" s="11"/>
      <c r="D66" s="10"/>
      <c r="E66" s="10"/>
      <c r="F66" s="8"/>
      <c r="G66" s="10"/>
      <c r="H66" s="10"/>
      <c r="I66" s="11"/>
    </row>
    <row r="67" spans="1:9" s="1" customFormat="1" x14ac:dyDescent="0.25">
      <c r="A67" s="14">
        <v>2010</v>
      </c>
      <c r="B67" s="8">
        <v>912.00054875000001</v>
      </c>
      <c r="C67" s="11"/>
      <c r="D67" s="8"/>
      <c r="E67" s="8"/>
      <c r="F67" s="8"/>
      <c r="G67" s="8"/>
      <c r="H67" s="8"/>
      <c r="I67" s="11"/>
    </row>
    <row r="68" spans="1:9" s="1" customFormat="1" x14ac:dyDescent="0.25">
      <c r="A68" s="14">
        <v>2011</v>
      </c>
      <c r="B68" s="8">
        <v>959.89590125000018</v>
      </c>
      <c r="C68" s="11"/>
      <c r="D68" s="8"/>
      <c r="E68" s="8"/>
      <c r="F68" s="8"/>
      <c r="G68" s="8"/>
      <c r="H68" s="8"/>
      <c r="I68" s="11"/>
    </row>
    <row r="69" spans="1:9" s="1" customFormat="1" x14ac:dyDescent="0.25">
      <c r="A69" s="14">
        <v>2012</v>
      </c>
      <c r="B69" s="8">
        <v>780.67346000000009</v>
      </c>
      <c r="C69" s="11"/>
      <c r="D69" s="8"/>
      <c r="E69" s="8"/>
      <c r="F69" s="8"/>
      <c r="G69" s="8"/>
      <c r="I69" s="11"/>
    </row>
    <row r="70" spans="1:9" s="1" customFormat="1" x14ac:dyDescent="0.25">
      <c r="A70" s="14">
        <v>2013</v>
      </c>
      <c r="B70" s="8">
        <v>791.69499749999989</v>
      </c>
      <c r="C70" s="11"/>
      <c r="D70" s="8"/>
      <c r="E70" s="8"/>
      <c r="F70" s="8"/>
      <c r="G70" s="8"/>
      <c r="I70" s="11"/>
    </row>
    <row r="71" spans="1:9" s="1" customFormat="1" x14ac:dyDescent="0.25">
      <c r="A71" s="14">
        <v>2014</v>
      </c>
      <c r="B71" s="8">
        <v>634.72707749999995</v>
      </c>
      <c r="C71" s="11"/>
      <c r="D71" s="8"/>
      <c r="E71" s="8"/>
      <c r="F71" s="8"/>
      <c r="G71" s="8"/>
      <c r="I71" s="11"/>
    </row>
    <row r="72" spans="1:9" s="1" customFormat="1" x14ac:dyDescent="0.25">
      <c r="A72" s="14">
        <v>2015</v>
      </c>
      <c r="B72" s="8">
        <v>643.42857000000015</v>
      </c>
      <c r="C72" s="11"/>
      <c r="D72" s="8"/>
      <c r="E72" s="8"/>
      <c r="F72" s="8"/>
      <c r="G72" s="8"/>
      <c r="I72" s="11"/>
    </row>
    <row r="73" spans="1:9" s="1" customFormat="1" x14ac:dyDescent="0.25">
      <c r="A73" s="14">
        <v>2016</v>
      </c>
      <c r="B73" s="8">
        <v>499.78879875000001</v>
      </c>
      <c r="C73" s="11"/>
      <c r="D73" s="8"/>
      <c r="E73" s="8"/>
      <c r="F73" s="8"/>
      <c r="G73" s="8"/>
      <c r="I73" s="11"/>
    </row>
    <row r="74" spans="1:9" s="1" customFormat="1" x14ac:dyDescent="0.25">
      <c r="A74" s="14">
        <v>2017</v>
      </c>
      <c r="B74" s="8">
        <v>547.19474625000009</v>
      </c>
      <c r="C74" s="11"/>
      <c r="D74" s="8"/>
      <c r="E74" s="8"/>
      <c r="F74" s="8"/>
      <c r="G74" s="8"/>
      <c r="I74" s="11"/>
    </row>
    <row r="75" spans="1:9" s="1" customFormat="1" x14ac:dyDescent="0.25">
      <c r="A75" s="14">
        <v>2018</v>
      </c>
      <c r="B75" s="8">
        <v>547.75624375000007</v>
      </c>
      <c r="C75" s="11"/>
      <c r="D75" s="8"/>
      <c r="E75" s="8"/>
      <c r="F75" s="8"/>
      <c r="G75" s="8"/>
      <c r="I75" s="11"/>
    </row>
    <row r="76" spans="1:9" s="1" customFormat="1" x14ac:dyDescent="0.25">
      <c r="A76" s="14">
        <v>2019</v>
      </c>
      <c r="B76" s="8">
        <v>986.32601624999995</v>
      </c>
      <c r="C76" s="11"/>
      <c r="D76" s="8"/>
      <c r="E76" s="8"/>
      <c r="F76" s="39"/>
      <c r="G76" s="8"/>
      <c r="I76" s="11"/>
    </row>
    <row r="77" spans="1:9" s="1" customFormat="1" x14ac:dyDescent="0.25">
      <c r="A77" s="14">
        <v>2020</v>
      </c>
      <c r="B77" s="8"/>
      <c r="C77" s="11"/>
      <c r="D77" s="8"/>
      <c r="E77" s="8"/>
      <c r="F77" s="39"/>
      <c r="G77" s="8"/>
      <c r="I77" s="11"/>
    </row>
    <row r="78" spans="1:9" x14ac:dyDescent="0.25">
      <c r="A78" s="13"/>
      <c r="C78" s="6"/>
      <c r="F78" s="39"/>
    </row>
    <row r="79" spans="1:9" x14ac:dyDescent="0.25">
      <c r="A79" s="13"/>
      <c r="C79" s="6"/>
      <c r="F79" s="39"/>
    </row>
    <row r="80" spans="1:9" x14ac:dyDescent="0.25">
      <c r="A80" s="13"/>
      <c r="C80" s="6"/>
      <c r="F80" s="39"/>
    </row>
    <row r="81" spans="1:6" x14ac:dyDescent="0.25">
      <c r="A81" s="13"/>
      <c r="F81" s="39"/>
    </row>
    <row r="82" spans="1:6" x14ac:dyDescent="0.25">
      <c r="A82" s="13"/>
    </row>
    <row r="83" spans="1:6" x14ac:dyDescent="0.25">
      <c r="A83" s="13"/>
    </row>
    <row r="84" spans="1:6" x14ac:dyDescent="0.25">
      <c r="A84" s="13"/>
    </row>
    <row r="85" spans="1:6" x14ac:dyDescent="0.25">
      <c r="A85" s="13"/>
    </row>
    <row r="86" spans="1:6" x14ac:dyDescent="0.25">
      <c r="A86" s="13"/>
    </row>
    <row r="87" spans="1:6" x14ac:dyDescent="0.25">
      <c r="A87" s="13"/>
    </row>
    <row r="88" spans="1:6" x14ac:dyDescent="0.25">
      <c r="A88" s="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E8EE-FB5A-4022-9D38-134E9F868833}">
  <sheetPr codeName="Sheet3"/>
  <dimension ref="A1:I88"/>
  <sheetViews>
    <sheetView zoomScale="68" zoomScaleNormal="130" workbookViewId="0">
      <selection activeCell="B26" sqref="B26"/>
    </sheetView>
  </sheetViews>
  <sheetFormatPr defaultColWidth="13.5703125" defaultRowHeight="15" x14ac:dyDescent="0.25"/>
  <cols>
    <col min="1" max="1" width="7" style="2" customWidth="1"/>
    <col min="2" max="5" width="27.85546875" style="8" customWidth="1"/>
    <col min="6" max="6" width="27.85546875" style="6" customWidth="1"/>
    <col min="7" max="7" width="5" style="34" customWidth="1"/>
    <col min="8" max="9" width="36.42578125" style="6" customWidth="1"/>
    <col min="10" max="16384" width="13.5703125" style="6"/>
  </cols>
  <sheetData>
    <row r="1" spans="1:9" s="31" customFormat="1" ht="30" x14ac:dyDescent="0.25">
      <c r="A1" s="30" t="s">
        <v>1</v>
      </c>
      <c r="B1" s="25" t="s">
        <v>6</v>
      </c>
      <c r="C1" s="25" t="s">
        <v>19</v>
      </c>
      <c r="D1" s="25" t="s">
        <v>17</v>
      </c>
      <c r="E1" s="25" t="s">
        <v>18</v>
      </c>
      <c r="F1" s="25" t="s">
        <v>20</v>
      </c>
      <c r="G1" s="32"/>
      <c r="H1" s="25" t="s">
        <v>21</v>
      </c>
      <c r="I1" s="25" t="s">
        <v>22</v>
      </c>
    </row>
    <row r="2" spans="1:9" s="1" customFormat="1" x14ac:dyDescent="0.25">
      <c r="A2" s="2">
        <v>1945</v>
      </c>
      <c r="B2" s="9"/>
      <c r="C2" s="8"/>
      <c r="D2" s="8"/>
      <c r="E2" s="8"/>
      <c r="G2" s="33"/>
    </row>
    <row r="3" spans="1:9" s="1" customFormat="1" x14ac:dyDescent="0.25">
      <c r="A3" s="2">
        <v>1946</v>
      </c>
      <c r="B3" s="9"/>
      <c r="C3" s="8"/>
      <c r="D3" s="8"/>
      <c r="E3" s="8"/>
      <c r="G3" s="33"/>
    </row>
    <row r="4" spans="1:9" s="1" customFormat="1" x14ac:dyDescent="0.25">
      <c r="A4" s="2">
        <v>1947</v>
      </c>
      <c r="B4" s="9"/>
      <c r="C4" s="8"/>
      <c r="D4" s="8"/>
      <c r="E4" s="8"/>
      <c r="G4" s="33"/>
    </row>
    <row r="5" spans="1:9" s="1" customFormat="1" x14ac:dyDescent="0.25">
      <c r="A5" s="2">
        <v>1948</v>
      </c>
      <c r="B5" s="9"/>
      <c r="C5" s="8"/>
      <c r="D5" s="8"/>
      <c r="E5" s="8"/>
      <c r="G5" s="33"/>
    </row>
    <row r="6" spans="1:9" s="1" customFormat="1" x14ac:dyDescent="0.25">
      <c r="A6" s="2">
        <v>1949</v>
      </c>
      <c r="B6" s="9"/>
      <c r="C6" s="8"/>
      <c r="D6" s="8"/>
      <c r="E6" s="8"/>
      <c r="G6" s="33"/>
    </row>
    <row r="7" spans="1:9" s="1" customFormat="1" x14ac:dyDescent="0.25">
      <c r="A7" s="2">
        <v>1950</v>
      </c>
      <c r="B7" s="9"/>
      <c r="C7" s="8"/>
      <c r="D7" s="8"/>
      <c r="E7" s="8"/>
      <c r="G7" s="33"/>
    </row>
    <row r="8" spans="1:9" s="1" customFormat="1" x14ac:dyDescent="0.25">
      <c r="A8" s="2">
        <v>1951</v>
      </c>
      <c r="B8" s="9"/>
      <c r="C8" s="8"/>
      <c r="D8" s="8"/>
      <c r="E8" s="8"/>
      <c r="G8" s="33"/>
    </row>
    <row r="9" spans="1:9" s="1" customFormat="1" x14ac:dyDescent="0.25">
      <c r="A9" s="2">
        <v>1952</v>
      </c>
      <c r="B9" s="9"/>
      <c r="C9" s="8"/>
      <c r="D9" s="8"/>
      <c r="E9" s="8"/>
      <c r="G9" s="33"/>
    </row>
    <row r="10" spans="1:9" s="1" customFormat="1" x14ac:dyDescent="0.25">
      <c r="A10" s="2">
        <v>1953</v>
      </c>
      <c r="B10" s="9"/>
      <c r="C10" s="8"/>
      <c r="D10" s="8"/>
      <c r="E10" s="8"/>
      <c r="G10" s="33"/>
    </row>
    <row r="11" spans="1:9" s="1" customFormat="1" x14ac:dyDescent="0.25">
      <c r="A11" s="2">
        <v>1954</v>
      </c>
      <c r="B11" s="9"/>
      <c r="C11" s="8"/>
      <c r="D11" s="8"/>
      <c r="E11" s="8"/>
      <c r="G11" s="33"/>
    </row>
    <row r="12" spans="1:9" s="1" customFormat="1" x14ac:dyDescent="0.25">
      <c r="A12" s="2">
        <v>1955</v>
      </c>
      <c r="B12" s="9"/>
      <c r="C12" s="8"/>
      <c r="D12" s="8"/>
      <c r="E12" s="8"/>
      <c r="G12" s="33"/>
    </row>
    <row r="13" spans="1:9" s="1" customFormat="1" x14ac:dyDescent="0.25">
      <c r="A13" s="2">
        <v>1956</v>
      </c>
      <c r="B13" s="9"/>
      <c r="C13" s="8"/>
      <c r="D13" s="8"/>
      <c r="E13" s="8"/>
      <c r="G13" s="33"/>
    </row>
    <row r="14" spans="1:9" s="1" customFormat="1" x14ac:dyDescent="0.25">
      <c r="A14" s="2">
        <v>1957</v>
      </c>
      <c r="B14" s="9"/>
      <c r="C14" s="8"/>
      <c r="D14" s="8"/>
      <c r="E14" s="8"/>
      <c r="G14" s="33"/>
    </row>
    <row r="15" spans="1:9" s="1" customFormat="1" x14ac:dyDescent="0.25">
      <c r="A15" s="2">
        <v>1958</v>
      </c>
      <c r="B15" s="9"/>
      <c r="C15" s="8"/>
      <c r="D15" s="8"/>
      <c r="E15" s="8"/>
      <c r="G15" s="33"/>
    </row>
    <row r="16" spans="1:9" s="1" customFormat="1" x14ac:dyDescent="0.25">
      <c r="A16" s="2">
        <v>1959</v>
      </c>
      <c r="B16" s="9"/>
      <c r="C16" s="8"/>
      <c r="D16" s="8"/>
      <c r="E16" s="8"/>
      <c r="G16" s="33"/>
    </row>
    <row r="17" spans="1:9" s="1" customFormat="1" x14ac:dyDescent="0.25">
      <c r="A17" s="2">
        <v>1960</v>
      </c>
      <c r="B17" s="9"/>
      <c r="C17" s="8">
        <v>24642</v>
      </c>
      <c r="D17" s="8">
        <v>21895</v>
      </c>
      <c r="E17" s="8">
        <v>2747</v>
      </c>
      <c r="F17" s="1">
        <v>18</v>
      </c>
      <c r="G17" s="33"/>
      <c r="H17" s="1">
        <v>80.099999999999994</v>
      </c>
      <c r="I17" s="1">
        <v>146.80000000000001</v>
      </c>
    </row>
    <row r="18" spans="1:9" s="1" customFormat="1" x14ac:dyDescent="0.25">
      <c r="A18" s="2">
        <v>1961</v>
      </c>
      <c r="B18" s="9"/>
      <c r="C18" s="8">
        <v>24356</v>
      </c>
      <c r="D18" s="8">
        <v>21443</v>
      </c>
      <c r="E18" s="8">
        <v>2913</v>
      </c>
      <c r="F18" s="1">
        <v>15.9</v>
      </c>
      <c r="G18" s="33"/>
      <c r="H18" s="1">
        <v>85.3</v>
      </c>
      <c r="I18" s="1">
        <v>154.5</v>
      </c>
    </row>
    <row r="19" spans="1:9" s="1" customFormat="1" x14ac:dyDescent="0.25">
      <c r="A19" s="2">
        <v>1962</v>
      </c>
      <c r="B19" s="9"/>
      <c r="C19" s="8">
        <v>26245</v>
      </c>
      <c r="D19" s="8">
        <v>23258</v>
      </c>
      <c r="E19" s="8">
        <v>2987</v>
      </c>
      <c r="F19" s="1">
        <v>18</v>
      </c>
      <c r="G19" s="33"/>
      <c r="H19" s="1">
        <v>88</v>
      </c>
      <c r="I19" s="1">
        <v>160.30000000000001</v>
      </c>
    </row>
    <row r="20" spans="1:9" s="1" customFormat="1" x14ac:dyDescent="0.25">
      <c r="A20" s="2">
        <v>1963</v>
      </c>
      <c r="B20" s="9"/>
      <c r="C20" s="8">
        <v>25173</v>
      </c>
      <c r="D20" s="8">
        <v>22240</v>
      </c>
      <c r="E20" s="8">
        <v>2933</v>
      </c>
      <c r="F20" s="1">
        <v>17.600000000000001</v>
      </c>
      <c r="G20" s="33"/>
      <c r="H20" s="1">
        <v>97.3</v>
      </c>
      <c r="I20" s="1">
        <v>172.9</v>
      </c>
    </row>
    <row r="21" spans="1:9" s="1" customFormat="1" x14ac:dyDescent="0.25">
      <c r="A21" s="2">
        <v>1964</v>
      </c>
      <c r="B21" s="9"/>
      <c r="C21" s="8">
        <v>27328</v>
      </c>
      <c r="D21" s="8">
        <v>23451</v>
      </c>
      <c r="E21" s="8">
        <v>3877</v>
      </c>
      <c r="F21" s="1">
        <v>19.600000000000001</v>
      </c>
      <c r="G21" s="33"/>
      <c r="H21" s="1">
        <v>103</v>
      </c>
      <c r="I21" s="1">
        <v>179.1</v>
      </c>
    </row>
    <row r="22" spans="1:9" s="1" customFormat="1" x14ac:dyDescent="0.25">
      <c r="A22" s="2">
        <v>1965</v>
      </c>
      <c r="B22" s="9"/>
      <c r="C22" s="8">
        <v>27061</v>
      </c>
      <c r="D22" s="8">
        <v>22955</v>
      </c>
      <c r="E22" s="8">
        <v>4106</v>
      </c>
      <c r="F22" s="1">
        <v>18.100000000000001</v>
      </c>
      <c r="G22" s="33"/>
      <c r="H22" s="1">
        <v>107.1</v>
      </c>
      <c r="I22" s="1">
        <v>178.5</v>
      </c>
    </row>
    <row r="23" spans="1:9" s="1" customFormat="1" x14ac:dyDescent="0.25">
      <c r="A23" s="2">
        <v>1966</v>
      </c>
      <c r="B23" s="9"/>
      <c r="C23" s="8">
        <v>26031</v>
      </c>
      <c r="D23" s="8">
        <v>21824</v>
      </c>
      <c r="E23" s="8">
        <v>4207</v>
      </c>
      <c r="F23" s="1">
        <v>20</v>
      </c>
      <c r="G23" s="33"/>
      <c r="H23" s="1">
        <v>123.1</v>
      </c>
      <c r="I23" s="1">
        <v>200.8</v>
      </c>
    </row>
    <row r="24" spans="1:9" s="1" customFormat="1" x14ac:dyDescent="0.25">
      <c r="A24" s="2">
        <v>1967</v>
      </c>
      <c r="B24" s="9"/>
      <c r="C24" s="8">
        <v>25179</v>
      </c>
      <c r="D24" s="8">
        <v>20800</v>
      </c>
      <c r="E24" s="8">
        <v>4379</v>
      </c>
      <c r="F24" s="1">
        <v>21.4</v>
      </c>
      <c r="G24" s="33"/>
      <c r="H24" s="1">
        <v>136.6</v>
      </c>
      <c r="I24" s="1">
        <v>223.3</v>
      </c>
    </row>
    <row r="25" spans="1:9" s="1" customFormat="1" x14ac:dyDescent="0.25">
      <c r="A25" s="2">
        <v>1968</v>
      </c>
      <c r="B25" s="9"/>
      <c r="C25" s="8">
        <v>25791</v>
      </c>
      <c r="D25" s="8">
        <v>21212</v>
      </c>
      <c r="E25" s="8">
        <v>4579</v>
      </c>
      <c r="F25" s="1">
        <v>22.7</v>
      </c>
      <c r="G25" s="33"/>
      <c r="H25" s="1">
        <v>161.6</v>
      </c>
      <c r="I25" s="1">
        <v>261.10000000000002</v>
      </c>
    </row>
    <row r="26" spans="1:9" s="1" customFormat="1" x14ac:dyDescent="0.25">
      <c r="A26" s="2">
        <v>1969</v>
      </c>
      <c r="B26" s="9"/>
      <c r="C26" s="8">
        <v>26878</v>
      </c>
      <c r="D26" s="8">
        <v>22032</v>
      </c>
      <c r="E26" s="8">
        <v>4846</v>
      </c>
      <c r="F26" s="1">
        <v>24.3</v>
      </c>
      <c r="G26" s="33"/>
      <c r="H26" s="1">
        <v>176.6</v>
      </c>
      <c r="I26" s="1">
        <v>280.3</v>
      </c>
    </row>
    <row r="27" spans="1:9" s="1" customFormat="1" x14ac:dyDescent="0.25">
      <c r="A27" s="2">
        <v>1970</v>
      </c>
      <c r="B27" s="9"/>
      <c r="C27" s="8">
        <v>27103</v>
      </c>
      <c r="D27" s="8">
        <v>22032</v>
      </c>
      <c r="E27" s="8">
        <v>5071</v>
      </c>
      <c r="F27" s="1">
        <v>29</v>
      </c>
      <c r="G27" s="33"/>
      <c r="H27" s="1">
        <v>206.2</v>
      </c>
      <c r="I27" s="1">
        <v>317.89999999999998</v>
      </c>
    </row>
    <row r="28" spans="1:9" s="1" customFormat="1" x14ac:dyDescent="0.25">
      <c r="A28" s="2">
        <v>1971</v>
      </c>
      <c r="B28" s="9"/>
      <c r="C28" s="8">
        <v>38826</v>
      </c>
      <c r="D28" s="8">
        <v>33619</v>
      </c>
      <c r="E28" s="8">
        <v>5207</v>
      </c>
      <c r="F28" s="1">
        <v>31.1</v>
      </c>
      <c r="G28" s="33"/>
      <c r="H28" s="1">
        <v>251.5</v>
      </c>
      <c r="I28" s="1">
        <v>365.5</v>
      </c>
    </row>
    <row r="29" spans="1:9" s="1" customFormat="1" x14ac:dyDescent="0.25">
      <c r="A29" s="2">
        <v>1972</v>
      </c>
      <c r="B29" s="9"/>
      <c r="C29" s="8">
        <v>26641</v>
      </c>
      <c r="D29" s="8">
        <v>21458</v>
      </c>
      <c r="E29" s="8">
        <v>5183</v>
      </c>
      <c r="F29" s="1">
        <v>33.9</v>
      </c>
      <c r="G29" s="33"/>
      <c r="H29" s="1">
        <v>259.3</v>
      </c>
      <c r="I29" s="1">
        <v>376.4</v>
      </c>
    </row>
    <row r="30" spans="1:9" s="1" customFormat="1" x14ac:dyDescent="0.25">
      <c r="A30" s="2">
        <v>1973</v>
      </c>
      <c r="B30" s="9"/>
      <c r="C30" s="8">
        <v>25539</v>
      </c>
      <c r="D30" s="8">
        <v>20264</v>
      </c>
      <c r="E30" s="8">
        <v>5275</v>
      </c>
      <c r="F30" s="1">
        <v>38.9</v>
      </c>
      <c r="G30" s="33"/>
      <c r="H30" s="1">
        <v>300.8</v>
      </c>
      <c r="I30" s="1">
        <v>450.1</v>
      </c>
    </row>
    <row r="31" spans="1:9" s="1" customFormat="1" x14ac:dyDescent="0.25">
      <c r="A31" s="2">
        <v>1974</v>
      </c>
      <c r="B31" s="9"/>
      <c r="C31" s="8">
        <v>24737</v>
      </c>
      <c r="D31" s="8">
        <v>19707</v>
      </c>
      <c r="E31" s="8">
        <v>5030</v>
      </c>
      <c r="F31" s="1">
        <v>39.5</v>
      </c>
      <c r="G31" s="33"/>
      <c r="H31" s="1">
        <v>359.2</v>
      </c>
      <c r="I31" s="1">
        <v>487.8</v>
      </c>
    </row>
    <row r="32" spans="1:9" s="1" customFormat="1" x14ac:dyDescent="0.25">
      <c r="A32" s="2">
        <v>1975</v>
      </c>
      <c r="B32" s="9"/>
      <c r="C32" s="8">
        <v>24143</v>
      </c>
      <c r="D32" s="8">
        <v>19456</v>
      </c>
      <c r="E32" s="8">
        <v>4687</v>
      </c>
      <c r="F32" s="1">
        <v>39.799999999999997</v>
      </c>
      <c r="G32" s="33"/>
      <c r="H32" s="1">
        <v>374.9</v>
      </c>
      <c r="I32" s="1">
        <v>449</v>
      </c>
    </row>
    <row r="33" spans="1:9" s="1" customFormat="1" x14ac:dyDescent="0.25">
      <c r="A33" s="2">
        <v>1976</v>
      </c>
      <c r="B33" s="9"/>
      <c r="C33" s="8">
        <v>20552</v>
      </c>
      <c r="D33" s="8">
        <v>16136</v>
      </c>
      <c r="E33" s="8">
        <v>4416</v>
      </c>
      <c r="F33" s="1">
        <v>47</v>
      </c>
      <c r="G33" s="33"/>
      <c r="H33" s="1">
        <v>463.4</v>
      </c>
      <c r="I33" s="1">
        <v>589.70000000000005</v>
      </c>
    </row>
    <row r="34" spans="1:9" s="1" customFormat="1" x14ac:dyDescent="0.25">
      <c r="A34" s="2">
        <v>1977</v>
      </c>
      <c r="B34" s="9"/>
      <c r="C34" s="8">
        <v>20031</v>
      </c>
      <c r="D34" s="8">
        <v>15714</v>
      </c>
      <c r="E34" s="8">
        <v>4317</v>
      </c>
      <c r="F34" s="1">
        <v>51.7</v>
      </c>
      <c r="G34" s="33"/>
      <c r="H34" s="1">
        <v>607.6</v>
      </c>
      <c r="I34" s="1">
        <v>767.4</v>
      </c>
    </row>
    <row r="35" spans="1:9" s="1" customFormat="1" x14ac:dyDescent="0.25">
      <c r="A35" s="2">
        <v>1978</v>
      </c>
      <c r="B35" s="9"/>
      <c r="C35" s="8">
        <v>18214</v>
      </c>
      <c r="D35" s="8">
        <v>14128</v>
      </c>
      <c r="E35" s="8">
        <v>4086</v>
      </c>
      <c r="F35" s="1">
        <v>55.6</v>
      </c>
      <c r="G35" s="33"/>
      <c r="H35" s="1">
        <v>583.29999999999995</v>
      </c>
      <c r="I35" s="1">
        <v>718.2</v>
      </c>
    </row>
    <row r="36" spans="1:9" s="1" customFormat="1" x14ac:dyDescent="0.25">
      <c r="A36" s="2">
        <v>1979</v>
      </c>
      <c r="B36" s="9"/>
      <c r="C36" s="8">
        <v>17555</v>
      </c>
      <c r="D36" s="8">
        <v>13663</v>
      </c>
      <c r="E36" s="8">
        <v>3892</v>
      </c>
      <c r="F36" s="1">
        <v>60.2</v>
      </c>
      <c r="G36" s="33"/>
      <c r="H36" s="1">
        <v>643.79999999999995</v>
      </c>
      <c r="I36" s="1">
        <v>800.9</v>
      </c>
    </row>
    <row r="37" spans="1:9" s="1" customFormat="1" x14ac:dyDescent="0.25">
      <c r="A37" s="2">
        <v>1980</v>
      </c>
      <c r="B37" s="9"/>
      <c r="C37" s="8">
        <v>16899</v>
      </c>
      <c r="D37" s="8">
        <v>13047</v>
      </c>
      <c r="E37" s="8">
        <v>3852</v>
      </c>
      <c r="F37" s="1">
        <v>64.900000000000006</v>
      </c>
      <c r="G37" s="33"/>
      <c r="H37" s="1">
        <v>816.4</v>
      </c>
      <c r="I37" s="1">
        <v>1023.6</v>
      </c>
    </row>
    <row r="38" spans="1:9" s="1" customFormat="1" x14ac:dyDescent="0.25">
      <c r="A38" s="2">
        <v>1981</v>
      </c>
      <c r="B38" s="9"/>
      <c r="C38" s="8">
        <v>15956</v>
      </c>
      <c r="D38" s="8">
        <v>12329</v>
      </c>
      <c r="E38" s="8">
        <v>3627</v>
      </c>
      <c r="F38" s="1">
        <v>63.1</v>
      </c>
      <c r="G38" s="33"/>
      <c r="H38" s="1">
        <v>848.6</v>
      </c>
      <c r="I38" s="1">
        <v>1025.4000000000001</v>
      </c>
    </row>
    <row r="39" spans="1:9" s="1" customFormat="1" x14ac:dyDescent="0.25">
      <c r="A39" s="2">
        <v>1982</v>
      </c>
      <c r="B39" s="9"/>
      <c r="C39" s="8">
        <v>14892</v>
      </c>
      <c r="D39" s="8">
        <v>11527</v>
      </c>
      <c r="E39" s="8">
        <v>3365</v>
      </c>
      <c r="F39" s="1">
        <v>64.8</v>
      </c>
      <c r="G39" s="33"/>
      <c r="H39" s="1">
        <v>999.5</v>
      </c>
      <c r="I39" s="1">
        <v>1241.0999999999999</v>
      </c>
    </row>
    <row r="40" spans="1:9" s="1" customFormat="1" x14ac:dyDescent="0.25">
      <c r="A40" s="2">
        <v>1983</v>
      </c>
      <c r="B40" s="9"/>
      <c r="C40" s="8">
        <v>14531</v>
      </c>
      <c r="D40" s="8">
        <v>11224</v>
      </c>
      <c r="E40" s="8">
        <v>3307</v>
      </c>
      <c r="F40" s="1">
        <v>64.8</v>
      </c>
      <c r="G40" s="33"/>
      <c r="H40" s="1">
        <v>1055.3</v>
      </c>
      <c r="I40" s="1">
        <v>1332.7</v>
      </c>
    </row>
    <row r="41" spans="1:9" s="1" customFormat="1" x14ac:dyDescent="0.25">
      <c r="A41" s="2">
        <v>1984</v>
      </c>
      <c r="B41" s="9"/>
      <c r="C41" s="8">
        <v>14696</v>
      </c>
      <c r="D41" s="8">
        <v>11382</v>
      </c>
      <c r="E41" s="8">
        <v>3314</v>
      </c>
      <c r="F41" s="1">
        <v>74</v>
      </c>
      <c r="G41" s="33"/>
      <c r="H41" s="1">
        <v>1047.7</v>
      </c>
      <c r="I41" s="1">
        <v>1291.2</v>
      </c>
    </row>
    <row r="42" spans="1:9" s="1" customFormat="1" x14ac:dyDescent="0.25">
      <c r="A42" s="2">
        <v>1985</v>
      </c>
      <c r="B42" s="9"/>
      <c r="C42" s="8">
        <v>13229</v>
      </c>
      <c r="D42" s="8">
        <v>10183</v>
      </c>
      <c r="E42" s="8">
        <v>3046</v>
      </c>
      <c r="F42" s="1">
        <v>71.3</v>
      </c>
      <c r="G42" s="33"/>
      <c r="H42" s="1">
        <v>1254.2</v>
      </c>
      <c r="I42" s="1">
        <v>1539.3</v>
      </c>
    </row>
    <row r="43" spans="1:9" s="1" customFormat="1" x14ac:dyDescent="0.25">
      <c r="A43" s="2">
        <v>1986</v>
      </c>
      <c r="B43" s="9">
        <v>7041</v>
      </c>
      <c r="C43" s="8">
        <v>12369</v>
      </c>
      <c r="D43" s="8">
        <v>9507</v>
      </c>
      <c r="E43" s="8">
        <v>2862</v>
      </c>
      <c r="F43" s="1">
        <v>77.2</v>
      </c>
      <c r="G43" s="33"/>
      <c r="H43" s="1">
        <v>1409.9</v>
      </c>
      <c r="I43" s="1">
        <v>1741.9</v>
      </c>
    </row>
    <row r="44" spans="1:9" s="1" customFormat="1" x14ac:dyDescent="0.25">
      <c r="A44" s="2">
        <v>1987</v>
      </c>
      <c r="B44" s="9"/>
      <c r="C44" s="8">
        <v>13588</v>
      </c>
      <c r="D44" s="8">
        <v>9659</v>
      </c>
      <c r="E44" s="8">
        <v>3929</v>
      </c>
      <c r="F44" s="1">
        <v>79.900000000000006</v>
      </c>
      <c r="G44" s="33"/>
      <c r="H44" s="1">
        <v>1563.3</v>
      </c>
      <c r="I44" s="1">
        <v>1950.7</v>
      </c>
    </row>
    <row r="45" spans="1:9" s="1" customFormat="1" x14ac:dyDescent="0.25">
      <c r="A45" s="2">
        <v>1988</v>
      </c>
      <c r="B45" s="9"/>
      <c r="C45" s="8">
        <v>13036</v>
      </c>
      <c r="D45" s="8">
        <v>10002</v>
      </c>
      <c r="E45" s="8">
        <v>3034</v>
      </c>
      <c r="F45" s="1">
        <v>83</v>
      </c>
      <c r="G45" s="33"/>
      <c r="H45" s="1">
        <v>1587.1</v>
      </c>
      <c r="I45" s="1">
        <v>2006.8</v>
      </c>
    </row>
    <row r="46" spans="1:9" s="1" customFormat="1" x14ac:dyDescent="0.25">
      <c r="A46" s="2">
        <v>1989</v>
      </c>
      <c r="B46" s="9"/>
      <c r="C46" s="8">
        <v>13780</v>
      </c>
      <c r="D46" s="8">
        <v>10462</v>
      </c>
      <c r="E46" s="8">
        <v>3318</v>
      </c>
      <c r="F46" s="1">
        <v>83.5</v>
      </c>
      <c r="G46" s="33"/>
      <c r="H46" s="1">
        <v>1589.3</v>
      </c>
      <c r="I46" s="1">
        <v>1973.9</v>
      </c>
    </row>
    <row r="47" spans="1:9" s="1" customFormat="1" x14ac:dyDescent="0.25">
      <c r="A47" s="2">
        <v>1990</v>
      </c>
      <c r="B47" s="9"/>
      <c r="C47" s="8">
        <v>13963</v>
      </c>
      <c r="D47" s="8">
        <v>10561</v>
      </c>
      <c r="E47" s="8">
        <v>3402</v>
      </c>
      <c r="F47" s="1">
        <v>87.1</v>
      </c>
      <c r="G47" s="33"/>
      <c r="H47" s="1">
        <v>1513.3</v>
      </c>
      <c r="I47" s="1">
        <v>1854.9</v>
      </c>
    </row>
    <row r="48" spans="1:9" s="1" customFormat="1" x14ac:dyDescent="0.25">
      <c r="A48" s="2">
        <v>1991</v>
      </c>
      <c r="B48" s="9"/>
      <c r="C48" s="8">
        <v>13578</v>
      </c>
      <c r="D48" s="8">
        <v>10237</v>
      </c>
      <c r="E48" s="8">
        <v>3341</v>
      </c>
      <c r="F48" s="1">
        <v>77.3</v>
      </c>
      <c r="G48" s="33"/>
      <c r="H48" s="1">
        <v>1458.4</v>
      </c>
      <c r="I48" s="1">
        <v>1716</v>
      </c>
    </row>
    <row r="49" spans="1:9" s="1" customFormat="1" x14ac:dyDescent="0.25">
      <c r="A49" s="2">
        <v>1992</v>
      </c>
      <c r="B49" s="9"/>
      <c r="C49" s="8">
        <v>13647</v>
      </c>
      <c r="D49" s="8">
        <v>10296</v>
      </c>
      <c r="E49" s="8">
        <v>3351</v>
      </c>
      <c r="F49" s="1">
        <v>85.6</v>
      </c>
      <c r="G49" s="33"/>
      <c r="H49" s="1">
        <v>1440.9</v>
      </c>
      <c r="I49" s="1">
        <v>1714.7</v>
      </c>
    </row>
    <row r="50" spans="1:9" s="1" customFormat="1" x14ac:dyDescent="0.25">
      <c r="A50" s="2">
        <v>1993</v>
      </c>
      <c r="B50" s="9"/>
      <c r="C50" s="8">
        <v>13391</v>
      </c>
      <c r="D50" s="8">
        <v>10039</v>
      </c>
      <c r="E50" s="8">
        <v>3352</v>
      </c>
      <c r="G50" s="33"/>
    </row>
    <row r="51" spans="1:9" s="1" customFormat="1" x14ac:dyDescent="0.25">
      <c r="A51" s="2">
        <v>1994</v>
      </c>
      <c r="B51" s="9"/>
      <c r="C51" s="8"/>
      <c r="D51" s="8"/>
      <c r="E51" s="8"/>
      <c r="G51" s="33"/>
    </row>
    <row r="52" spans="1:9" s="1" customFormat="1" x14ac:dyDescent="0.25">
      <c r="A52" s="2">
        <v>1995</v>
      </c>
      <c r="B52" s="9"/>
      <c r="C52" s="8">
        <v>12064</v>
      </c>
      <c r="D52" s="8">
        <v>9567</v>
      </c>
      <c r="E52" s="8">
        <v>2497</v>
      </c>
      <c r="G52" s="33"/>
    </row>
    <row r="53" spans="1:9" s="1" customFormat="1" x14ac:dyDescent="0.25">
      <c r="A53" s="2">
        <v>1996</v>
      </c>
      <c r="B53" s="9"/>
      <c r="C53" s="8">
        <v>11985</v>
      </c>
      <c r="D53" s="8">
        <v>9481</v>
      </c>
      <c r="E53" s="8">
        <v>2504</v>
      </c>
      <c r="G53" s="33"/>
    </row>
    <row r="54" spans="1:9" s="1" customFormat="1" x14ac:dyDescent="0.25">
      <c r="A54" s="2">
        <v>1997</v>
      </c>
      <c r="B54" s="9"/>
      <c r="C54" s="8">
        <v>12128</v>
      </c>
      <c r="D54" s="8">
        <v>9588</v>
      </c>
      <c r="E54" s="8">
        <v>2540</v>
      </c>
      <c r="G54" s="33"/>
    </row>
    <row r="55" spans="1:9" s="1" customFormat="1" x14ac:dyDescent="0.25">
      <c r="A55" s="2">
        <v>1998</v>
      </c>
      <c r="B55" s="9"/>
      <c r="C55" s="8">
        <v>11943</v>
      </c>
      <c r="D55" s="8">
        <v>9382</v>
      </c>
      <c r="E55" s="8">
        <v>2561</v>
      </c>
      <c r="G55" s="33"/>
    </row>
    <row r="56" spans="1:9" s="1" customFormat="1" x14ac:dyDescent="0.25">
      <c r="A56" s="2">
        <v>1999</v>
      </c>
      <c r="B56" s="9"/>
      <c r="C56" s="8">
        <v>11145</v>
      </c>
      <c r="D56" s="8">
        <v>8718</v>
      </c>
      <c r="E56" s="8">
        <v>2427</v>
      </c>
      <c r="G56" s="33"/>
    </row>
    <row r="57" spans="1:9" s="1" customFormat="1" x14ac:dyDescent="0.25">
      <c r="A57" s="2">
        <v>2000</v>
      </c>
      <c r="B57" s="9"/>
      <c r="C57" s="8">
        <v>10982</v>
      </c>
      <c r="D57" s="8">
        <v>8482</v>
      </c>
      <c r="E57" s="8">
        <v>2500</v>
      </c>
      <c r="G57" s="33"/>
    </row>
    <row r="58" spans="1:9" s="1" customFormat="1" x14ac:dyDescent="0.25">
      <c r="A58" s="2">
        <v>2001</v>
      </c>
      <c r="B58" s="9"/>
      <c r="C58" s="8">
        <v>10867</v>
      </c>
      <c r="D58" s="8">
        <v>8349</v>
      </c>
      <c r="E58" s="8">
        <v>2518</v>
      </c>
      <c r="G58" s="33"/>
    </row>
    <row r="59" spans="1:9" s="1" customFormat="1" x14ac:dyDescent="0.25">
      <c r="A59" s="2">
        <v>2002</v>
      </c>
      <c r="B59" s="9"/>
      <c r="C59" s="8">
        <v>10492</v>
      </c>
      <c r="D59" s="8">
        <v>8039</v>
      </c>
      <c r="E59" s="8">
        <v>2453</v>
      </c>
      <c r="G59" s="33"/>
    </row>
    <row r="60" spans="1:9" s="1" customFormat="1" x14ac:dyDescent="0.25">
      <c r="A60" s="2">
        <v>2003</v>
      </c>
      <c r="B60" s="9"/>
      <c r="C60" s="8">
        <v>10564</v>
      </c>
      <c r="D60" s="8">
        <v>7737</v>
      </c>
      <c r="E60" s="8">
        <v>2827</v>
      </c>
      <c r="G60" s="33"/>
    </row>
    <row r="61" spans="1:9" s="1" customFormat="1" x14ac:dyDescent="0.25">
      <c r="A61" s="2">
        <v>2004</v>
      </c>
      <c r="B61" s="9"/>
      <c r="C61" s="8">
        <v>10176</v>
      </c>
      <c r="D61" s="8">
        <v>7426</v>
      </c>
      <c r="E61" s="8">
        <v>2750</v>
      </c>
      <c r="G61" s="33"/>
    </row>
    <row r="62" spans="1:9" s="1" customFormat="1" x14ac:dyDescent="0.25">
      <c r="A62" s="2">
        <v>2005</v>
      </c>
      <c r="B62" s="9"/>
      <c r="C62" s="8">
        <v>9647</v>
      </c>
      <c r="D62" s="8">
        <v>6950</v>
      </c>
      <c r="E62" s="8">
        <v>2697</v>
      </c>
      <c r="G62" s="33"/>
    </row>
    <row r="63" spans="1:9" s="1" customFormat="1" x14ac:dyDescent="0.25">
      <c r="A63" s="2">
        <v>2006</v>
      </c>
      <c r="B63" s="9"/>
      <c r="C63" s="8">
        <v>9190</v>
      </c>
      <c r="D63" s="8">
        <v>6683</v>
      </c>
      <c r="E63" s="8">
        <v>2507</v>
      </c>
      <c r="G63" s="33"/>
    </row>
    <row r="64" spans="1:9" s="1" customFormat="1" x14ac:dyDescent="0.25">
      <c r="A64" s="2">
        <v>2007</v>
      </c>
      <c r="B64" s="9"/>
      <c r="C64" s="8">
        <v>9209</v>
      </c>
      <c r="D64" s="8">
        <v>6737</v>
      </c>
      <c r="E64" s="8">
        <v>2472</v>
      </c>
      <c r="G64" s="33"/>
    </row>
    <row r="65" spans="1:7" s="1" customFormat="1" x14ac:dyDescent="0.25">
      <c r="A65" s="2">
        <v>2008</v>
      </c>
      <c r="B65" s="9"/>
      <c r="C65" s="8">
        <v>9257</v>
      </c>
      <c r="D65" s="8">
        <v>6673</v>
      </c>
      <c r="E65" s="8">
        <v>2584</v>
      </c>
      <c r="G65" s="33"/>
    </row>
    <row r="66" spans="1:7" s="1" customFormat="1" x14ac:dyDescent="0.25">
      <c r="A66" s="2">
        <v>2009</v>
      </c>
      <c r="B66" s="9"/>
      <c r="C66" s="8">
        <v>8957</v>
      </c>
      <c r="D66" s="8">
        <v>6358</v>
      </c>
      <c r="E66" s="8">
        <v>2599</v>
      </c>
      <c r="G66" s="33"/>
    </row>
    <row r="67" spans="1:7" s="1" customFormat="1" x14ac:dyDescent="0.25">
      <c r="A67" s="2">
        <v>2010</v>
      </c>
      <c r="B67" s="9"/>
      <c r="C67" s="8">
        <v>8627</v>
      </c>
      <c r="D67" s="8">
        <v>6115</v>
      </c>
      <c r="E67" s="8">
        <v>2512</v>
      </c>
      <c r="G67" s="33"/>
    </row>
    <row r="68" spans="1:7" s="1" customFormat="1" x14ac:dyDescent="0.25">
      <c r="A68" s="2">
        <v>2011</v>
      </c>
      <c r="B68" s="9"/>
      <c r="C68" s="8">
        <v>8635</v>
      </c>
      <c r="D68" s="8">
        <v>6065</v>
      </c>
      <c r="E68" s="8">
        <v>2570</v>
      </c>
      <c r="G68" s="33"/>
    </row>
    <row r="69" spans="1:7" s="1" customFormat="1" x14ac:dyDescent="0.25">
      <c r="A69" s="2">
        <v>2012</v>
      </c>
      <c r="B69" s="9"/>
      <c r="C69" s="8">
        <v>8344</v>
      </c>
      <c r="D69" s="8">
        <v>5798</v>
      </c>
      <c r="E69" s="8">
        <v>2546</v>
      </c>
      <c r="G69" s="33"/>
    </row>
    <row r="70" spans="1:7" s="1" customFormat="1" x14ac:dyDescent="0.25">
      <c r="A70" s="2">
        <v>2013</v>
      </c>
      <c r="B70" s="9"/>
      <c r="C70" s="8">
        <v>7921</v>
      </c>
      <c r="D70" s="8">
        <v>5470</v>
      </c>
      <c r="E70" s="8">
        <v>2451</v>
      </c>
      <c r="G70" s="33"/>
    </row>
    <row r="71" spans="1:7" s="1" customFormat="1" x14ac:dyDescent="0.25">
      <c r="A71" s="2">
        <v>2014</v>
      </c>
      <c r="B71" s="9"/>
      <c r="C71" s="8">
        <v>7317</v>
      </c>
      <c r="D71" s="8">
        <v>5061</v>
      </c>
      <c r="E71" s="8">
        <v>2256</v>
      </c>
      <c r="G71" s="33"/>
    </row>
    <row r="72" spans="1:7" s="1" customFormat="1" x14ac:dyDescent="0.25">
      <c r="A72" s="2">
        <v>2015</v>
      </c>
      <c r="B72" s="9"/>
      <c r="C72" s="8">
        <v>7485</v>
      </c>
      <c r="D72" s="8">
        <v>5122</v>
      </c>
      <c r="E72" s="8">
        <v>2363</v>
      </c>
      <c r="G72" s="33"/>
    </row>
    <row r="73" spans="1:7" s="1" customFormat="1" x14ac:dyDescent="0.25">
      <c r="A73" s="2">
        <v>2016</v>
      </c>
      <c r="B73" s="9"/>
      <c r="C73" s="8">
        <v>7525</v>
      </c>
      <c r="D73" s="8">
        <v>5165</v>
      </c>
      <c r="E73" s="8">
        <v>2360</v>
      </c>
      <c r="G73" s="33"/>
    </row>
    <row r="74" spans="1:7" s="1" customFormat="1" x14ac:dyDescent="0.25">
      <c r="A74" s="2">
        <v>2017</v>
      </c>
      <c r="B74" s="9"/>
      <c r="C74" s="8">
        <v>7452</v>
      </c>
      <c r="D74" s="8">
        <v>5097</v>
      </c>
      <c r="E74" s="8">
        <v>2355</v>
      </c>
      <c r="G74" s="33"/>
    </row>
    <row r="75" spans="1:7" s="1" customFormat="1" x14ac:dyDescent="0.25">
      <c r="A75" s="2">
        <v>2018</v>
      </c>
      <c r="B75" s="9"/>
      <c r="C75" s="8">
        <v>7464</v>
      </c>
      <c r="D75" s="8">
        <v>5060</v>
      </c>
      <c r="E75" s="8">
        <v>2404</v>
      </c>
      <c r="G75" s="33"/>
    </row>
    <row r="76" spans="1:7" s="1" customFormat="1" x14ac:dyDescent="0.25">
      <c r="A76" s="2">
        <v>2019</v>
      </c>
      <c r="B76" s="9"/>
      <c r="C76" s="8"/>
      <c r="D76" s="8"/>
      <c r="E76" s="8"/>
      <c r="G76" s="33"/>
    </row>
    <row r="77" spans="1:7" s="1" customFormat="1" x14ac:dyDescent="0.25">
      <c r="A77" s="2">
        <v>2020</v>
      </c>
      <c r="B77" s="9"/>
      <c r="C77" s="8"/>
      <c r="D77" s="8"/>
      <c r="E77" s="8"/>
      <c r="G77" s="33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9419-5A1C-4CD4-AD80-BF543ECE7F0F}">
  <sheetPr codeName="Sheet6"/>
  <dimension ref="A1:B77"/>
  <sheetViews>
    <sheetView zoomScale="69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8" sqref="D38"/>
    </sheetView>
  </sheetViews>
  <sheetFormatPr defaultColWidth="13.5703125" defaultRowHeight="15" x14ac:dyDescent="0.25"/>
  <cols>
    <col min="1" max="1" width="7" style="13" customWidth="1"/>
    <col min="2" max="2" width="26.28515625" style="13" customWidth="1"/>
    <col min="3" max="16384" width="13.5703125" style="6"/>
  </cols>
  <sheetData>
    <row r="1" spans="1:2" s="3" customFormat="1" x14ac:dyDescent="0.25">
      <c r="A1" s="26" t="s">
        <v>1</v>
      </c>
      <c r="B1" s="35" t="s">
        <v>7</v>
      </c>
    </row>
    <row r="2" spans="1:2" s="1" customFormat="1" x14ac:dyDescent="0.25">
      <c r="A2" s="14">
        <v>1945</v>
      </c>
      <c r="B2" s="13"/>
    </row>
    <row r="3" spans="1:2" s="1" customFormat="1" x14ac:dyDescent="0.25">
      <c r="A3" s="14">
        <v>1946</v>
      </c>
      <c r="B3" s="13"/>
    </row>
    <row r="4" spans="1:2" s="1" customFormat="1" x14ac:dyDescent="0.25">
      <c r="A4" s="14">
        <v>1947</v>
      </c>
      <c r="B4" s="13"/>
    </row>
    <row r="5" spans="1:2" s="1" customFormat="1" x14ac:dyDescent="0.25">
      <c r="A5" s="14">
        <v>1948</v>
      </c>
      <c r="B5" s="13"/>
    </row>
    <row r="6" spans="1:2" s="1" customFormat="1" x14ac:dyDescent="0.25">
      <c r="A6" s="14">
        <v>1949</v>
      </c>
      <c r="B6" s="13"/>
    </row>
    <row r="7" spans="1:2" s="1" customFormat="1" x14ac:dyDescent="0.25">
      <c r="A7" s="14">
        <v>1950</v>
      </c>
      <c r="B7" s="13"/>
    </row>
    <row r="8" spans="1:2" s="1" customFormat="1" x14ac:dyDescent="0.25">
      <c r="A8" s="14">
        <v>1951</v>
      </c>
      <c r="B8" s="13"/>
    </row>
    <row r="9" spans="1:2" s="1" customFormat="1" x14ac:dyDescent="0.25">
      <c r="A9" s="14">
        <v>1952</v>
      </c>
      <c r="B9" s="13"/>
    </row>
    <row r="10" spans="1:2" s="1" customFormat="1" x14ac:dyDescent="0.25">
      <c r="A10" s="14">
        <v>1953</v>
      </c>
      <c r="B10" s="13"/>
    </row>
    <row r="11" spans="1:2" s="1" customFormat="1" x14ac:dyDescent="0.25">
      <c r="A11" s="14">
        <v>1954</v>
      </c>
      <c r="B11" s="13"/>
    </row>
    <row r="12" spans="1:2" s="1" customFormat="1" x14ac:dyDescent="0.25">
      <c r="A12" s="14">
        <v>1955</v>
      </c>
      <c r="B12" s="13"/>
    </row>
    <row r="13" spans="1:2" s="1" customFormat="1" x14ac:dyDescent="0.25">
      <c r="A13" s="14">
        <v>1956</v>
      </c>
      <c r="B13" s="13"/>
    </row>
    <row r="14" spans="1:2" s="1" customFormat="1" x14ac:dyDescent="0.25">
      <c r="A14" s="14">
        <v>1957</v>
      </c>
      <c r="B14" s="13"/>
    </row>
    <row r="15" spans="1:2" s="1" customFormat="1" x14ac:dyDescent="0.25">
      <c r="A15" s="14">
        <v>1958</v>
      </c>
      <c r="B15" s="13"/>
    </row>
    <row r="16" spans="1:2" s="1" customFormat="1" x14ac:dyDescent="0.25">
      <c r="A16" s="14">
        <v>1959</v>
      </c>
      <c r="B16" s="13"/>
    </row>
    <row r="17" spans="1:2" s="1" customFormat="1" x14ac:dyDescent="0.25">
      <c r="A17" s="14">
        <v>1960</v>
      </c>
      <c r="B17" s="21">
        <v>0.86319999999999997</v>
      </c>
    </row>
    <row r="18" spans="1:2" s="1" customFormat="1" x14ac:dyDescent="0.25">
      <c r="A18" s="14">
        <v>1961</v>
      </c>
      <c r="B18" s="21">
        <v>0.83069999999999988</v>
      </c>
    </row>
    <row r="19" spans="1:2" s="1" customFormat="1" x14ac:dyDescent="0.25">
      <c r="A19" s="14">
        <v>1962</v>
      </c>
      <c r="B19" s="21">
        <v>0.8479000000000001</v>
      </c>
    </row>
    <row r="20" spans="1:2" s="1" customFormat="1" x14ac:dyDescent="0.25">
      <c r="A20" s="14">
        <v>1963</v>
      </c>
      <c r="B20" s="21">
        <v>0.81209999999999993</v>
      </c>
    </row>
    <row r="21" spans="1:2" s="1" customFormat="1" x14ac:dyDescent="0.25">
      <c r="A21" s="14">
        <v>1964</v>
      </c>
      <c r="B21" s="21">
        <v>0.80079999999999996</v>
      </c>
    </row>
    <row r="22" spans="1:2" s="1" customFormat="1" x14ac:dyDescent="0.25">
      <c r="A22" s="14">
        <v>1965</v>
      </c>
      <c r="B22" s="21">
        <v>0.74459999999999993</v>
      </c>
    </row>
    <row r="23" spans="1:2" s="1" customFormat="1" x14ac:dyDescent="0.25">
      <c r="A23" s="14">
        <v>1966</v>
      </c>
      <c r="B23" s="21">
        <v>0.73060000000000003</v>
      </c>
    </row>
    <row r="24" spans="1:2" s="1" customFormat="1" x14ac:dyDescent="0.25">
      <c r="A24" s="14">
        <v>1967</v>
      </c>
      <c r="B24" s="21">
        <v>0.72019999999999995</v>
      </c>
    </row>
    <row r="25" spans="1:2" s="1" customFormat="1" x14ac:dyDescent="0.25">
      <c r="A25" s="14">
        <v>1968</v>
      </c>
      <c r="B25" s="21">
        <v>0.71109999999999995</v>
      </c>
    </row>
    <row r="26" spans="1:2" s="1" customFormat="1" x14ac:dyDescent="0.25">
      <c r="A26" s="14">
        <v>1969</v>
      </c>
      <c r="B26" s="21">
        <v>0.70440000000000003</v>
      </c>
    </row>
    <row r="27" spans="1:2" s="1" customFormat="1" x14ac:dyDescent="0.25">
      <c r="A27" s="14">
        <v>1970</v>
      </c>
      <c r="B27" s="21">
        <v>0.7026</v>
      </c>
    </row>
    <row r="28" spans="1:2" s="1" customFormat="1" x14ac:dyDescent="0.25">
      <c r="A28" s="14">
        <v>1971</v>
      </c>
      <c r="B28" s="21">
        <v>0.67599999999999993</v>
      </c>
    </row>
    <row r="29" spans="1:2" s="1" customFormat="1" x14ac:dyDescent="0.25">
      <c r="A29" s="14">
        <v>1972</v>
      </c>
      <c r="B29" s="21">
        <v>0.67890000000000006</v>
      </c>
    </row>
    <row r="30" spans="1:2" s="1" customFormat="1" x14ac:dyDescent="0.25">
      <c r="A30" s="14">
        <v>1973</v>
      </c>
      <c r="B30" s="21">
        <v>0.67859999999999998</v>
      </c>
    </row>
    <row r="31" spans="1:2" s="1" customFormat="1" x14ac:dyDescent="0.25">
      <c r="A31" s="14">
        <v>1974</v>
      </c>
      <c r="B31" s="21">
        <v>0.63170000000000004</v>
      </c>
    </row>
    <row r="32" spans="1:2" s="1" customFormat="1" x14ac:dyDescent="0.25">
      <c r="A32" s="14">
        <v>1975</v>
      </c>
      <c r="B32" s="21">
        <v>0.57050000000000001</v>
      </c>
    </row>
    <row r="33" spans="1:2" s="1" customFormat="1" x14ac:dyDescent="0.25">
      <c r="A33" s="14">
        <v>1976</v>
      </c>
      <c r="B33" s="21">
        <v>0.62470000000000003</v>
      </c>
    </row>
    <row r="34" spans="1:2" s="1" customFormat="1" x14ac:dyDescent="0.25">
      <c r="A34" s="14">
        <v>1977</v>
      </c>
      <c r="B34" s="21">
        <v>0.6409999999999999</v>
      </c>
    </row>
    <row r="35" spans="1:2" s="1" customFormat="1" x14ac:dyDescent="0.25">
      <c r="A35" s="14">
        <v>1978</v>
      </c>
      <c r="B35" s="21">
        <v>0.65049999999999997</v>
      </c>
    </row>
    <row r="36" spans="1:2" s="1" customFormat="1" x14ac:dyDescent="0.25">
      <c r="A36" s="14">
        <v>1979</v>
      </c>
      <c r="B36" s="21">
        <v>0.63990000000000002</v>
      </c>
    </row>
    <row r="37" spans="1:2" s="1" customFormat="1" x14ac:dyDescent="0.25">
      <c r="A37" s="14">
        <v>1980</v>
      </c>
      <c r="B37" s="21">
        <v>0.62270000000000003</v>
      </c>
    </row>
    <row r="38" spans="1:2" s="1" customFormat="1" x14ac:dyDescent="0.25">
      <c r="A38" s="14">
        <v>1981</v>
      </c>
      <c r="B38" s="21">
        <v>0.58090000000000008</v>
      </c>
    </row>
    <row r="39" spans="1:2" s="1" customFormat="1" x14ac:dyDescent="0.25">
      <c r="A39" s="14">
        <v>1982</v>
      </c>
      <c r="B39" s="21">
        <v>0.59209999999999996</v>
      </c>
    </row>
    <row r="40" spans="1:2" s="1" customFormat="1" x14ac:dyDescent="0.25">
      <c r="A40" s="14">
        <v>1983</v>
      </c>
      <c r="B40" s="21">
        <v>0.59799999999999998</v>
      </c>
    </row>
    <row r="41" spans="1:2" s="1" customFormat="1" x14ac:dyDescent="0.25">
      <c r="A41" s="14">
        <v>1984</v>
      </c>
      <c r="B41" s="21">
        <v>0.62639999999999996</v>
      </c>
    </row>
    <row r="42" spans="1:2" s="1" customFormat="1" x14ac:dyDescent="0.25">
      <c r="A42" s="14">
        <v>1985</v>
      </c>
      <c r="B42" s="21">
        <v>0.69269999999999998</v>
      </c>
    </row>
    <row r="43" spans="1:2" s="1" customFormat="1" x14ac:dyDescent="0.25">
      <c r="A43" s="14">
        <v>1986</v>
      </c>
      <c r="B43" s="21">
        <v>0.69950000000000001</v>
      </c>
    </row>
    <row r="44" spans="1:2" s="1" customFormat="1" x14ac:dyDescent="0.25">
      <c r="A44" s="14">
        <v>1987</v>
      </c>
      <c r="B44" s="21">
        <v>0.7056</v>
      </c>
    </row>
    <row r="45" spans="1:2" s="1" customFormat="1" x14ac:dyDescent="0.25">
      <c r="A45" s="14">
        <v>1988</v>
      </c>
      <c r="B45" s="21">
        <v>0.6915</v>
      </c>
    </row>
    <row r="46" spans="1:2" s="1" customFormat="1" x14ac:dyDescent="0.25">
      <c r="A46" s="14">
        <v>1989</v>
      </c>
      <c r="B46" s="21">
        <v>0.69129999999999991</v>
      </c>
    </row>
    <row r="47" spans="1:2" s="1" customFormat="1" x14ac:dyDescent="0.25">
      <c r="A47" s="14">
        <v>1990</v>
      </c>
      <c r="B47" s="21">
        <v>0.66010000000000002</v>
      </c>
    </row>
    <row r="48" spans="1:2" s="1" customFormat="1" x14ac:dyDescent="0.25">
      <c r="A48" s="14">
        <v>1991</v>
      </c>
      <c r="B48" s="21">
        <v>0.63240000000000007</v>
      </c>
    </row>
    <row r="49" spans="1:2" s="1" customFormat="1" x14ac:dyDescent="0.25">
      <c r="A49" s="14">
        <v>1992</v>
      </c>
      <c r="B49" s="21">
        <v>0.62619999999999998</v>
      </c>
    </row>
    <row r="50" spans="1:2" s="1" customFormat="1" x14ac:dyDescent="0.25">
      <c r="A50" s="14">
        <v>1993</v>
      </c>
      <c r="B50" s="21">
        <v>0.60089999999999999</v>
      </c>
    </row>
    <row r="51" spans="1:2" s="1" customFormat="1" x14ac:dyDescent="0.25">
      <c r="A51" s="14">
        <v>1994</v>
      </c>
      <c r="B51" s="13"/>
    </row>
    <row r="52" spans="1:2" s="1" customFormat="1" x14ac:dyDescent="0.25">
      <c r="A52" s="14">
        <v>1995</v>
      </c>
      <c r="B52" s="13"/>
    </row>
    <row r="53" spans="1:2" s="1" customFormat="1" x14ac:dyDescent="0.25">
      <c r="A53" s="14">
        <v>1996</v>
      </c>
      <c r="B53" s="13"/>
    </row>
    <row r="54" spans="1:2" s="1" customFormat="1" x14ac:dyDescent="0.25">
      <c r="A54" s="14">
        <v>1997</v>
      </c>
      <c r="B54" s="13"/>
    </row>
    <row r="55" spans="1:2" s="1" customFormat="1" x14ac:dyDescent="0.25">
      <c r="A55" s="14">
        <v>1998</v>
      </c>
      <c r="B55" s="13"/>
    </row>
    <row r="56" spans="1:2" s="1" customFormat="1" x14ac:dyDescent="0.25">
      <c r="A56" s="14">
        <v>1999</v>
      </c>
      <c r="B56" s="13"/>
    </row>
    <row r="57" spans="1:2" s="1" customFormat="1" x14ac:dyDescent="0.25">
      <c r="A57" s="14">
        <v>2000</v>
      </c>
      <c r="B57" s="13"/>
    </row>
    <row r="58" spans="1:2" s="1" customFormat="1" x14ac:dyDescent="0.25">
      <c r="A58" s="14">
        <v>2001</v>
      </c>
      <c r="B58" s="13"/>
    </row>
    <row r="59" spans="1:2" s="1" customFormat="1" x14ac:dyDescent="0.25">
      <c r="A59" s="14">
        <v>2002</v>
      </c>
      <c r="B59" s="13"/>
    </row>
    <row r="60" spans="1:2" s="1" customFormat="1" x14ac:dyDescent="0.25">
      <c r="A60" s="14">
        <v>2003</v>
      </c>
      <c r="B60" s="13"/>
    </row>
    <row r="61" spans="1:2" s="1" customFormat="1" x14ac:dyDescent="0.25">
      <c r="A61" s="14">
        <v>2004</v>
      </c>
      <c r="B61" s="13"/>
    </row>
    <row r="62" spans="1:2" s="1" customFormat="1" x14ac:dyDescent="0.25">
      <c r="A62" s="14">
        <v>2005</v>
      </c>
      <c r="B62" s="13"/>
    </row>
    <row r="63" spans="1:2" s="1" customFormat="1" x14ac:dyDescent="0.25">
      <c r="A63" s="14">
        <v>2006</v>
      </c>
      <c r="B63" s="13"/>
    </row>
    <row r="64" spans="1:2" s="1" customFormat="1" x14ac:dyDescent="0.25">
      <c r="A64" s="14">
        <v>2007</v>
      </c>
      <c r="B64" s="13"/>
    </row>
    <row r="65" spans="1:2" s="1" customFormat="1" x14ac:dyDescent="0.25">
      <c r="A65" s="14">
        <v>2008</v>
      </c>
      <c r="B65" s="13"/>
    </row>
    <row r="66" spans="1:2" s="1" customFormat="1" x14ac:dyDescent="0.25">
      <c r="A66" s="14">
        <v>2009</v>
      </c>
      <c r="B66" s="13"/>
    </row>
    <row r="67" spans="1:2" s="1" customFormat="1" x14ac:dyDescent="0.25">
      <c r="A67" s="14">
        <v>2010</v>
      </c>
      <c r="B67" s="13"/>
    </row>
    <row r="68" spans="1:2" s="1" customFormat="1" x14ac:dyDescent="0.25">
      <c r="A68" s="14">
        <v>2011</v>
      </c>
      <c r="B68" s="13"/>
    </row>
    <row r="69" spans="1:2" s="1" customFormat="1" x14ac:dyDescent="0.25">
      <c r="A69" s="14">
        <v>2012</v>
      </c>
      <c r="B69" s="13"/>
    </row>
    <row r="70" spans="1:2" s="1" customFormat="1" x14ac:dyDescent="0.25">
      <c r="A70" s="14">
        <v>2013</v>
      </c>
      <c r="B70" s="13"/>
    </row>
    <row r="71" spans="1:2" s="1" customFormat="1" x14ac:dyDescent="0.25">
      <c r="A71" s="14">
        <v>2014</v>
      </c>
      <c r="B71" s="13"/>
    </row>
    <row r="72" spans="1:2" s="1" customFormat="1" x14ac:dyDescent="0.25">
      <c r="A72" s="14">
        <v>2015</v>
      </c>
      <c r="B72" s="13"/>
    </row>
    <row r="73" spans="1:2" s="1" customFormat="1" x14ac:dyDescent="0.25">
      <c r="A73" s="14">
        <v>2016</v>
      </c>
      <c r="B73" s="13"/>
    </row>
    <row r="74" spans="1:2" s="1" customFormat="1" x14ac:dyDescent="0.25">
      <c r="A74" s="14">
        <v>2017</v>
      </c>
      <c r="B74" s="13"/>
    </row>
    <row r="75" spans="1:2" s="1" customFormat="1" x14ac:dyDescent="0.25">
      <c r="A75" s="14">
        <v>2018</v>
      </c>
      <c r="B75" s="13"/>
    </row>
    <row r="76" spans="1:2" s="1" customFormat="1" x14ac:dyDescent="0.25">
      <c r="A76" s="14">
        <v>2019</v>
      </c>
      <c r="B76" s="13"/>
    </row>
    <row r="77" spans="1:2" s="1" customFormat="1" x14ac:dyDescent="0.25">
      <c r="A77" s="14">
        <v>2020</v>
      </c>
      <c r="B77" s="13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5236-EAB2-4730-99A2-A27740B1D666}">
  <sheetPr codeName="Sheet7"/>
  <dimension ref="A1:G88"/>
  <sheetViews>
    <sheetView zoomScale="93" zoomScaleNormal="13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ColWidth="13.5703125" defaultRowHeight="15" x14ac:dyDescent="0.25"/>
  <cols>
    <col min="1" max="1" width="7" style="2" customWidth="1"/>
    <col min="2" max="6" width="16.5703125" style="6" customWidth="1"/>
    <col min="7" max="16384" width="13.5703125" style="6"/>
  </cols>
  <sheetData>
    <row r="1" spans="1:7" s="3" customFormat="1" ht="30" x14ac:dyDescent="0.25">
      <c r="A1" s="24" t="s">
        <v>1</v>
      </c>
      <c r="B1" s="25" t="s">
        <v>8</v>
      </c>
      <c r="C1" s="25" t="s">
        <v>9</v>
      </c>
      <c r="D1" s="25" t="s">
        <v>10</v>
      </c>
      <c r="E1" s="25" t="s">
        <v>11</v>
      </c>
      <c r="F1" s="25" t="s">
        <v>12</v>
      </c>
      <c r="G1" s="36"/>
    </row>
    <row r="2" spans="1:7" s="1" customFormat="1" x14ac:dyDescent="0.25">
      <c r="A2" s="2">
        <v>1945</v>
      </c>
      <c r="F2" s="6"/>
      <c r="G2" s="6"/>
    </row>
    <row r="3" spans="1:7" s="1" customFormat="1" x14ac:dyDescent="0.25">
      <c r="A3" s="2">
        <v>1946</v>
      </c>
      <c r="F3" s="6"/>
      <c r="G3" s="6"/>
    </row>
    <row r="4" spans="1:7" s="1" customFormat="1" x14ac:dyDescent="0.25">
      <c r="A4" s="2">
        <v>1947</v>
      </c>
      <c r="F4" s="6"/>
      <c r="G4" s="6"/>
    </row>
    <row r="5" spans="1:7" s="1" customFormat="1" x14ac:dyDescent="0.25">
      <c r="A5" s="2">
        <v>1948</v>
      </c>
      <c r="F5" s="6"/>
      <c r="G5" s="6"/>
    </row>
    <row r="6" spans="1:7" s="1" customFormat="1" x14ac:dyDescent="0.25">
      <c r="A6" s="2">
        <v>1949</v>
      </c>
      <c r="F6" s="6"/>
      <c r="G6" s="6"/>
    </row>
    <row r="7" spans="1:7" s="1" customFormat="1" x14ac:dyDescent="0.25">
      <c r="A7" s="2">
        <v>1950</v>
      </c>
      <c r="F7" s="6"/>
      <c r="G7" s="6"/>
    </row>
    <row r="8" spans="1:7" s="1" customFormat="1" x14ac:dyDescent="0.25">
      <c r="A8" s="2">
        <v>1951</v>
      </c>
      <c r="F8" s="6"/>
      <c r="G8" s="6"/>
    </row>
    <row r="9" spans="1:7" s="1" customFormat="1" x14ac:dyDescent="0.25">
      <c r="A9" s="2">
        <v>1952</v>
      </c>
      <c r="F9" s="6"/>
      <c r="G9" s="6"/>
    </row>
    <row r="10" spans="1:7" s="1" customFormat="1" x14ac:dyDescent="0.25">
      <c r="A10" s="2">
        <v>1953</v>
      </c>
      <c r="F10" s="6"/>
      <c r="G10" s="6"/>
    </row>
    <row r="11" spans="1:7" s="1" customFormat="1" x14ac:dyDescent="0.25">
      <c r="A11" s="2">
        <v>1954</v>
      </c>
      <c r="F11" s="6"/>
      <c r="G11" s="6"/>
    </row>
    <row r="12" spans="1:7" s="1" customFormat="1" x14ac:dyDescent="0.25">
      <c r="A12" s="2">
        <v>1955</v>
      </c>
      <c r="F12" s="6"/>
      <c r="G12" s="6"/>
    </row>
    <row r="13" spans="1:7" s="1" customFormat="1" x14ac:dyDescent="0.25">
      <c r="A13" s="2">
        <v>1956</v>
      </c>
      <c r="F13" s="6"/>
      <c r="G13" s="6"/>
    </row>
    <row r="14" spans="1:7" s="1" customFormat="1" x14ac:dyDescent="0.25">
      <c r="A14" s="2">
        <v>1957</v>
      </c>
      <c r="F14" s="6"/>
      <c r="G14" s="6"/>
    </row>
    <row r="15" spans="1:7" s="1" customFormat="1" x14ac:dyDescent="0.25">
      <c r="A15" s="2">
        <v>1958</v>
      </c>
      <c r="F15" s="6"/>
      <c r="G15" s="6"/>
    </row>
    <row r="16" spans="1:7" s="1" customFormat="1" x14ac:dyDescent="0.25">
      <c r="A16" s="2">
        <v>1959</v>
      </c>
      <c r="F16" s="6"/>
      <c r="G16" s="6"/>
    </row>
    <row r="17" spans="1:7" s="1" customFormat="1" x14ac:dyDescent="0.25">
      <c r="A17" s="2">
        <v>1960</v>
      </c>
      <c r="B17" s="4">
        <v>491.95499999999998</v>
      </c>
      <c r="C17" s="4">
        <v>157.40899999999999</v>
      </c>
      <c r="D17" s="12">
        <v>137.93199999999999</v>
      </c>
      <c r="E17" s="11">
        <v>3842674</v>
      </c>
      <c r="F17" s="22">
        <f>277.778*E17/1000</f>
        <v>1067410.298372</v>
      </c>
      <c r="G17" s="6"/>
    </row>
    <row r="18" spans="1:7" s="1" customFormat="1" x14ac:dyDescent="0.25">
      <c r="A18" s="2">
        <v>1961</v>
      </c>
      <c r="B18" s="4">
        <v>448.18799999999999</v>
      </c>
      <c r="C18" s="4">
        <v>59.210999999999999</v>
      </c>
      <c r="D18" s="12">
        <v>121.089</v>
      </c>
      <c r="E18" s="11">
        <v>3703645</v>
      </c>
      <c r="F18" s="22">
        <f t="shared" ref="F18:F45" si="0">277.778*E18/1000</f>
        <v>1028791.1008100001</v>
      </c>
      <c r="G18" s="6"/>
    </row>
    <row r="19" spans="1:7" s="1" customFormat="1" x14ac:dyDescent="0.25">
      <c r="A19" s="2">
        <v>1962</v>
      </c>
      <c r="B19" s="4">
        <v>493.024</v>
      </c>
      <c r="C19" s="4">
        <v>46.26</v>
      </c>
      <c r="D19" s="12">
        <v>124.35599999999999</v>
      </c>
      <c r="E19" s="11">
        <v>2680110</v>
      </c>
      <c r="F19" s="22">
        <f t="shared" si="0"/>
        <v>744475.59558000008</v>
      </c>
      <c r="G19" s="6"/>
    </row>
    <row r="20" spans="1:7" s="1" customFormat="1" x14ac:dyDescent="0.25">
      <c r="A20" s="2">
        <v>1963</v>
      </c>
      <c r="B20" s="4">
        <v>454.98</v>
      </c>
      <c r="C20" s="4">
        <v>53.02</v>
      </c>
      <c r="D20" s="12">
        <v>126.72499999999999</v>
      </c>
      <c r="E20" s="11">
        <v>1757339</v>
      </c>
      <c r="F20" s="22">
        <f t="shared" si="0"/>
        <v>488150.11274200003</v>
      </c>
      <c r="G20" s="6"/>
    </row>
    <row r="21" spans="1:7" s="1" customFormat="1" x14ac:dyDescent="0.25">
      <c r="A21" s="2">
        <v>1964</v>
      </c>
      <c r="B21" s="4">
        <v>525.88199999999995</v>
      </c>
      <c r="C21" s="4">
        <v>162.88</v>
      </c>
      <c r="D21" s="12">
        <v>147.25299999999999</v>
      </c>
      <c r="E21" s="11">
        <v>1709712</v>
      </c>
      <c r="F21" s="22">
        <f t="shared" si="0"/>
        <v>474920.37993600004</v>
      </c>
      <c r="G21" s="6"/>
    </row>
    <row r="22" spans="1:7" s="1" customFormat="1" x14ac:dyDescent="0.25">
      <c r="A22" s="2">
        <v>1965</v>
      </c>
      <c r="B22" s="4">
        <v>479.899</v>
      </c>
      <c r="C22" s="4">
        <v>150.17400000000001</v>
      </c>
      <c r="D22" s="12">
        <v>136.13</v>
      </c>
      <c r="E22" s="11">
        <v>1747929</v>
      </c>
      <c r="F22" s="22">
        <f t="shared" si="0"/>
        <v>485536.221762</v>
      </c>
      <c r="G22" s="6"/>
    </row>
    <row r="23" spans="1:7" s="1" customFormat="1" x14ac:dyDescent="0.25">
      <c r="A23" s="2">
        <v>1966</v>
      </c>
      <c r="B23" s="4">
        <v>529.90800000000002</v>
      </c>
      <c r="C23" s="4">
        <v>151.767</v>
      </c>
      <c r="D23" s="12">
        <v>137.41399999999999</v>
      </c>
      <c r="E23" s="11">
        <v>1263750</v>
      </c>
      <c r="F23" s="22">
        <f t="shared" si="0"/>
        <v>351041.94750000001</v>
      </c>
      <c r="G23" s="6"/>
    </row>
    <row r="24" spans="1:7" s="1" customFormat="1" x14ac:dyDescent="0.25">
      <c r="A24" s="2">
        <v>1967</v>
      </c>
      <c r="B24" s="4">
        <v>511.10199999999998</v>
      </c>
      <c r="C24" s="4">
        <v>155.37200000000001</v>
      </c>
      <c r="D24" s="12">
        <v>140.22300000000001</v>
      </c>
      <c r="E24" s="11">
        <v>1761837</v>
      </c>
      <c r="F24" s="22">
        <f t="shared" si="0"/>
        <v>489399.55818600004</v>
      </c>
      <c r="G24" s="6"/>
    </row>
    <row r="25" spans="1:7" s="1" customFormat="1" x14ac:dyDescent="0.25">
      <c r="A25" s="2">
        <v>1968</v>
      </c>
      <c r="B25" s="4">
        <v>587.51800000000003</v>
      </c>
      <c r="C25" s="4">
        <v>168.27500000000001</v>
      </c>
      <c r="D25" s="12">
        <v>145.63999999999999</v>
      </c>
      <c r="E25" s="11">
        <v>2654686</v>
      </c>
      <c r="F25" s="22">
        <f t="shared" si="0"/>
        <v>737413.36770800012</v>
      </c>
      <c r="G25" s="6"/>
    </row>
    <row r="26" spans="1:7" s="1" customFormat="1" x14ac:dyDescent="0.25">
      <c r="A26" s="2">
        <v>1969</v>
      </c>
      <c r="B26" s="4">
        <v>662.08</v>
      </c>
      <c r="C26" s="4">
        <v>188.721</v>
      </c>
      <c r="D26" s="12">
        <v>167.67</v>
      </c>
      <c r="E26" s="11">
        <v>3858082</v>
      </c>
      <c r="F26" s="22">
        <f t="shared" si="0"/>
        <v>1071690.3017960002</v>
      </c>
      <c r="G26" s="6"/>
    </row>
    <row r="27" spans="1:7" s="1" customFormat="1" x14ac:dyDescent="0.25">
      <c r="A27" s="2">
        <v>1970</v>
      </c>
      <c r="B27" s="4">
        <v>729.71600000000001</v>
      </c>
      <c r="C27" s="4">
        <v>228.971</v>
      </c>
      <c r="D27" s="12">
        <v>201.374</v>
      </c>
      <c r="E27" s="11">
        <v>6386189</v>
      </c>
      <c r="F27" s="22">
        <f t="shared" si="0"/>
        <v>1773942.808042</v>
      </c>
      <c r="G27" s="6"/>
    </row>
    <row r="28" spans="1:7" s="1" customFormat="1" x14ac:dyDescent="0.25">
      <c r="A28" s="2">
        <v>1971</v>
      </c>
      <c r="B28" s="4">
        <v>695.95500000000004</v>
      </c>
      <c r="C28" s="4">
        <v>219.05099999999999</v>
      </c>
      <c r="D28" s="12">
        <v>194.56</v>
      </c>
      <c r="E28" s="11">
        <v>9819362</v>
      </c>
      <c r="F28" s="22">
        <f t="shared" si="0"/>
        <v>2727602.7376360004</v>
      </c>
      <c r="G28" s="6"/>
    </row>
    <row r="29" spans="1:7" s="1" customFormat="1" x14ac:dyDescent="0.25">
      <c r="A29" s="2">
        <v>1972</v>
      </c>
      <c r="B29" s="4">
        <v>730.59299999999996</v>
      </c>
      <c r="C29" s="4">
        <v>229.279</v>
      </c>
      <c r="D29" s="12">
        <v>209.02799999999999</v>
      </c>
      <c r="E29" s="11">
        <v>10301020</v>
      </c>
      <c r="F29" s="22">
        <f t="shared" si="0"/>
        <v>2861396.7335600005</v>
      </c>
      <c r="G29" s="6"/>
    </row>
    <row r="30" spans="1:7" s="1" customFormat="1" x14ac:dyDescent="0.25">
      <c r="A30" s="2">
        <v>1973</v>
      </c>
      <c r="B30" s="4">
        <v>812.47799999999995</v>
      </c>
      <c r="C30" s="4">
        <v>257.45100000000002</v>
      </c>
      <c r="D30" s="12">
        <v>232.57599999999999</v>
      </c>
      <c r="E30" s="11">
        <v>9989102</v>
      </c>
      <c r="F30" s="22">
        <f t="shared" si="0"/>
        <v>2774752.7753560003</v>
      </c>
      <c r="G30" s="6"/>
    </row>
    <row r="31" spans="1:7" s="1" customFormat="1" x14ac:dyDescent="0.25">
      <c r="A31" s="2">
        <v>1974</v>
      </c>
      <c r="B31" s="4">
        <v>799.78499999999997</v>
      </c>
      <c r="C31" s="4">
        <v>248.89699999999999</v>
      </c>
      <c r="D31" s="12">
        <v>231.63800000000001</v>
      </c>
      <c r="E31" s="11">
        <v>10552616</v>
      </c>
      <c r="F31" s="22">
        <f t="shared" si="0"/>
        <v>2931284.5672480003</v>
      </c>
      <c r="G31" s="6"/>
    </row>
    <row r="32" spans="1:7" s="1" customFormat="1" x14ac:dyDescent="0.25">
      <c r="A32" s="2">
        <v>1975</v>
      </c>
      <c r="B32" s="4">
        <v>630.36300000000006</v>
      </c>
      <c r="C32" s="4">
        <v>192.68600000000001</v>
      </c>
      <c r="D32" s="12">
        <v>183.06899999999999</v>
      </c>
      <c r="E32" s="11">
        <v>9634853</v>
      </c>
      <c r="F32" s="22">
        <f t="shared" si="0"/>
        <v>2676350.1966340002</v>
      </c>
      <c r="G32" s="6"/>
    </row>
    <row r="33" spans="1:7" s="1" customFormat="1" x14ac:dyDescent="0.25">
      <c r="A33" s="2">
        <v>1976</v>
      </c>
      <c r="B33" s="4">
        <v>771.84900000000005</v>
      </c>
      <c r="C33" s="4">
        <v>246.41200000000001</v>
      </c>
      <c r="D33" s="12">
        <v>224.97499999999999</v>
      </c>
      <c r="E33" s="11">
        <v>10636034</v>
      </c>
      <c r="F33" s="22">
        <f t="shared" si="0"/>
        <v>2954456.252452</v>
      </c>
      <c r="G33" s="6"/>
    </row>
    <row r="34" spans="1:7" s="1" customFormat="1" x14ac:dyDescent="0.25">
      <c r="A34" s="2">
        <v>1977</v>
      </c>
      <c r="B34" s="4">
        <v>832.98800000000006</v>
      </c>
      <c r="C34" s="4">
        <v>266.55</v>
      </c>
      <c r="D34" s="12">
        <v>243.34299999999999</v>
      </c>
      <c r="E34" s="11">
        <v>10264112</v>
      </c>
      <c r="F34" s="22">
        <f t="shared" si="0"/>
        <v>2851144.5031360001</v>
      </c>
      <c r="G34" s="6"/>
    </row>
    <row r="35" spans="1:7" s="1" customFormat="1" x14ac:dyDescent="0.25">
      <c r="A35" s="2">
        <v>1978</v>
      </c>
      <c r="B35" s="4">
        <v>790.53</v>
      </c>
      <c r="C35" s="4">
        <v>266.73</v>
      </c>
      <c r="D35" s="12">
        <v>233.417</v>
      </c>
      <c r="E35" s="11">
        <v>9306028</v>
      </c>
      <c r="F35" s="22">
        <f t="shared" si="0"/>
        <v>2585009.8457840006</v>
      </c>
      <c r="G35" s="6"/>
    </row>
    <row r="36" spans="1:7" s="1" customFormat="1" x14ac:dyDescent="0.25">
      <c r="A36" s="2">
        <v>1979</v>
      </c>
      <c r="B36" s="4">
        <v>829.596</v>
      </c>
      <c r="C36" s="4">
        <v>282.709</v>
      </c>
      <c r="D36" s="12">
        <v>244.49700000000001</v>
      </c>
      <c r="E36" s="11">
        <v>10316843</v>
      </c>
      <c r="F36" s="22">
        <f t="shared" si="0"/>
        <v>2865792.0148539999</v>
      </c>
      <c r="G36" s="6"/>
    </row>
    <row r="37" spans="1:7" s="1" customFormat="1" x14ac:dyDescent="0.25">
      <c r="A37" s="2">
        <v>1980</v>
      </c>
      <c r="B37" s="4">
        <v>866.76300000000003</v>
      </c>
      <c r="C37" s="4">
        <v>294.52300000000002</v>
      </c>
      <c r="D37" s="12">
        <v>260.84500000000003</v>
      </c>
      <c r="E37" s="11">
        <v>10524799</v>
      </c>
      <c r="F37" s="22">
        <f t="shared" si="0"/>
        <v>2923557.616622</v>
      </c>
      <c r="G37" s="6"/>
    </row>
    <row r="38" spans="1:7" s="1" customFormat="1" x14ac:dyDescent="0.25">
      <c r="A38" s="2">
        <v>1981</v>
      </c>
      <c r="B38" s="4">
        <v>795.08799999999997</v>
      </c>
      <c r="C38" s="4">
        <v>260.51100000000002</v>
      </c>
      <c r="D38" s="12">
        <v>235.75700000000001</v>
      </c>
      <c r="E38" s="11">
        <v>9737794</v>
      </c>
      <c r="F38" s="22">
        <f t="shared" si="0"/>
        <v>2704944.9417320006</v>
      </c>
      <c r="G38" s="6"/>
    </row>
    <row r="39" spans="1:7" s="1" customFormat="1" x14ac:dyDescent="0.25">
      <c r="A39" s="2">
        <v>1982</v>
      </c>
      <c r="B39" s="4">
        <v>773.096</v>
      </c>
      <c r="C39" s="4">
        <v>254.77799999999999</v>
      </c>
      <c r="D39" s="12">
        <v>235.20400000000001</v>
      </c>
      <c r="E39" s="11">
        <v>7904310</v>
      </c>
      <c r="F39" s="22">
        <f t="shared" si="0"/>
        <v>2195643.4231800004</v>
      </c>
      <c r="G39" s="6"/>
    </row>
    <row r="40" spans="1:7" s="1" customFormat="1" x14ac:dyDescent="0.25">
      <c r="A40" s="2">
        <v>1983</v>
      </c>
      <c r="B40" s="4">
        <v>769.07600000000002</v>
      </c>
      <c r="C40" s="4">
        <v>249.107</v>
      </c>
      <c r="D40" s="12">
        <v>223.11500000000001</v>
      </c>
      <c r="E40" s="11">
        <v>8145378</v>
      </c>
      <c r="F40" s="22">
        <f t="shared" si="0"/>
        <v>2262606.8100840002</v>
      </c>
      <c r="G40" s="6"/>
    </row>
    <row r="41" spans="1:7" s="1" customFormat="1" x14ac:dyDescent="0.25">
      <c r="A41" s="2">
        <v>1984</v>
      </c>
      <c r="B41" s="4">
        <v>880.33100000000002</v>
      </c>
      <c r="C41" s="4">
        <v>283.505</v>
      </c>
      <c r="D41" s="12">
        <v>255.93100000000001</v>
      </c>
      <c r="E41" s="11">
        <v>8892189</v>
      </c>
      <c r="F41" s="22">
        <f t="shared" si="0"/>
        <v>2470054.4760420001</v>
      </c>
      <c r="G41" s="6"/>
    </row>
    <row r="42" spans="1:7" s="1" customFormat="1" x14ac:dyDescent="0.25">
      <c r="A42" s="2">
        <v>1985</v>
      </c>
      <c r="B42" s="4">
        <v>755.06799999999998</v>
      </c>
      <c r="C42" s="4">
        <v>230.93299999999999</v>
      </c>
      <c r="D42" s="12">
        <v>228.25899999999999</v>
      </c>
      <c r="E42" s="11">
        <v>8865967</v>
      </c>
      <c r="F42" s="22">
        <f t="shared" si="0"/>
        <v>2462770.5813260004</v>
      </c>
      <c r="G42" s="6"/>
    </row>
    <row r="43" spans="1:7" s="1" customFormat="1" x14ac:dyDescent="0.25">
      <c r="A43" s="2">
        <v>1986</v>
      </c>
      <c r="B43" s="4">
        <v>794.34699999999998</v>
      </c>
      <c r="C43" s="4">
        <v>241.274</v>
      </c>
      <c r="D43" s="12">
        <v>238.01900000000001</v>
      </c>
      <c r="E43" s="11">
        <v>8283377</v>
      </c>
      <c r="F43" s="22">
        <f t="shared" si="0"/>
        <v>2300939.8963060002</v>
      </c>
      <c r="G43" s="6"/>
    </row>
    <row r="44" spans="1:7" s="1" customFormat="1" x14ac:dyDescent="0.25">
      <c r="A44" s="2">
        <v>1987</v>
      </c>
      <c r="B44" s="4">
        <v>825.22199999999998</v>
      </c>
      <c r="C44" s="4">
        <v>257.97800000000001</v>
      </c>
      <c r="D44" s="12">
        <v>246.96299999999999</v>
      </c>
      <c r="E44" s="11">
        <v>7851962</v>
      </c>
      <c r="F44" s="22">
        <f t="shared" si="0"/>
        <v>2181102.3004360003</v>
      </c>
      <c r="G44" s="6"/>
    </row>
    <row r="45" spans="1:7" s="1" customFormat="1" x14ac:dyDescent="0.25">
      <c r="A45" s="2">
        <v>1988</v>
      </c>
      <c r="B45" s="4">
        <v>928.11199999999997</v>
      </c>
      <c r="C45" s="4">
        <v>327.19499999999999</v>
      </c>
      <c r="D45" s="12">
        <v>278.69400000000002</v>
      </c>
      <c r="E45" s="11">
        <v>8516088</v>
      </c>
      <c r="F45" s="22">
        <f t="shared" si="0"/>
        <v>2365581.8924640003</v>
      </c>
      <c r="G45" s="6"/>
    </row>
    <row r="46" spans="1:7" s="1" customFormat="1" x14ac:dyDescent="0.25">
      <c r="A46" s="2">
        <v>1989</v>
      </c>
      <c r="F46" s="6"/>
      <c r="G46" s="6"/>
    </row>
    <row r="47" spans="1:7" s="1" customFormat="1" x14ac:dyDescent="0.25">
      <c r="A47" s="2">
        <v>1990</v>
      </c>
      <c r="F47" s="6"/>
      <c r="G47" s="6"/>
    </row>
    <row r="48" spans="1:7" s="1" customFormat="1" x14ac:dyDescent="0.25">
      <c r="A48" s="2">
        <v>1991</v>
      </c>
      <c r="F48" s="6"/>
      <c r="G48" s="6"/>
    </row>
    <row r="49" spans="1:7" s="1" customFormat="1" x14ac:dyDescent="0.25">
      <c r="A49" s="2">
        <v>1992</v>
      </c>
      <c r="F49" s="6"/>
      <c r="G49" s="6"/>
    </row>
    <row r="50" spans="1:7" s="1" customFormat="1" x14ac:dyDescent="0.25">
      <c r="A50" s="2">
        <v>1993</v>
      </c>
      <c r="F50" s="6"/>
      <c r="G50" s="6"/>
    </row>
    <row r="51" spans="1:7" s="1" customFormat="1" x14ac:dyDescent="0.25">
      <c r="A51" s="2">
        <v>1994</v>
      </c>
      <c r="F51" s="6"/>
      <c r="G51" s="6"/>
    </row>
    <row r="52" spans="1:7" s="1" customFormat="1" x14ac:dyDescent="0.25">
      <c r="A52" s="2">
        <v>1995</v>
      </c>
      <c r="F52" s="6"/>
      <c r="G52" s="6"/>
    </row>
    <row r="53" spans="1:7" s="1" customFormat="1" x14ac:dyDescent="0.25">
      <c r="A53" s="2">
        <v>1996</v>
      </c>
      <c r="F53" s="6"/>
      <c r="G53" s="6"/>
    </row>
    <row r="54" spans="1:7" s="1" customFormat="1" x14ac:dyDescent="0.25">
      <c r="A54" s="2">
        <v>1997</v>
      </c>
      <c r="F54" s="6"/>
      <c r="G54" s="6"/>
    </row>
    <row r="55" spans="1:7" s="1" customFormat="1" x14ac:dyDescent="0.25">
      <c r="A55" s="2">
        <v>1998</v>
      </c>
      <c r="F55" s="6"/>
      <c r="G55" s="6"/>
    </row>
    <row r="56" spans="1:7" s="1" customFormat="1" x14ac:dyDescent="0.25">
      <c r="A56" s="2">
        <v>1999</v>
      </c>
      <c r="F56" s="6"/>
      <c r="G56" s="6"/>
    </row>
    <row r="57" spans="1:7" s="1" customFormat="1" x14ac:dyDescent="0.25">
      <c r="A57" s="2">
        <v>2000</v>
      </c>
      <c r="F57" s="6"/>
      <c r="G57" s="6"/>
    </row>
    <row r="58" spans="1:7" s="1" customFormat="1" x14ac:dyDescent="0.25">
      <c r="A58" s="2">
        <v>2001</v>
      </c>
      <c r="F58" s="6"/>
      <c r="G58" s="6"/>
    </row>
    <row r="59" spans="1:7" s="1" customFormat="1" x14ac:dyDescent="0.25">
      <c r="A59" s="2">
        <v>2002</v>
      </c>
      <c r="F59" s="6"/>
      <c r="G59" s="6"/>
    </row>
    <row r="60" spans="1:7" s="1" customFormat="1" x14ac:dyDescent="0.25">
      <c r="A60" s="2">
        <v>2003</v>
      </c>
      <c r="F60" s="6"/>
      <c r="G60" s="6"/>
    </row>
    <row r="61" spans="1:7" s="1" customFormat="1" x14ac:dyDescent="0.25">
      <c r="A61" s="2">
        <v>2004</v>
      </c>
      <c r="F61" s="6"/>
      <c r="G61" s="6"/>
    </row>
    <row r="62" spans="1:7" s="1" customFormat="1" x14ac:dyDescent="0.25">
      <c r="A62" s="2">
        <v>2005</v>
      </c>
      <c r="F62" s="6"/>
      <c r="G62" s="6"/>
    </row>
    <row r="63" spans="1:7" s="1" customFormat="1" x14ac:dyDescent="0.25">
      <c r="A63" s="2">
        <v>2006</v>
      </c>
      <c r="F63" s="6"/>
      <c r="G63" s="6"/>
    </row>
    <row r="64" spans="1:7" s="1" customFormat="1" x14ac:dyDescent="0.25">
      <c r="A64" s="2">
        <v>2007</v>
      </c>
      <c r="F64" s="6"/>
      <c r="G64" s="6"/>
    </row>
    <row r="65" spans="1:7" s="1" customFormat="1" x14ac:dyDescent="0.25">
      <c r="A65" s="2">
        <v>2008</v>
      </c>
      <c r="F65" s="6"/>
      <c r="G65" s="6"/>
    </row>
    <row r="66" spans="1:7" s="1" customFormat="1" x14ac:dyDescent="0.25">
      <c r="A66" s="2">
        <v>2009</v>
      </c>
      <c r="F66" s="6"/>
      <c r="G66" s="6"/>
    </row>
    <row r="67" spans="1:7" s="1" customFormat="1" x14ac:dyDescent="0.25">
      <c r="A67" s="2">
        <v>2010</v>
      </c>
      <c r="F67" s="6"/>
      <c r="G67" s="6"/>
    </row>
    <row r="68" spans="1:7" s="1" customFormat="1" x14ac:dyDescent="0.25">
      <c r="A68" s="2">
        <v>2011</v>
      </c>
      <c r="F68" s="6"/>
      <c r="G68" s="6"/>
    </row>
    <row r="69" spans="1:7" s="1" customFormat="1" x14ac:dyDescent="0.25">
      <c r="A69" s="2">
        <v>2012</v>
      </c>
      <c r="F69" s="6"/>
      <c r="G69" s="6"/>
    </row>
    <row r="70" spans="1:7" s="1" customFormat="1" x14ac:dyDescent="0.25">
      <c r="A70" s="2">
        <v>2013</v>
      </c>
      <c r="F70" s="6"/>
      <c r="G70" s="6"/>
    </row>
    <row r="71" spans="1:7" s="1" customFormat="1" x14ac:dyDescent="0.25">
      <c r="A71" s="2">
        <v>2014</v>
      </c>
      <c r="F71" s="6"/>
      <c r="G71" s="6"/>
    </row>
    <row r="72" spans="1:7" s="1" customFormat="1" x14ac:dyDescent="0.25">
      <c r="A72" s="2">
        <v>2015</v>
      </c>
      <c r="F72" s="6"/>
      <c r="G72" s="6"/>
    </row>
    <row r="73" spans="1:7" s="1" customFormat="1" x14ac:dyDescent="0.25">
      <c r="A73" s="2">
        <v>2016</v>
      </c>
      <c r="F73" s="6"/>
      <c r="G73" s="6"/>
    </row>
    <row r="74" spans="1:7" s="1" customFormat="1" x14ac:dyDescent="0.25">
      <c r="A74" s="2">
        <v>2017</v>
      </c>
      <c r="F74" s="6"/>
      <c r="G74" s="6"/>
    </row>
    <row r="75" spans="1:7" s="1" customFormat="1" x14ac:dyDescent="0.25">
      <c r="A75" s="2">
        <v>2018</v>
      </c>
      <c r="F75" s="6"/>
      <c r="G75" s="6"/>
    </row>
    <row r="76" spans="1:7" s="1" customFormat="1" x14ac:dyDescent="0.25">
      <c r="A76" s="2">
        <v>2019</v>
      </c>
      <c r="F76" s="6"/>
      <c r="G76" s="6"/>
    </row>
    <row r="77" spans="1:7" s="1" customFormat="1" x14ac:dyDescent="0.25">
      <c r="A77" s="2">
        <v>2020</v>
      </c>
      <c r="F77" s="6"/>
      <c r="G77" s="6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</vt:lpstr>
      <vt:lpstr>consumption</vt:lpstr>
      <vt:lpstr>prod</vt:lpstr>
      <vt:lpstr>import</vt:lpstr>
      <vt:lpstr>export</vt:lpstr>
      <vt:lpstr>workforce</vt:lpstr>
      <vt:lpstr>FlatGlassInd_GlassInd</vt:lpstr>
      <vt:lpstr>RawMat_GlassInd_ABS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2020-11-25T15:12:54Z</dcterms:modified>
</cp:coreProperties>
</file>