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These\80_Calculations\01_MFA_GlassIndustry\RawData\"/>
    </mc:Choice>
  </mc:AlternateContent>
  <xr:revisionPtr revIDLastSave="0" documentId="13_ncr:1_{46A3C01C-0A18-4B4B-BECD-ABD192BBDEA5}" xr6:coauthVersionLast="45" xr6:coauthVersionMax="45" xr10:uidLastSave="{00000000-0000-0000-0000-000000000000}"/>
  <bookViews>
    <workbookView xWindow="2730" yWindow="1530" windowWidth="21510" windowHeight="14670" tabRatio="681" firstSheet="6" activeTab="6" xr2:uid="{123E2ECC-8474-4F38-AC8E-530CCC4039F8}"/>
  </bookViews>
  <sheets>
    <sheet name="stock" sheetId="17" r:id="rId1"/>
    <sheet name="consumption" sheetId="16" r:id="rId2"/>
    <sheet name="prod" sheetId="15" r:id="rId3"/>
    <sheet name="import" sheetId="14" r:id="rId4"/>
    <sheet name="export" sheetId="12" r:id="rId5"/>
    <sheet name="workforce" sheetId="11" r:id="rId6"/>
    <sheet name="RawMat_Intensity" sheetId="21" r:id="rId7"/>
    <sheet name="RawMat_FlatGlass_ABS" sheetId="20" r:id="rId8"/>
    <sheet name="emissions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8" i="21" l="1"/>
  <c r="M68" i="21"/>
  <c r="L68" i="21"/>
  <c r="O68" i="21"/>
  <c r="B17" i="15" l="1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6" i="15"/>
  <c r="B35" i="15"/>
  <c r="B34" i="15"/>
  <c r="E50" i="12" l="1"/>
  <c r="E49" i="12"/>
  <c r="E48" i="12"/>
  <c r="E47" i="12"/>
  <c r="E46" i="12"/>
  <c r="B65" i="12" l="1"/>
  <c r="B47" i="12" l="1"/>
  <c r="B48" i="12"/>
  <c r="B49" i="12"/>
  <c r="B50" i="12"/>
  <c r="B46" i="12"/>
  <c r="N57" i="15" l="1"/>
  <c r="N59" i="15"/>
  <c r="N60" i="15"/>
  <c r="B7" i="12" l="1"/>
  <c r="C23" i="20" l="1"/>
  <c r="C22" i="20"/>
  <c r="F23" i="15"/>
  <c r="F22" i="15"/>
  <c r="C21" i="20"/>
  <c r="F21" i="15"/>
  <c r="F19" i="15"/>
  <c r="F17" i="15"/>
  <c r="F18" i="15"/>
  <c r="F20" i="15"/>
  <c r="C20" i="20"/>
  <c r="C19" i="20"/>
  <c r="C18" i="20"/>
  <c r="F16" i="15"/>
  <c r="F15" i="15"/>
  <c r="F13" i="15"/>
  <c r="F11" i="15"/>
  <c r="F10" i="15"/>
  <c r="F9" i="15"/>
  <c r="F14" i="15"/>
  <c r="I11" i="15"/>
  <c r="I10" i="15"/>
  <c r="I12" i="15"/>
  <c r="B11" i="12"/>
  <c r="B10" i="12"/>
  <c r="B9" i="12" l="1"/>
  <c r="C61" i="15" l="1"/>
  <c r="B69" i="16"/>
  <c r="B68" i="16"/>
  <c r="B67" i="16"/>
  <c r="B66" i="16"/>
  <c r="B65" i="16"/>
  <c r="B64" i="16"/>
  <c r="B60" i="12" l="1"/>
  <c r="B63" i="12"/>
  <c r="B64" i="12"/>
  <c r="B14" i="12"/>
  <c r="B67" i="17" l="1"/>
  <c r="B66" i="17" s="1"/>
  <c r="B65" i="17" s="1"/>
  <c r="B64" i="17" s="1"/>
  <c r="B63" i="17" s="1"/>
  <c r="B69" i="17"/>
  <c r="D53" i="17"/>
  <c r="M50" i="15"/>
  <c r="N50" i="15"/>
  <c r="M49" i="15"/>
  <c r="N49" i="15"/>
  <c r="M48" i="15"/>
  <c r="N48" i="15"/>
  <c r="N47" i="15"/>
  <c r="I62" i="13"/>
  <c r="I61" i="13"/>
  <c r="I57" i="13"/>
  <c r="I54" i="13"/>
  <c r="I50" i="13"/>
  <c r="I47" i="13"/>
  <c r="B51" i="12"/>
  <c r="C50" i="12"/>
  <c r="C49" i="12"/>
  <c r="C48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50CD7841-F48D-4C33-B59A-A4B65F2D48DC}">
      <text>
        <r>
          <rPr>
            <sz val="9"/>
            <color indexed="81"/>
            <rFont val="Tahoma"/>
            <family val="2"/>
          </rPr>
          <t>Verband
Fenster+Fassade, EU 27 market for windows, 2013.
In: VHK, ift Rosenheim and VITO, LOT 32. Ecodesign of Window Products. Task 2: Market Analysis, 2015, p. 13.</t>
        </r>
      </text>
    </comment>
    <comment ref="C1" authorId="0" shapeId="0" xr:uid="{77AF28ED-ADBB-4981-87CA-A3236BBA4C68}">
      <text>
        <r>
          <rPr>
            <sz val="9"/>
            <color indexed="81"/>
            <rFont val="Tahoma"/>
            <family val="2"/>
          </rPr>
          <t>Verre, vol. 2, n° 3, mai-juin 1996</t>
        </r>
      </text>
    </comment>
    <comment ref="D1" authorId="0" shapeId="0" xr:uid="{BAD270C5-3F9D-4DA9-B9C5-67101CAC6C34}">
      <text>
        <r>
          <rPr>
            <sz val="9"/>
            <color indexed="81"/>
            <rFont val="Tahoma"/>
            <family val="2"/>
          </rPr>
          <t>Verre, vol. 2, n° 3, mai-juin 1996</t>
        </r>
      </text>
    </comment>
    <comment ref="E1" authorId="0" shapeId="0" xr:uid="{73F4E5BC-B225-4E3A-AC82-D9B67B829BEE}">
      <text>
        <r>
          <rPr>
            <sz val="9"/>
            <color indexed="81"/>
            <rFont val="Tahoma"/>
            <family val="2"/>
          </rPr>
          <t>Verre, vol. 2, n° 3, mai-juin 1996</t>
        </r>
      </text>
    </comment>
    <comment ref="B68" authorId="0" shapeId="0" xr:uid="{3061925A-39FF-46D4-94D0-1217DF8120BB}">
      <text>
        <r>
          <rPr>
            <sz val="9"/>
            <color indexed="81"/>
            <rFont val="Tahoma"/>
            <family val="2"/>
          </rPr>
          <t>&gt; 434 million units of window measuring 1.3*1.3 m² with 1.2*1.2 glazing.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A40D73D0-FB5A-4375-B750-3A56F8FD1AE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Verband
Fenster+Fassade, EU 27 market for windows, 2013.
In: VHK, ift Rosenheim and VITO, LOT 32. Ecodesign of Window Products. Task 2: Market Analysis, 2015, p. 13.</t>
        </r>
      </text>
    </comment>
    <comment ref="C1" authorId="0" shapeId="0" xr:uid="{F2351082-31E9-4E30-917F-50CA786E7807}">
      <text>
        <r>
          <rPr>
            <sz val="9"/>
            <color indexed="81"/>
            <rFont val="Tahoma"/>
            <family val="2"/>
          </rPr>
          <t>OECD Data:
https://data.oecd.org/pop/population.htm</t>
        </r>
      </text>
    </comment>
    <comment ref="B55" authorId="0" shapeId="0" xr:uid="{4653A638-4214-47CC-895D-38367FCB2AC2}">
      <text>
        <r>
          <rPr>
            <i/>
            <sz val="9"/>
            <color indexed="81"/>
            <rFont val="Tahoma"/>
            <family val="2"/>
          </rPr>
          <t>Verre</t>
        </r>
        <r>
          <rPr>
            <sz val="9"/>
            <color indexed="81"/>
            <rFont val="Tahoma"/>
            <family val="2"/>
          </rPr>
          <t>, vol. 6, n° 2, march-april 2000.
19.4 million m², 50% for renovation and 50% for new buildings</t>
        </r>
      </text>
    </comment>
    <comment ref="B57" authorId="0" shapeId="0" xr:uid="{945F0B14-6E6C-4EB0-B213-921F379B6250}">
      <text>
        <r>
          <rPr>
            <sz val="9"/>
            <color indexed="81"/>
            <rFont val="Tahoma"/>
            <family val="2"/>
          </rPr>
          <t>Lindustre française du verre", Verre, vol. 7, n°3, october 2001, p. 24
22 million of square meters, 50% for renovation and 50% for new buildings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75E8BD04-760E-454F-AD99-760686DA96F2}">
      <text>
        <r>
          <rPr>
            <sz val="9"/>
            <color indexed="81"/>
            <rFont val="Tahoma"/>
            <family val="2"/>
          </rPr>
          <t xml:space="preserve">Annuaire statistique de la France, Institut National de la Statistique et des Études Économiques, Paris
&gt; From 1983 onwards, glass statistics are carried out by the ministère du redéploiement industriel et du commerce extérieur (SESSI) and no longer by INSEE. </t>
        </r>
      </text>
    </comment>
    <comment ref="D1" authorId="0" shapeId="0" xr:uid="{8EA8309A-41BA-426D-8E4B-34EA2148747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Production industrielle: industrie du verre, Service des études et des statistiques industrielles, 1989-2004</t>
        </r>
      </text>
    </comment>
    <comment ref="E1" authorId="0" shapeId="0" xr:uid="{F3960540-EF2E-4C3A-B435-D7B02F95E79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Boaglio, p. 144-5</t>
        </r>
      </text>
    </comment>
    <comment ref="F1" authorId="0" shapeId="0" xr:uid="{DA3C2B16-3892-45EF-B4F0-B516422B7894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Production industrielle: industrie du verre, Service des études et des statistiques industrielles, 1989-2004</t>
        </r>
      </text>
    </comment>
    <comment ref="G1" authorId="0" shapeId="0" xr:uid="{33771686-3A32-4BBE-80C1-1BC56B0A5187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Production industrielle: industrie du verre, Service des études et des statistiques </t>
        </r>
      </text>
    </comment>
    <comment ref="H1" authorId="0" shapeId="0" xr:uid="{0D598D5A-BA5A-4653-A7B1-F6C08B95DCD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Annuaire statistique de la France, Ministère des finances et des affaires économiques, Institut national de la statistique et des études économiques, Paris</t>
        </r>
      </text>
    </comment>
    <comment ref="I1" authorId="0" shapeId="0" xr:uid="{84F65559-3FBF-408A-921B-4DCC6E88FB8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Boaglio, p. 144-5</t>
        </r>
      </text>
    </comment>
    <comment ref="J1" authorId="0" shapeId="0" xr:uid="{EAEC846C-4FAD-4676-AA10-41294F348C4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Boaglio, p. 166</t>
        </r>
      </text>
    </comment>
    <comment ref="K1" authorId="0" shapeId="0" xr:uid="{D2CCEDE9-3A26-441F-9D94-339DCE354FE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Boaglio, p. 166</t>
        </r>
      </text>
    </comment>
    <comment ref="L1" authorId="0" shapeId="0" xr:uid="{B16D67CE-B292-42CD-97BB-E21DAE36B06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Boaglio, p. 166</t>
        </r>
      </text>
    </comment>
    <comment ref="M1" authorId="0" shapeId="0" xr:uid="{AD22153E-AFF2-44FE-B712-BA3CABE1BBCE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Production industrielle: industrie du verre, Service des études et des statistiques industrielles, 1989-2004</t>
        </r>
      </text>
    </comment>
    <comment ref="N1" authorId="0" shapeId="0" xr:uid="{63258877-CC3E-4EE8-997A-905889F368B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Production industrielle: industrie du verre, Service des études et des statistiques industrielles, 1989-2004</t>
        </r>
      </text>
    </comment>
    <comment ref="O1" authorId="0" shapeId="0" xr:uid="{AC52ABF8-FB36-466D-9A4E-25C18EB1617D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23111217 
Label: Non-wired sheets, of float, surface ground or polished glass, having an absorbent or reflecting layer, not otherwise worked, of a thickness &gt; 3,5 mm </t>
        </r>
      </text>
    </comment>
    <comment ref="B2" authorId="0" shapeId="0" xr:uid="{0293606E-63EC-430D-B837-DEA79A998F2C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B3" authorId="0" shapeId="0" xr:uid="{CFF53947-859E-4D1D-A40F-DAC5F83467FC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B4" authorId="0" shapeId="0" xr:uid="{848C10C8-353A-46AC-9D2A-EBE1DC38168B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C4" authorId="0" shapeId="0" xr:uid="{B319E186-9275-461A-81DE-C5E2D710136D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p.96</t>
        </r>
      </text>
    </comment>
    <comment ref="D4" authorId="0" shapeId="0" xr:uid="{B5E4E444-EE96-4E94-ADDD-B7C40FCFAB07}">
      <text>
        <r>
          <rPr>
            <sz val="9"/>
            <color indexed="81"/>
            <rFont val="Tahoma"/>
            <family val="2"/>
          </rPr>
          <t xml:space="preserve">Production of the first insulated glazing
</t>
        </r>
      </text>
    </comment>
    <comment ref="B5" authorId="0" shapeId="0" xr:uid="{29B804DD-1BCF-48BE-83E2-E21EB35E03F8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B6" authorId="0" shapeId="0" xr:uid="{B75D1CE4-787F-445E-9B66-93A1A421D96E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B7" authorId="0" shapeId="0" xr:uid="{E6ADE2F2-68BD-482F-A8E1-ACA6EE01C524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H7" authorId="0" shapeId="0" xr:uid="{7E997057-D121-4152-8A33-3F7E928F2AFF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K7" authorId="0" shapeId="0" xr:uid="{AFD212C6-563A-4D98-B6DD-879A9EC3EB8C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L7" authorId="0" shapeId="0" xr:uid="{BF09010B-6EF9-4391-8944-274B839D64BD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8" authorId="0" shapeId="0" xr:uid="{01BCA292-7A89-4620-B5D8-8BAA059D9302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H8" authorId="0" shapeId="0" xr:uid="{9A966A45-318B-4373-A578-2CCEECC5725B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K8" authorId="0" shapeId="0" xr:uid="{C92F7886-57AC-4FAE-90C6-D46030201D5F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L8" authorId="0" shapeId="0" xr:uid="{A0D9D7B3-AD61-4EDC-ADF9-CD7D7BE82538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9" authorId="0" shapeId="0" xr:uid="{2D1B8900-3282-4172-86B2-B956B7EF221D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C9" authorId="0" shapeId="0" xr:uid="{EBB9D692-4923-4214-9874-766BC3384EAB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E9" authorId="0" shapeId="0" xr:uid="{2559094F-AF31-4F5E-A6F0-36F931563232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F9" authorId="0" shapeId="0" xr:uid="{38799B93-7253-49DD-81E4-362AE77214B5}">
      <text>
        <r>
          <rPr>
            <sz val="9"/>
            <color indexed="81"/>
            <rFont val="Tahoma"/>
            <family val="2"/>
          </rPr>
          <t>800 = for automotive
See: Annuaire statistique de la France, 1957, Institut National de la Statistique et des Études Économiques, Paris, 1958. p. 137</t>
        </r>
      </text>
    </comment>
    <comment ref="H9" authorId="0" shapeId="0" xr:uid="{EF5D5772-6230-4561-B6C5-71CD80A25010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I9" authorId="0" shapeId="0" xr:uid="{4D368F62-462A-42DB-B54B-2B18AC8A1668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K9" authorId="0" shapeId="0" xr:uid="{0A7972E7-E47B-43DF-96FC-D8DF546B80B2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L9" authorId="0" shapeId="0" xr:uid="{1E8672AE-9087-4DA6-AA19-35F0393AC967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B10" authorId="0" shapeId="0" xr:uid="{4F594CE4-F201-4C54-885B-04705B497FC9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E10" authorId="0" shapeId="0" xr:uid="{8976685D-8B6B-4C0B-8A55-F4722F2A4783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F10" authorId="0" shapeId="0" xr:uid="{C6E4050B-8482-410C-814C-999778A124E1}">
      <text>
        <r>
          <rPr>
            <sz val="9"/>
            <color indexed="81"/>
            <rFont val="Tahoma"/>
            <family val="2"/>
          </rPr>
          <t>820 = for automotive
See: Annuaire statistique de la France, 1957, Institut National de la Statistique et des Études Économiques, Paris, 1958. p. 137</t>
        </r>
      </text>
    </comment>
    <comment ref="H10" authorId="0" shapeId="0" xr:uid="{42002089-E4DF-4182-A31B-8FCE1C94E530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I10" authorId="0" shapeId="0" xr:uid="{6473094A-E0C4-454A-900C-8E3E8B3F5250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K10" authorId="0" shapeId="0" xr:uid="{3821DC5F-F599-44C6-ACAF-3E27FA00B82D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L10" authorId="0" shapeId="0" xr:uid="{DC529555-A6E3-4E51-AB2D-832533269304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B11" authorId="0" shapeId="0" xr:uid="{AAFBCA23-B7FB-46AB-AB53-08190AC1EB99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E11" authorId="0" shapeId="0" xr:uid="{60CDB4C8-9DAA-4EAB-B5F5-80815B1D6A7E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F11" authorId="0" shapeId="0" xr:uid="{D031F271-B7AA-4C66-B95C-6DCF8420BE1C}">
      <text>
        <r>
          <rPr>
            <sz val="9"/>
            <color indexed="81"/>
            <rFont val="Tahoma"/>
            <family val="2"/>
          </rPr>
          <t>1000 = for automotive
See: Annuaire statistique de la France, 1957, Institut National de la Statistique et des Études Économiques, Paris, 1958. p. 137</t>
        </r>
      </text>
    </comment>
    <comment ref="H11" authorId="0" shapeId="0" xr:uid="{C9BE838C-59F6-4F32-B2A1-695EEC70C15D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I11" authorId="0" shapeId="0" xr:uid="{CC3C20DE-5FD1-4255-A1AA-08D6277F5589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K11" authorId="0" shapeId="0" xr:uid="{2B678E5F-6FF9-4D5B-A93F-151421382499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L11" authorId="0" shapeId="0" xr:uid="{D7D7E024-6D33-4EC1-8CE5-B4D9A13F8DCD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B12" authorId="0" shapeId="0" xr:uid="{149C08F9-62CF-41B8-9C7A-C903C4CBD37F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E12" authorId="0" shapeId="0" xr:uid="{5973CB1E-F335-4CEC-8524-E0AF375E52CF}">
      <text>
        <r>
          <rPr>
            <sz val="9"/>
            <color indexed="81"/>
            <rFont val="Tahoma"/>
            <family val="2"/>
          </rPr>
          <t>Annuaire statistique de la France, 1956, Institut National de la Statistique et des Études Économiques, Paris, 1957. p. 165-6</t>
        </r>
      </text>
    </comment>
    <comment ref="H12" authorId="0" shapeId="0" xr:uid="{7D97A9DE-79FC-4646-B96D-33AA13627AAF}">
      <text>
        <r>
          <rPr>
            <sz val="9"/>
            <color indexed="81"/>
            <rFont val="Tahoma"/>
            <family val="2"/>
          </rPr>
          <t>Annuaire statistique de la France, 1956, Institut National de la Statistique et des Études Économiques, Paris, 1957. p. 165-6</t>
        </r>
      </text>
    </comment>
    <comment ref="I12" authorId="0" shapeId="0" xr:uid="{A92CCBFC-3B6B-4927-90AD-A50D1D9EA615}">
      <text>
        <r>
          <rPr>
            <sz val="9"/>
            <color indexed="81"/>
            <rFont val="Tahoma"/>
            <family val="2"/>
          </rPr>
          <t>Annuaire statistique de la France, 1956, Institut National de la Statistique et des Études Économiques, Paris, 1957. p. 165-6</t>
        </r>
      </text>
    </comment>
    <comment ref="K12" authorId="0" shapeId="0" xr:uid="{91EB56A3-3E12-42C2-B2B8-23ADB58A3ED5}">
      <text>
        <r>
          <rPr>
            <sz val="9"/>
            <color indexed="81"/>
            <rFont val="Tahoma"/>
            <family val="2"/>
          </rPr>
          <t>Annuaire statistique de la France, 1956, Institut National de la Statistique et des Études Économiques, Paris, 1957. p. 165-6</t>
        </r>
      </text>
    </comment>
    <comment ref="L12" authorId="0" shapeId="0" xr:uid="{33E103DD-2E29-41C2-8ACC-FF00F48BBBB5}">
      <text>
        <r>
          <rPr>
            <sz val="9"/>
            <color indexed="81"/>
            <rFont val="Tahoma"/>
            <family val="2"/>
          </rPr>
          <t>Annuaire statistique de la France, 1956, Institut National de la Statistique et des Études Économiques, Paris, 1957. p. 165-6</t>
        </r>
      </text>
    </comment>
    <comment ref="B13" authorId="0" shapeId="0" xr:uid="{284D7D64-DF4D-4630-A493-1651D5E9709F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E13" authorId="0" shapeId="0" xr:uid="{4D1EC2D0-8516-4F9D-AC41-B103491EC804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F13" authorId="0" shapeId="0" xr:uid="{3369B8C9-C8EE-499D-87D1-E8BBA04DD58A}">
      <text>
        <r>
          <rPr>
            <sz val="9"/>
            <color indexed="81"/>
            <rFont val="Tahoma"/>
            <family val="2"/>
          </rPr>
          <t>1500 = for automotive
See: Annuaire statistique de la France, 1957, Institut National de la Statistique et des Études Économiques, Paris, 1958. p. 137</t>
        </r>
      </text>
    </comment>
    <comment ref="H13" authorId="0" shapeId="0" xr:uid="{039058EC-1960-41BA-B084-5F13D4C75D0A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I13" authorId="0" shapeId="0" xr:uid="{B7481281-933E-40DA-9CB4-4BB7F68FCF6D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K13" authorId="0" shapeId="0" xr:uid="{65F0593A-2435-46DC-8172-A008A5687B9E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L13" authorId="0" shapeId="0" xr:uid="{959AA8D3-9143-47D8-9024-FEE9557597BB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B14" authorId="0" shapeId="0" xr:uid="{6F5388DB-648B-433D-AB70-5982CFD270C8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E14" authorId="0" shapeId="0" xr:uid="{A0707C67-0CE1-4654-9E31-4D987F0644CD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F14" authorId="0" shapeId="0" xr:uid="{47DA17EF-1A6B-4AD6-B342-83626AB499EC}">
      <text>
        <r>
          <rPr>
            <sz val="9"/>
            <color indexed="81"/>
            <rFont val="Tahoma"/>
            <family val="2"/>
          </rPr>
          <t>1700 = for automotive
See: Annuaire statistique de la France, 1958, Institut National de la Statistique et des Études Économiques, Paris, 1959. p. 147</t>
        </r>
      </text>
    </comment>
    <comment ref="H14" authorId="0" shapeId="0" xr:uid="{F841408C-54D3-40D9-8985-4F84A4A077FF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I14" authorId="0" shapeId="0" xr:uid="{A37F426E-94D2-467F-A7FF-C44313A2347D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K14" authorId="0" shapeId="0" xr:uid="{70B88FAD-309C-4783-98F3-323BCD0719AE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L14" authorId="0" shapeId="0" xr:uid="{717B3FCA-B8F3-4B60-A304-52AE9ABD8961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B15" authorId="0" shapeId="0" xr:uid="{D554A3CD-4A07-45B9-AB21-753AE08DD90C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E15" authorId="0" shapeId="0" xr:uid="{2EDAD8D8-A767-47A4-8F4D-710D8F9B2086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F15" authorId="0" shapeId="0" xr:uid="{031CE4CB-39EA-4BDE-BC99-9F7F2F6DF41E}">
      <text>
        <r>
          <rPr>
            <sz val="9"/>
            <color indexed="81"/>
            <rFont val="Tahoma"/>
            <family val="2"/>
          </rPr>
          <t>1700 = for automotive
See: Annuaire statistique de la France, 1959, Institut National de la Statistique et des Études Économiques, Paris, 1960. p. 147</t>
        </r>
      </text>
    </comment>
    <comment ref="H15" authorId="0" shapeId="0" xr:uid="{C4B0AE22-2062-4292-B61B-EB4AD727B91C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I15" authorId="0" shapeId="0" xr:uid="{989DA287-84C8-4B60-A76C-9771BF50D6BF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K15" authorId="0" shapeId="0" xr:uid="{03CB2E39-FAA6-4208-A6F4-520D6D1FB5BC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L15" authorId="0" shapeId="0" xr:uid="{A3E3ACE3-4BCC-4920-8DD3-C6119FB80D2D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B16" authorId="0" shapeId="0" xr:uid="{9BF5E17D-8D4E-47E7-AED6-7024225CA169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E16" authorId="0" shapeId="0" xr:uid="{B3616E10-AEB6-46F4-8F3E-895CB81D1AA1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F16" authorId="0" shapeId="0" xr:uid="{BF954B09-D82F-46B5-BC0D-548899D796A6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H16" authorId="0" shapeId="0" xr:uid="{85BE53E1-6D44-4ECF-8056-949897DC5DCA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I16" authorId="0" shapeId="0" xr:uid="{ABA9F58C-2EC0-4CB9-9E82-3689B43817B2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K16" authorId="0" shapeId="0" xr:uid="{F051B246-00D2-42B1-9C4B-9AB86A549094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L16" authorId="0" shapeId="0" xr:uid="{0E919600-C7CC-414E-911C-476D431DD660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B17" authorId="0" shapeId="0" xr:uid="{8300B13F-3F3D-41CA-A3DA-D35AE736B21F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E17" authorId="0" shapeId="0" xr:uid="{CA6DEA82-3E50-462E-A629-82B1A2801698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F17" authorId="0" shapeId="0" xr:uid="{52DBB23A-B161-484E-BF37-54DB8447063A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H17" authorId="0" shapeId="0" xr:uid="{60D59861-51B6-487A-9D5E-449360F96A7F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K17" authorId="0" shapeId="0" xr:uid="{595E3C06-74D0-458A-A63C-E84E1A936733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L17" authorId="0" shapeId="0" xr:uid="{C11D6904-1381-4941-BBEF-34AC261B27AA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B18" authorId="0" shapeId="0" xr:uid="{0AE51CF8-7BE6-4F9F-8938-A4A3BEACAC01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E18" authorId="0" shapeId="0" xr:uid="{C65A4C9A-EEDF-4B86-82FC-06E5570609BF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F18" authorId="0" shapeId="0" xr:uid="{DE9DC52E-15D7-430E-ABC5-7850CA21CBE7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H18" authorId="0" shapeId="0" xr:uid="{81618106-3EEE-4D05-905A-1B2C1A182D26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I18" authorId="0" shapeId="0" xr:uid="{3A40F4FD-1F08-49FC-BA10-D1FB119BD41A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K18" authorId="0" shapeId="0" xr:uid="{310991AD-7006-4B62-8C4F-719B88A8F91F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L18" authorId="0" shapeId="0" xr:uid="{39109713-6E0D-4B6A-9E4C-6F41F964C55F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B19" authorId="0" shapeId="0" xr:uid="{7F310D06-73D3-45A2-BCF4-EB5BC35DCF43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C19" authorId="0" shapeId="0" xr:uid="{058A2F66-5183-42FA-9B61-5F6F59E085F0}">
      <text>
        <r>
          <rPr>
            <sz val="9"/>
            <color indexed="81"/>
            <rFont val="Tahoma"/>
            <family val="2"/>
          </rPr>
          <t>(Boaglio, 1990: 120)</t>
        </r>
      </text>
    </comment>
    <comment ref="E19" authorId="0" shapeId="0" xr:uid="{FCF25572-3E69-4CFD-A1BC-033D56C616CB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F19" authorId="0" shapeId="0" xr:uid="{9A175B91-BBEB-40F7-ABB2-0D220E04C64C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H19" authorId="0" shapeId="0" xr:uid="{5F75AABD-2233-467B-AF56-264EA10CB883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I19" authorId="0" shapeId="0" xr:uid="{110BF336-C056-411F-A80E-82CF01ECE991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K19" authorId="0" shapeId="0" xr:uid="{B05D689D-ACFC-40B3-AAF5-58877BB6FE9E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L19" authorId="0" shapeId="0" xr:uid="{5A029BD5-12BE-4A9A-AC53-CEC411C08E14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B20" authorId="0" shapeId="0" xr:uid="{5602B503-78D9-4CD1-AFD3-893738E3A60D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E20" authorId="0" shapeId="0" xr:uid="{7D799530-1205-472C-90D7-6DCDCC07A90C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F20" authorId="0" shapeId="0" xr:uid="{2CB54331-9CA8-49FF-83DC-A8276F22E17F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H20" authorId="0" shapeId="0" xr:uid="{4FC7B21E-3B51-4488-87F2-08BB02A7D0F3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I20" authorId="0" shapeId="0" xr:uid="{3CD5385B-1DF1-44F4-A94E-F3608AC8F14E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K20" authorId="0" shapeId="0" xr:uid="{7A20AF52-8C2C-4503-BC69-206607AE4FF5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L20" authorId="0" shapeId="0" xr:uid="{2DCDBC71-9100-40D3-BD29-347BE31C6386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B21" authorId="0" shapeId="0" xr:uid="{2FF7E9F5-5763-4402-8F95-432667FECFAB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E21" authorId="0" shapeId="0" xr:uid="{6F5A27FD-3303-4B83-A0B4-5A73553B0D87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F21" authorId="0" shapeId="0" xr:uid="{8FA060DD-D1C0-4941-8D89-CEC3BD2C4FCE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H21" authorId="0" shapeId="0" xr:uid="{978B9C7D-C7AE-46BA-B521-7A0BED1DF790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I21" authorId="0" shapeId="0" xr:uid="{FD6BCD97-FB85-4C1D-9AE7-B9AAC9C8167D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K21" authorId="0" shapeId="0" xr:uid="{7BD7BB3B-948A-4A9B-A71F-5A7F2E9842CB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L21" authorId="0" shapeId="0" xr:uid="{FEA3F18C-74BA-4DD7-A776-8964DB0BD0AC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B22" authorId="0" shapeId="0" xr:uid="{65EE3820-33EB-4BDC-9D49-B6D9ABA707FC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E22" authorId="0" shapeId="0" xr:uid="{C00C327E-2DC4-4D40-BA81-92A00D213140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F22" authorId="0" shapeId="0" xr:uid="{2D32E2AC-F15A-4A8B-BD78-28F54798B72B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H22" authorId="0" shapeId="0" xr:uid="{354C2C77-4C76-42C4-A137-C7707A158764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K22" authorId="0" shapeId="0" xr:uid="{758E1BAC-D16C-4914-9AC0-EECFA79C5E3F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L22" authorId="0" shapeId="0" xr:uid="{FC06EA09-BCE5-4DE1-9C7F-F61BF8437E65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B23" authorId="0" shapeId="0" xr:uid="{C1A7DCDA-8D77-47B1-B3F4-6C4C6BD3DBF7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E23" authorId="0" shapeId="0" xr:uid="{32922E4A-9E85-4FDC-B0FC-CBF05B0CC92B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F23" authorId="0" shapeId="0" xr:uid="{9BFF0064-0585-42E1-81F7-13582F3729AB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H23" authorId="0" shapeId="0" xr:uid="{097219E9-0EF2-4F78-A86E-E048CE14D245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I23" authorId="0" shapeId="0" xr:uid="{7629A7E5-361B-40FB-8180-66089255898F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K23" authorId="0" shapeId="0" xr:uid="{F64E64C7-C3FA-4413-B42E-D26E0D53C11E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L23" authorId="0" shapeId="0" xr:uid="{089D4F32-C542-49D8-8936-D9DB8002633D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B24" authorId="0" shapeId="0" xr:uid="{F749F91A-41CA-4D3D-BCD3-C9EA880BB669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H24" authorId="0" shapeId="0" xr:uid="{B3A3FAEF-AF50-492C-943A-BEDF142EE565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K24" authorId="0" shapeId="0" xr:uid="{7C35FE72-FDFB-4984-A1F1-29453A365552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24" authorId="0" shapeId="0" xr:uid="{26EC1405-2FA9-4562-9F80-BEE0CBBDDA49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25" authorId="0" shapeId="0" xr:uid="{F4953A3F-DE85-45F2-B994-51431B093BF9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C25" authorId="0" shapeId="0" xr:uid="{D1497B17-1D37-4369-99C3-3EEEACFD788B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1, p. 114</t>
        </r>
      </text>
    </comment>
    <comment ref="H25" authorId="0" shapeId="0" xr:uid="{F4E98670-5772-4A7F-97DF-04325ED81A96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K25" authorId="0" shapeId="0" xr:uid="{42F87CEB-6077-426B-ACBE-A95ECA7427EE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25" authorId="0" shapeId="0" xr:uid="{A8F1B119-7D28-4CD0-BEAF-FAC721E56AAA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26" authorId="0" shapeId="0" xr:uid="{42747A8B-A5E1-49F7-99E3-DA9B6638831E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H26" authorId="0" shapeId="0" xr:uid="{1871E4CC-6BF0-434B-BCB9-216F2346A76B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K26" authorId="0" shapeId="0" xr:uid="{C26D21D7-E07A-475D-98C9-28C9946D0032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26" authorId="0" shapeId="0" xr:uid="{1519DAA5-9B34-40DD-9EE2-CFDE4F699EB1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27" authorId="0" shapeId="0" xr:uid="{C8FFF30C-D91A-42DA-8F5D-F4373AE5593D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H27" authorId="0" shapeId="0" xr:uid="{14C7333E-6A08-4E9C-9C06-AB0EE3A79ECD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K27" authorId="0" shapeId="0" xr:uid="{E9FE23A5-8B97-4ED6-9E78-9868811D3D0C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27" authorId="0" shapeId="0" xr:uid="{D824496F-3453-4220-B355-7AF5F6B407E6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28" authorId="0" shapeId="0" xr:uid="{CE146CE1-CBFC-4CF6-B16B-7BAB54CE6EA3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H28" authorId="0" shapeId="0" xr:uid="{84E12A52-4F3E-4A86-A917-C3FA5BD871BA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K28" authorId="0" shapeId="0" xr:uid="{29FABEB5-433C-4302-B45D-250142EFE549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28" authorId="0" shapeId="0" xr:uid="{9D201F89-359B-4ECB-9687-3E61932E06F6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29" authorId="0" shapeId="0" xr:uid="{F5F2CDD0-4806-4D9B-85FF-E09F842C606D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H29" authorId="0" shapeId="0" xr:uid="{B028F262-5C16-43A9-9644-252626353205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K29" authorId="0" shapeId="0" xr:uid="{03804745-AE62-48E8-8768-BE35FB39C10B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29" authorId="0" shapeId="0" xr:uid="{9B8AA2BA-CCCD-4AD9-B537-2B2C3F968068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30" authorId="0" shapeId="0" xr:uid="{72927B4C-DA20-408B-816A-A13AE0516803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H30" authorId="0" shapeId="0" xr:uid="{3C751121-2C20-4E7A-AB1D-7BB8EFC391D5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K30" authorId="0" shapeId="0" xr:uid="{FB77A041-2969-4579-8A37-49BB10FB6106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30" authorId="0" shapeId="0" xr:uid="{BFE0429D-34C7-4552-B51A-CB1CCAD32672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31" authorId="0" shapeId="0" xr:uid="{E03D0B22-7E13-4718-BA71-1131ABF1BA5B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H31" authorId="0" shapeId="0" xr:uid="{44C5D01F-FEE4-4FC8-B65D-C3201F905D10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K31" authorId="0" shapeId="0" xr:uid="{6C29E4A4-C79C-4963-B5B2-B3229B38F655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31" authorId="0" shapeId="0" xr:uid="{AAEBB776-F22E-439D-B2CA-4028BC40808D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32" authorId="0" shapeId="0" xr:uid="{542D3B38-DCB2-4CED-ACF2-733DA2424DF4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H32" authorId="0" shapeId="0" xr:uid="{64154DD0-2C23-4955-B5A1-0D9AAEDD0DFF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K32" authorId="0" shapeId="0" xr:uid="{3344969B-F5AF-4842-BEF5-78A32E5E59B8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32" authorId="0" shapeId="0" xr:uid="{2460209E-AC8A-4DDF-B0E0-FB91B8E13DEC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33" authorId="0" shapeId="0" xr:uid="{582B3E7A-8B80-47E1-B2B0-A704D19644EB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H33" authorId="0" shapeId="0" xr:uid="{23EC5074-6004-49A7-9BB5-D5B90879F4E4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K33" authorId="0" shapeId="0" xr:uid="{2386695A-5A41-4AC2-A779-155DDEEC3E5D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33" authorId="0" shapeId="0" xr:uid="{5DB0C258-B97B-44A1-A469-71B1B06C2087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34" authorId="0" shapeId="0" xr:uid="{7FC08080-D361-4A5C-B2F7-D1E53C42F235}">
      <text>
        <r>
          <rPr>
            <sz val="9"/>
            <color indexed="81"/>
            <rFont val="Tahoma"/>
            <family val="2"/>
          </rPr>
          <t>Annuaire statistique de la France, 1985, Institut National de la Statistique et des Études Économiques, Paris, 1986. p. 553</t>
        </r>
      </text>
    </comment>
    <comment ref="H34" authorId="0" shapeId="0" xr:uid="{D3EBCC58-12CF-47BF-8978-700306CA4F5A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K34" authorId="0" shapeId="0" xr:uid="{4A34F515-290C-477A-A0E4-93EA8D5BCDF0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34" authorId="0" shapeId="0" xr:uid="{EEBB081A-9F42-4235-AD58-93F2BB2B96FA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35" authorId="0" shapeId="0" xr:uid="{54ACB3A1-30A5-48A5-97E6-6D4545F70556}">
      <text>
        <r>
          <rPr>
            <sz val="9"/>
            <color indexed="81"/>
            <rFont val="Tahoma"/>
            <family val="2"/>
          </rPr>
          <t>Annuaire statistique de la France, 1985, Institut National de la Statistique et des Études Économiques, Paris, 1986. p. 553</t>
        </r>
      </text>
    </comment>
    <comment ref="H35" authorId="0" shapeId="0" xr:uid="{8E082DE9-4D94-4217-94BF-5C434DFBAEFA}">
      <text>
        <r>
          <rPr>
            <sz val="9"/>
            <color indexed="81"/>
            <rFont val="Tahoma"/>
            <family val="2"/>
          </rPr>
          <t>Annuaire statistique de la France, 1979, Institut National de la Statistique et des Études Économiques, Paris, 1980. p. 311-3</t>
        </r>
      </text>
    </comment>
    <comment ref="L35" authorId="0" shapeId="0" xr:uid="{8DBF029A-800C-41A3-9DA7-CB2593B5244F}">
      <text>
        <r>
          <rPr>
            <sz val="9"/>
            <color indexed="81"/>
            <rFont val="Tahoma"/>
            <family val="2"/>
          </rPr>
          <t>Annuaire statistique de la France, 1979, Institut National de la Statistique et des Études Économiques, Paris, 1980. p. 311-3</t>
        </r>
      </text>
    </comment>
    <comment ref="B36" authorId="0" shapeId="0" xr:uid="{03209BF8-7AA4-4DE3-8711-34D7206C15A9}">
      <text>
        <r>
          <rPr>
            <sz val="9"/>
            <color indexed="81"/>
            <rFont val="Tahoma"/>
            <family val="2"/>
          </rPr>
          <t>Annuaire statistique de la France, 1985, Institut National de la Statistique et des Études Économiques, Paris, 1986. p. 553</t>
        </r>
      </text>
    </comment>
    <comment ref="H36" authorId="0" shapeId="0" xr:uid="{47817267-0F24-43FE-A8F8-949A79974B11}">
      <text>
        <r>
          <rPr>
            <sz val="9"/>
            <color indexed="81"/>
            <rFont val="Tahoma"/>
            <family val="2"/>
          </rPr>
          <t>Annuaire statistique de la France, 1981, Institut National de la Statistique et des Études Économiques, Paris, 1982. p. 421</t>
        </r>
      </text>
    </comment>
    <comment ref="L36" authorId="0" shapeId="0" xr:uid="{F589666E-4568-4417-9734-98AF91EA5E7F}">
      <text>
        <r>
          <rPr>
            <sz val="9"/>
            <color indexed="81"/>
            <rFont val="Tahoma"/>
            <family val="2"/>
          </rPr>
          <t>Annuaire statistique de la France, 1981, Institut National de la Statistique et des Études Économiques, Paris, 1982. p. 421</t>
        </r>
      </text>
    </comment>
    <comment ref="B37" authorId="0" shapeId="0" xr:uid="{11011547-CF97-4D28-B1F3-871CCCCB8E10}">
      <text>
        <r>
          <rPr>
            <sz val="9"/>
            <color indexed="81"/>
            <rFont val="Tahoma"/>
            <family val="2"/>
          </rPr>
          <t>Annuaire statistique de la France, 1985, Institut National de la Statistique et des Études Économiques, Paris, 1986. p. 553</t>
        </r>
      </text>
    </comment>
    <comment ref="C37" authorId="0" shapeId="0" xr:uid="{23984497-B620-4D57-97F6-AD1724BE74A7}">
      <text>
        <r>
          <rPr>
            <sz val="9"/>
            <color indexed="81"/>
            <rFont val="Tahoma"/>
            <family val="2"/>
          </rPr>
          <t>Les Comptes de l'industrie : la situation de l' industrie française en 1980, INSEE, 1981, p. 71</t>
        </r>
      </text>
    </comment>
    <comment ref="H37" authorId="0" shapeId="0" xr:uid="{AEBE3949-F230-4A47-9859-7EB24966C8CC}">
      <text>
        <r>
          <rPr>
            <sz val="9"/>
            <color indexed="81"/>
            <rFont val="Tahoma"/>
            <family val="2"/>
          </rPr>
          <t>Annuaire statistique de la France, 1981, Institut National de la Statistique et des Études Économiques, Paris, 1982. p. 421</t>
        </r>
      </text>
    </comment>
    <comment ref="L37" authorId="0" shapeId="0" xr:uid="{8ED819D9-1F3B-4C30-8CF9-D9B036E04A27}">
      <text>
        <r>
          <rPr>
            <sz val="9"/>
            <color indexed="81"/>
            <rFont val="Tahoma"/>
            <family val="2"/>
          </rPr>
          <t>Annuaire statistique de la France, 1981, Institut National de la Statistique et des Études Économiques, Paris, 1982. p. 421</t>
        </r>
      </text>
    </comment>
    <comment ref="B38" authorId="0" shapeId="0" xr:uid="{ED22E35A-4108-4380-81A7-1CC4B5DADAB0}">
      <text>
        <r>
          <rPr>
            <sz val="9"/>
            <color indexed="81"/>
            <rFont val="Tahoma"/>
            <family val="2"/>
          </rPr>
          <t>Annuaire statistique de la France, 1985, Institut National de la Statistique et des Études Économiques, Paris, 1986. p. 553</t>
        </r>
      </text>
    </comment>
    <comment ref="H38" authorId="0" shapeId="0" xr:uid="{18A631A7-B9CA-4880-A32D-C94B1F7D69D8}">
      <text>
        <r>
          <rPr>
            <sz val="9"/>
            <color indexed="81"/>
            <rFont val="Tahoma"/>
            <family val="2"/>
          </rPr>
          <t>Annuaire statistique de la France, 1982, Institut National de la Statistique et des Études Économiques, Paris, 1983. p. 497</t>
        </r>
      </text>
    </comment>
    <comment ref="L38" authorId="0" shapeId="0" xr:uid="{96FC7EA7-8015-47BF-9AB2-5263C328801B}">
      <text>
        <r>
          <rPr>
            <sz val="9"/>
            <color indexed="81"/>
            <rFont val="Tahoma"/>
            <family val="2"/>
          </rPr>
          <t>Annuaire statistique de la France, 1982, Institut National de la Statistique et des Études Économiques, Paris, 1983. p. 497</t>
        </r>
      </text>
    </comment>
    <comment ref="B39" authorId="0" shapeId="0" xr:uid="{A5D48374-0D33-4BF9-B374-4F27B17F2183}">
      <text>
        <r>
          <rPr>
            <sz val="9"/>
            <color indexed="81"/>
            <rFont val="Tahoma"/>
            <family val="2"/>
          </rPr>
          <t>Annuaire statistique de la France, 1985, Institut National de la Statistique et des Études Économiques, Paris, 1986. p. 553</t>
        </r>
      </text>
    </comment>
    <comment ref="D39" authorId="0" shapeId="0" xr:uid="{8E029744-6B6C-46AE-A174-D28D9212EB30}">
      <text>
        <r>
          <rPr>
            <sz val="9"/>
            <color indexed="81"/>
            <rFont val="Tahoma"/>
            <family val="2"/>
          </rPr>
          <t>Annuaire statistique de la France, 1987, Institut National de la Statistique et des Études Économiques, Paris, 1988. p. 591</t>
        </r>
      </text>
    </comment>
    <comment ref="H39" authorId="0" shapeId="0" xr:uid="{F3CC5D79-DFCA-46B8-8FDE-393438986A0C}">
      <text>
        <r>
          <rPr>
            <sz val="9"/>
            <color indexed="81"/>
            <rFont val="Tahoma"/>
            <family val="2"/>
          </rPr>
          <t>Annuaire statistique de la France, 1983, Institut National de la Statistique et des Études Économiques, Paris, 1984. p. 419</t>
        </r>
      </text>
    </comment>
    <comment ref="L39" authorId="0" shapeId="0" xr:uid="{F1F6C9DB-6BB0-491F-ADBC-DE27DDFA7417}">
      <text>
        <r>
          <rPr>
            <sz val="9"/>
            <color indexed="81"/>
            <rFont val="Tahoma"/>
            <family val="2"/>
          </rPr>
          <t>Annuaire statistique de la France, 1983, Institut National de la Statistique et des Études Économiques, Paris, 1984. p. 419</t>
        </r>
      </text>
    </comment>
    <comment ref="B40" authorId="0" shapeId="0" xr:uid="{C27B908D-5784-4AF9-A9EF-9015E2450687}">
      <text>
        <r>
          <rPr>
            <sz val="9"/>
            <color indexed="81"/>
            <rFont val="Tahoma"/>
            <family val="2"/>
          </rPr>
          <t>Annuaire statistique de la France, 1985, Institut National de la Statistique et des Études Économiques, Paris, 1986. p. 553</t>
        </r>
      </text>
    </comment>
    <comment ref="D40" authorId="0" shapeId="0" xr:uid="{932E61AE-DA44-4586-A410-6B7A5731BAB0}">
      <text>
        <r>
          <rPr>
            <sz val="9"/>
            <color indexed="81"/>
            <rFont val="Tahoma"/>
            <family val="2"/>
          </rPr>
          <t>Annuaire statistique de la France, 1987, Institut National de la Statistique et des Études Économiques, Paris, 1988. p. 591</t>
        </r>
      </text>
    </comment>
    <comment ref="G40" authorId="0" shapeId="0" xr:uid="{9A54413A-CFA6-4DD6-9CED-F09EE6BDDB6B}">
      <text>
        <r>
          <rPr>
            <sz val="9"/>
            <color indexed="81"/>
            <rFont val="Tahoma"/>
            <family val="2"/>
          </rPr>
          <t>"Le verre feuilleté architectural et le marché français",  Verre, vol 3, no1, January-February 1989</t>
        </r>
      </text>
    </comment>
    <comment ref="B41" authorId="0" shapeId="0" xr:uid="{73807AE7-2482-4D39-8477-100A62653B69}">
      <text>
        <r>
          <rPr>
            <sz val="9"/>
            <color indexed="81"/>
            <rFont val="Tahoma"/>
            <family val="2"/>
          </rPr>
          <t>Annuaire statistique de la France, 1985, Institut National de la Statistique et des Études Économiques, Paris, 1986. p. 553</t>
        </r>
      </text>
    </comment>
    <comment ref="D41" authorId="0" shapeId="0" xr:uid="{FF4B41DA-2449-48DF-8C30-4EB4D6DD2516}">
      <text>
        <r>
          <rPr>
            <sz val="9"/>
            <color indexed="81"/>
            <rFont val="Tahoma"/>
            <family val="2"/>
          </rPr>
          <t>Annuaire statistique de la France, 1989, Institut National de la Statistique et des Études Économiques, Paris, 1990. p. 573</t>
        </r>
      </text>
    </comment>
    <comment ref="B42" authorId="0" shapeId="0" xr:uid="{4805F26C-BBDC-4A2A-9502-7B23024B91ED}">
      <text>
        <r>
          <rPr>
            <sz val="9"/>
            <color indexed="81"/>
            <rFont val="Tahoma"/>
            <family val="2"/>
          </rPr>
          <t>"L'industrie du verre en France", Verre, vol 1, no. 4, July-August 1995, p. 34-35</t>
        </r>
      </text>
    </comment>
    <comment ref="D42" authorId="0" shapeId="0" xr:uid="{A1E7234B-6C12-48A5-BC57-E489980F9F2A}">
      <text>
        <r>
          <rPr>
            <sz val="9"/>
            <color indexed="81"/>
            <rFont val="Tahoma"/>
            <family val="2"/>
          </rPr>
          <t>Annuaire statistique de la France, 1989, Institut National de la Statistique et des Études Économiques, Paris, 1990. p. 573</t>
        </r>
      </text>
    </comment>
    <comment ref="B43" authorId="0" shapeId="0" xr:uid="{3297D85D-62C0-4DF8-86F6-37A9D46632D5}">
      <text>
        <r>
          <rPr>
            <sz val="9"/>
            <color indexed="81"/>
            <rFont val="Tahoma"/>
            <family val="2"/>
          </rPr>
          <t>"L'industrie du verre en France", Verre, vol 1, no. 4, July-August 1995, p. 34-35</t>
        </r>
      </text>
    </comment>
    <comment ref="D43" authorId="0" shapeId="0" xr:uid="{0CDA5522-30BD-481E-91EE-9F67288676DC}">
      <text>
        <r>
          <rPr>
            <sz val="9"/>
            <color indexed="81"/>
            <rFont val="Tahoma"/>
            <family val="2"/>
          </rPr>
          <t>Annuaire statistique de la France, 1991-92, Institut National de la Statistique et des Études Économiques, Paris, 1993. p. 551</t>
        </r>
      </text>
    </comment>
    <comment ref="G43" authorId="0" shapeId="0" xr:uid="{F7B751FE-7464-41A2-97AA-D32D622A9E00}">
      <text>
        <r>
          <rPr>
            <sz val="9"/>
            <color indexed="81"/>
            <rFont val="Tahoma"/>
            <family val="2"/>
          </rPr>
          <t>"Le verre feuilleté architectural et le marché français",  Verre, vol 3, no1, January-February 1989</t>
        </r>
      </text>
    </comment>
    <comment ref="B44" authorId="0" shapeId="0" xr:uid="{6CC7F956-4D64-45CC-8689-07F85755E9C8}">
      <text>
        <r>
          <rPr>
            <sz val="9"/>
            <color indexed="81"/>
            <rFont val="Tahoma"/>
            <family val="2"/>
          </rPr>
          <t>"L'industrie du verre en France", Verre, vol 1, no. 4, July-August 1995, p. 34-35</t>
        </r>
      </text>
    </comment>
    <comment ref="D44" authorId="0" shapeId="0" xr:uid="{517D0C5E-AC3E-4397-86EE-7BB104372444}">
      <text>
        <r>
          <rPr>
            <sz val="9"/>
            <color indexed="81"/>
            <rFont val="Tahoma"/>
            <family val="2"/>
          </rPr>
          <t>Annuaire statistique de la France, 1991-92, Institut National de la Statistique et des Études Économiques, Paris, 1993. p. 551</t>
        </r>
      </text>
    </comment>
    <comment ref="G44" authorId="0" shapeId="0" xr:uid="{ACAE2BE2-447E-434F-B84A-602F987A6D88}">
      <text>
        <r>
          <rPr>
            <sz val="9"/>
            <color indexed="81"/>
            <rFont val="Tahoma"/>
            <family val="2"/>
          </rPr>
          <t>"Le verre feuilleté architectural et le marché français",  Verre, vol 3, no1, January-February 1989</t>
        </r>
      </text>
    </comment>
    <comment ref="B45" authorId="0" shapeId="0" xr:uid="{2BA8AE0B-4227-4C1B-9F0C-ADF074AD9641}">
      <text>
        <r>
          <rPr>
            <sz val="9"/>
            <color indexed="81"/>
            <rFont val="Tahoma"/>
            <family val="2"/>
          </rPr>
          <t>"L'industrie du verre en France", Verre, vol 1, no. 4, July-August 1995, p. 34-35</t>
        </r>
      </text>
    </comment>
    <comment ref="D45" authorId="0" shapeId="0" xr:uid="{02F77506-D543-4198-A601-DAB15B93D8BE}">
      <text>
        <r>
          <rPr>
            <sz val="9"/>
            <color indexed="81"/>
            <rFont val="Tahoma"/>
            <family val="2"/>
          </rPr>
          <t>Annuaire statistique de la France, 1991-92, Institut National de la Statistique et des Études Économiques, Paris, 1993. p. 551</t>
        </r>
      </text>
    </comment>
    <comment ref="G45" authorId="0" shapeId="0" xr:uid="{C4C39B67-0D64-42BF-8C5B-8362491A5F88}">
      <text>
        <r>
          <rPr>
            <sz val="9"/>
            <color indexed="81"/>
            <rFont val="Tahoma"/>
            <family val="2"/>
          </rPr>
          <t>"Le verre feuilleté architectural et le marché français",  Verre, vol 3, no1, January-February 1989</t>
        </r>
      </text>
    </comment>
    <comment ref="B46" authorId="0" shapeId="0" xr:uid="{59AB9BC8-F330-4069-8893-C7A33920532A}">
      <text>
        <r>
          <rPr>
            <sz val="9"/>
            <color indexed="81"/>
            <rFont val="Tahoma"/>
            <family val="2"/>
          </rPr>
          <t>"L'industrie du verre en France", Verre, vol 1, no. 4, July-August 1995, p. 34-35</t>
        </r>
      </text>
    </comment>
    <comment ref="D46" authorId="0" shapeId="0" xr:uid="{9FEEF4FE-8655-4664-8F18-1D5A93F1FB42}">
      <text>
        <r>
          <rPr>
            <sz val="9"/>
            <color indexed="81"/>
            <rFont val="Tahoma"/>
            <family val="2"/>
          </rPr>
          <t>Annuaire statistique de la France, 1991-92, Institut National de la Statistique et des Études Économiques, Paris, 1993. p. 551</t>
        </r>
      </text>
    </comment>
    <comment ref="B47" authorId="0" shapeId="0" xr:uid="{B5404496-9EAD-42D6-919D-87DC457ABF3A}">
      <text>
        <r>
          <rPr>
            <sz val="9"/>
            <color indexed="81"/>
            <rFont val="Tahoma"/>
            <family val="2"/>
          </rPr>
          <t>"L'industrie du verre en France", Verre, vol 1, no. 4, July-August 1995, p. 34-35</t>
        </r>
      </text>
    </comment>
    <comment ref="D47" authorId="0" shapeId="0" xr:uid="{F4175C34-5B56-48FE-8EEB-12E08997EE57}">
      <text>
        <r>
          <rPr>
            <sz val="9"/>
            <color indexed="81"/>
            <rFont val="Tahoma"/>
            <family val="2"/>
          </rPr>
          <t>Annuaire statistique de la France, 1991-92, Institut National de la Statistique et des Études Économiques, Paris, 1993. p. 551</t>
        </r>
      </text>
    </comment>
    <comment ref="B48" authorId="0" shapeId="0" xr:uid="{F399DEAC-776D-4290-8F05-4879B0C6DC68}">
      <text>
        <r>
          <rPr>
            <sz val="9"/>
            <color indexed="81"/>
            <rFont val="Tahoma"/>
            <family val="2"/>
          </rPr>
          <t>"L'industrie du verre en France", Verre, vol 1, no. 4, July-August 1995, p. 34-35</t>
        </r>
      </text>
    </comment>
    <comment ref="D48" authorId="0" shapeId="0" xr:uid="{825D18E8-6F12-428A-A94D-8EB62024A992}">
      <text>
        <r>
          <rPr>
            <sz val="9"/>
            <color indexed="81"/>
            <rFont val="Tahoma"/>
            <family val="2"/>
          </rPr>
          <t>Annuaire statistique de la France, 1993, Institut National de la Statistique et des Études Économiques, Paris, 1994. p. 551</t>
        </r>
      </text>
    </comment>
    <comment ref="B49" authorId="0" shapeId="0" xr:uid="{6BB6E72D-ED3C-41CA-B02B-69A4A4E3ABD6}">
      <text>
        <r>
          <rPr>
            <sz val="9"/>
            <color indexed="81"/>
            <rFont val="Tahoma"/>
            <family val="2"/>
          </rPr>
          <t xml:space="preserve">"Statistiques de l'industrie du verre", </t>
        </r>
        <r>
          <rPr>
            <i/>
            <sz val="9"/>
            <color indexed="81"/>
            <rFont val="Tahoma"/>
            <family val="2"/>
          </rPr>
          <t>Verre</t>
        </r>
        <r>
          <rPr>
            <sz val="9"/>
            <color indexed="81"/>
            <rFont val="Tahoma"/>
            <family val="2"/>
          </rPr>
          <t>, vol. 8, n°2, March-April 1994, p. 109</t>
        </r>
      </text>
    </comment>
    <comment ref="D49" authorId="0" shapeId="0" xr:uid="{5F2511C6-4C72-400A-A0CE-0B88410C9848}">
      <text>
        <r>
          <rPr>
            <sz val="9"/>
            <color indexed="81"/>
            <rFont val="Tahoma"/>
            <family val="2"/>
          </rPr>
          <t>Annuaire statistique de la France, 1994, Institut National de la Statistique et des Études Économiques, Paris, 1995. p. 593</t>
        </r>
      </text>
    </comment>
    <comment ref="B50" authorId="0" shapeId="0" xr:uid="{C2C62BD6-DB80-41CC-B3B0-1DFD4A17F472}">
      <text>
        <r>
          <rPr>
            <sz val="9"/>
            <color indexed="81"/>
            <rFont val="Tahoma"/>
            <family val="2"/>
          </rPr>
          <t>"Statistiques de l'industrie du verre", Verre, vol. 8, n°2, March-April 1994, p. 109</t>
        </r>
      </text>
    </comment>
    <comment ref="D50" authorId="0" shapeId="0" xr:uid="{BE4E09DC-B2B7-4B34-BC91-355BAFB1A703}">
      <text>
        <r>
          <rPr>
            <sz val="9"/>
            <color indexed="81"/>
            <rFont val="Tahoma"/>
            <family val="2"/>
          </rPr>
          <t>Annuaire statistique de la France, 1994, Institut National de la Statistique et des Études Économiques, Paris, 1995. p. 593</t>
        </r>
      </text>
    </comment>
    <comment ref="B51" authorId="0" shapeId="0" xr:uid="{CA88BFE8-50A6-427D-85B8-F2EF00C134FE}">
      <text>
        <r>
          <rPr>
            <sz val="9"/>
            <color indexed="81"/>
            <rFont val="Tahoma"/>
            <family val="2"/>
          </rPr>
          <t>"Statistiques de l'industrie verrière française en 1994", Verre, vol. 1, n°2, March-April 1995, p. 26-7</t>
        </r>
      </text>
    </comment>
    <comment ref="C51" authorId="0" shapeId="0" xr:uid="{108D1411-E8FE-49FC-81A4-337C6874655A}">
      <text>
        <r>
          <rPr>
            <sz val="9"/>
            <color indexed="81"/>
            <rFont val="Tahoma"/>
            <family val="2"/>
          </rPr>
          <t>"L'industrie du verre en France", Verre, vol 1, no. 4, July-August 1995, p. 34-35</t>
        </r>
      </text>
    </comment>
    <comment ref="D51" authorId="0" shapeId="0" xr:uid="{DDD23B62-A7AE-4E9E-9392-0FDE9FECD422}">
      <text>
        <r>
          <rPr>
            <sz val="9"/>
            <color indexed="81"/>
            <rFont val="Tahoma"/>
            <family val="2"/>
          </rPr>
          <t>Annuaire statistique de la France, 1997, Institut National de la Statistique et des Études Économiques, Paris, 1998. p. 691</t>
        </r>
      </text>
    </comment>
    <comment ref="F51" authorId="0" shapeId="0" xr:uid="{DBFD3C7B-08BF-4E35-BFC3-3EA16BDB337C}">
      <text>
        <r>
          <rPr>
            <sz val="9"/>
            <color indexed="81"/>
            <rFont val="Tahoma"/>
            <family val="2"/>
          </rPr>
          <t>"Statistiques du verre plat en France", Verre, vol. 3, n° 5, September-October 1997, p. 42-43</t>
        </r>
      </text>
    </comment>
    <comment ref="G51" authorId="0" shapeId="0" xr:uid="{A05AEE25-BE83-49F2-A8B4-2086069614BA}">
      <text>
        <r>
          <rPr>
            <sz val="9"/>
            <color indexed="81"/>
            <rFont val="Tahoma"/>
            <family val="2"/>
          </rPr>
          <t>"Statistiques du verre plat en France", Verre, vol. 3, n° 5, September-October 1997, p. 42-43</t>
        </r>
      </text>
    </comment>
    <comment ref="B52" authorId="0" shapeId="0" xr:uid="{9A6DE3C5-F443-4B87-9F08-89230F7F7482}">
      <text>
        <r>
          <rPr>
            <sz val="9"/>
            <color indexed="81"/>
            <rFont val="Tahoma"/>
            <family val="2"/>
          </rPr>
          <t>"Le verre plat européen: stragies et réalités", Verre, vol. 2, n° 5, septembre-octobre 1996, p. 40-6</t>
        </r>
      </text>
    </comment>
    <comment ref="D52" authorId="0" shapeId="0" xr:uid="{54DD236D-EBB8-4BB5-81E3-9ACECD7FB205}">
      <text>
        <r>
          <rPr>
            <sz val="9"/>
            <color indexed="81"/>
            <rFont val="Tahoma"/>
            <family val="2"/>
          </rPr>
          <t>Annuaire statistique de la France, 1997, Institut National de la Statistique et des Études Économiques, Paris, 1998. p. 691</t>
        </r>
      </text>
    </comment>
    <comment ref="F52" authorId="0" shapeId="0" xr:uid="{E9E2C86C-310B-4AA7-AC26-971ECA5D6FAD}">
      <text>
        <r>
          <rPr>
            <sz val="9"/>
            <color indexed="81"/>
            <rFont val="Tahoma"/>
            <family val="2"/>
          </rPr>
          <t>"Statistiques du verre plat en France", Verre, vol. 3, n° 5, September-October 1997, p. 42-43</t>
        </r>
      </text>
    </comment>
    <comment ref="G52" authorId="0" shapeId="0" xr:uid="{6937FAF9-B9F5-4150-A013-FA413D249FDC}">
      <text>
        <r>
          <rPr>
            <sz val="9"/>
            <color indexed="81"/>
            <rFont val="Tahoma"/>
            <family val="2"/>
          </rPr>
          <t>"Statistiques du verre plat en France", Verre, vol. 3, n° 5, September-October 1997, p. 42-43</t>
        </r>
      </text>
    </comment>
    <comment ref="B53" authorId="0" shapeId="0" xr:uid="{FD30F92E-BC62-4C5B-A354-7429E72190D5}">
      <text>
        <r>
          <rPr>
            <sz val="9"/>
            <color indexed="81"/>
            <rFont val="Tahoma"/>
            <family val="2"/>
          </rPr>
          <t>"Statistiques de l'industrie verrière fançaise en 1996", Verre, vol. 3, n° 2, mars-avril 1997, p. 32-33</t>
        </r>
      </text>
    </comment>
    <comment ref="D53" authorId="0" shapeId="0" xr:uid="{5CFA633E-C255-42C4-BEB1-6E3CBEC44F47}">
      <text>
        <r>
          <rPr>
            <sz val="9"/>
            <color indexed="81"/>
            <rFont val="Tahoma"/>
            <family val="2"/>
          </rPr>
          <t>Annuaire statistique de la France, 1997, Institut National de la Statistique et des Études Économiques, Paris, 1998. p. 691</t>
        </r>
      </text>
    </comment>
    <comment ref="F53" authorId="0" shapeId="0" xr:uid="{94B8AFB2-C001-4E09-96CD-4B19470B2337}">
      <text>
        <r>
          <rPr>
            <sz val="9"/>
            <color indexed="81"/>
            <rFont val="Tahoma"/>
            <family val="2"/>
          </rPr>
          <t>"Statistiques du verre plat en France", Verre, vol. 3, n° 5, September-October 1997, p. 42-43</t>
        </r>
      </text>
    </comment>
    <comment ref="G53" authorId="0" shapeId="0" xr:uid="{23B19701-1AC6-4923-A8B4-42F34818CAE3}">
      <text>
        <r>
          <rPr>
            <sz val="9"/>
            <color indexed="81"/>
            <rFont val="Tahoma"/>
            <family val="2"/>
          </rPr>
          <t>"Statistiques du verre plat en France", Verre, vol. 3, n° 5, September-October 1997, p. 42-43</t>
        </r>
      </text>
    </comment>
    <comment ref="B54" authorId="0" shapeId="0" xr:uid="{22E0FCEF-B881-49C0-B7D2-E6845E5A7101}">
      <text>
        <r>
          <rPr>
            <sz val="9"/>
            <color indexed="81"/>
            <rFont val="Tahoma"/>
            <family val="2"/>
          </rPr>
          <t>"Statistiques de l'industrie verrière en 1997", Verre, vol. 4, n°2, March-April 1998, p. 58-9</t>
        </r>
      </text>
    </comment>
    <comment ref="F54" authorId="0" shapeId="0" xr:uid="{959AC26E-CBCC-4DEC-8560-09863F60F4B2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B55" authorId="0" shapeId="0" xr:uid="{4811262D-538F-46E6-BC99-539216137CB2}">
      <text>
        <r>
          <rPr>
            <sz val="9"/>
            <color indexed="81"/>
            <rFont val="Tahoma"/>
            <family val="2"/>
          </rPr>
          <t>"L'industrie verrière française en 2003", Verre, vol. 10, n° 5, October 2004, p. 52-6</t>
        </r>
      </text>
    </comment>
    <comment ref="D55" authorId="0" shapeId="0" xr:uid="{BD693CD3-0DB4-4B0D-974A-1ACF4B7D23E5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55" authorId="0" shapeId="0" xr:uid="{17C3FCA3-8582-46E8-B635-0A3C205A5F8E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55" authorId="0" shapeId="0" xr:uid="{9558DA2A-68D2-44DC-BF92-6BB69F0C1C7A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56" authorId="0" shapeId="0" xr:uid="{F46C0D4B-E8F3-4810-8718-913BC43B8B4A}">
      <text>
        <r>
          <rPr>
            <sz val="9"/>
            <color indexed="81"/>
            <rFont val="Tahoma"/>
            <family val="2"/>
          </rPr>
          <t>"L'industrie verrière française en 2003", Verre, vol. 10 n°5 octobre 2004, 52-56</t>
        </r>
      </text>
    </comment>
    <comment ref="D56" authorId="0" shapeId="0" xr:uid="{BAB244C9-B46F-4C1C-B39E-8A9EDD00A709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56" authorId="0" shapeId="0" xr:uid="{1BC29155-BD7E-4A4D-AC0D-E0A233A1B0EB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56" authorId="0" shapeId="0" xr:uid="{D7250795-E583-4719-869A-DD8981F0DE4F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57" authorId="0" shapeId="0" xr:uid="{4D33A3D7-BB36-419D-8223-01AA51ECAF99}">
      <text>
        <r>
          <rPr>
            <sz val="9"/>
            <color indexed="81"/>
            <rFont val="Tahoma"/>
            <family val="2"/>
          </rPr>
          <t>"L'industrie verrière française en 2003", Verre, vol. 10 n°5 octobre 2004, 52-56</t>
        </r>
      </text>
    </comment>
    <comment ref="D57" authorId="0" shapeId="0" xr:uid="{199C7D39-0E25-4898-A6C2-0AACBA614FA9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57" authorId="0" shapeId="0" xr:uid="{FF7E30A2-FBEB-41A4-9B0B-D3666FD47A77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57" authorId="0" shapeId="0" xr:uid="{BEF3B338-683E-4338-A22A-A1B02FC5474B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58" authorId="0" shapeId="0" xr:uid="{CD6420F0-E628-44E1-BEA5-B933D098E632}">
      <text>
        <r>
          <rPr>
            <sz val="9"/>
            <color indexed="81"/>
            <rFont val="Tahoma"/>
            <family val="2"/>
          </rPr>
          <t>"L'industrie verrière française en 2003", Verre, vol. 10 n°5 octobre 2004, 52-56</t>
        </r>
      </text>
    </comment>
    <comment ref="D58" authorId="0" shapeId="0" xr:uid="{28A45039-8DBE-4519-AB99-D04EC8A396B3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58" authorId="0" shapeId="0" xr:uid="{03577CD0-91E7-4C0B-B6DC-C4FA18C0CC09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59" authorId="0" shapeId="0" xr:uid="{C9FA6131-4EC5-4C17-A4F9-30FE42F9B5CD}">
      <text>
        <r>
          <rPr>
            <sz val="9"/>
            <color indexed="81"/>
            <rFont val="Tahoma"/>
            <family val="2"/>
          </rPr>
          <t>"L'industrie française du verre", Verre, vol. 11 n°3 Juin 2005, 68_72</t>
        </r>
      </text>
    </comment>
    <comment ref="C59" authorId="0" shapeId="0" xr:uid="{0DF707E3-761D-409C-99C9-3C1CD0AC0C13}">
      <text>
        <r>
          <rPr>
            <sz val="9"/>
            <color indexed="81"/>
            <rFont val="Tahoma"/>
            <family val="2"/>
          </rPr>
          <t>Verre Online, portail de l’industrie du verre française,
http://www.verreonline.fr/junior/indu00.php
(accessed  October 6 2019)</t>
        </r>
      </text>
    </comment>
    <comment ref="B60" authorId="0" shapeId="0" xr:uid="{17D9D6D3-AACE-4F44-AF33-6D0E9D6470B8}">
      <text>
        <r>
          <rPr>
            <sz val="9"/>
            <color indexed="81"/>
            <rFont val="Tahoma"/>
            <family val="2"/>
          </rPr>
          <t>"L'industrie française du verre en 2003", Verre, vol. 10 n°5, October 2004, 52-6</t>
        </r>
      </text>
    </comment>
    <comment ref="D60" authorId="0" shapeId="0" xr:uid="{3B4D5377-BE45-4AF0-B42F-E5573453EC1B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60" authorId="0" shapeId="0" xr:uid="{D7992CF9-B532-4DF3-9D90-43B07DD9A07E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1" authorId="0" shapeId="0" xr:uid="{5FAC6FFF-C7AB-4273-9D89-4B05758AC22A}">
      <text>
        <r>
          <rPr>
            <sz val="9"/>
            <color indexed="81"/>
            <rFont val="Tahoma"/>
            <family val="2"/>
          </rPr>
          <t>"L'industrie française du verre", Verre, vol. 11 n°3 Juin 2005, p. 68-72</t>
        </r>
      </text>
    </comment>
    <comment ref="C61" authorId="0" shapeId="0" xr:uid="{EB883FF0-5EDF-4C25-AD66-35988533AFA8}">
      <text>
        <r>
          <rPr>
            <sz val="9"/>
            <color indexed="81"/>
            <rFont val="Tahoma"/>
            <family val="2"/>
          </rPr>
          <t>"L'industrie verrière française en 2003", Verre, vol. 10 n°5 octobre 2004, 52-56</t>
        </r>
      </text>
    </comment>
    <comment ref="D61" authorId="0" shapeId="0" xr:uid="{145076F5-E385-4A79-B0D2-2BF31DE0EB5F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61" authorId="0" shapeId="0" xr:uid="{D5DDB4ED-ECDD-4F9A-91FF-A9D2682B7F23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61" authorId="0" shapeId="0" xr:uid="{C15DC969-2832-4774-BE51-BD877DFC5EBF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2" authorId="0" shapeId="0" xr:uid="{6DB0907B-B883-4E55-9ED1-7F713128AF7A}">
      <text>
        <r>
          <rPr>
            <sz val="9"/>
            <color indexed="81"/>
            <rFont val="Tahoma"/>
            <family val="2"/>
          </rPr>
          <t>"L'industrie française du verre", Verre, vol. 11 n°3 Juin 2005, 68_72</t>
        </r>
      </text>
    </comment>
    <comment ref="D62" authorId="0" shapeId="0" xr:uid="{C7E96746-251F-48F9-8851-7AD9938CDFCB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62" authorId="0" shapeId="0" xr:uid="{1074DEE6-882B-4800-A250-647A4EBAB741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62" authorId="0" shapeId="0" xr:uid="{75DEF1D4-8B30-41DD-AE2D-3592C30AF638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3" authorId="0" shapeId="0" xr:uid="{05C99B5A-7242-4DF3-B576-A575ADDACFD1}">
      <text>
        <r>
          <rPr>
            <sz val="9"/>
            <color indexed="81"/>
            <rFont val="Tahoma"/>
            <family val="2"/>
          </rPr>
          <t>"Lindustrie verrière française en 2006", Verre, vol.13, no. 6, dec 2007, 66-9</t>
        </r>
      </text>
    </comment>
    <comment ref="D63" authorId="0" shapeId="0" xr:uid="{7DC4F8D9-2090-480C-8299-BF7429CBF7C5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63" authorId="0" shapeId="0" xr:uid="{E34512A8-6E02-4F56-9B27-E7F239E9A79F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63" authorId="0" shapeId="0" xr:uid="{EEACD3B0-0D39-4A9A-A603-BFB1B91163A2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4" authorId="0" shapeId="0" xr:uid="{EA201989-7BD6-4CB6-9108-A9DD8FF988D9}">
      <text>
        <r>
          <rPr>
            <sz val="9"/>
            <color indexed="81"/>
            <rFont val="Tahoma"/>
            <family val="2"/>
          </rPr>
          <t>"L'industrie verrière française en 2007", Verre, vol. 14, n°4, august 2008, p. 10-3</t>
        </r>
      </text>
    </comment>
    <comment ref="D64" authorId="0" shapeId="0" xr:uid="{ADA85C24-1557-485C-AF31-A94B48DB06FF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64" authorId="0" shapeId="0" xr:uid="{8A6E0FD0-C5EA-4B40-8D8A-410466136D8B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64" authorId="0" shapeId="0" xr:uid="{171FD594-BAD8-4D3D-86BD-537EB56BD1A4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5" authorId="0" shapeId="0" xr:uid="{A4DA013E-AC30-415E-A5C3-7028F2850EE1}">
      <text>
        <r>
          <rPr>
            <sz val="9"/>
            <color indexed="81"/>
            <rFont val="Tahoma"/>
            <family val="2"/>
          </rPr>
          <t>"L'évolution générale de l'industrie du verre en 2008", Verre, vol. 15, n°5, nov. 2009, p. 37-9</t>
        </r>
      </text>
    </comment>
    <comment ref="D65" authorId="0" shapeId="0" xr:uid="{0DF39D50-D738-4EF9-815C-50194703B939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65" authorId="0" shapeId="0" xr:uid="{F0D5B377-BFA3-4082-9A6F-6B05985B2677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65" authorId="0" shapeId="0" xr:uid="{67C24F64-F30C-4C9E-B3FE-D0234405C777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6" authorId="0" shapeId="0" xr:uid="{B9167F23-4557-441E-B2F1-E6FC9117206F}">
      <text>
        <r>
          <rPr>
            <sz val="9"/>
            <color indexed="81"/>
            <rFont val="Tahoma"/>
            <family val="2"/>
          </rPr>
          <t>Rapport d'activité 2013, Fédération des industries du verre.
http://www.verre-avenir.fr/Espace-Communication/Espace-Presse/Communiques-de-presse</t>
        </r>
      </text>
    </comment>
    <comment ref="D66" authorId="0" shapeId="0" xr:uid="{FE55B507-78BF-4278-A0C5-45284538797D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66" authorId="0" shapeId="0" xr:uid="{09BD6D4D-219E-48F0-99F7-4A15098E25CA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66" authorId="0" shapeId="0" xr:uid="{E01CC1A8-21D9-4A9D-8D6D-7813645B82EC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7" authorId="0" shapeId="0" xr:uid="{608A7745-0C78-45B1-833C-6C0D36CA011B}">
      <text>
        <r>
          <rPr>
            <sz val="9"/>
            <color indexed="81"/>
            <rFont val="Tahoma"/>
            <family val="2"/>
          </rPr>
          <t>Rapport d'activité 2013, Fédération des industries du verre.
http://www.verre-avenir.fr/Espace-Communication/Espace-Presse/Communiques-de-presse</t>
        </r>
      </text>
    </comment>
    <comment ref="D67" authorId="0" shapeId="0" xr:uid="{93229A4D-7E79-406E-BD03-5C92323E8069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67" authorId="0" shapeId="0" xr:uid="{32D96FCD-BE52-4989-BB4F-B1ABDF501C44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67" authorId="0" shapeId="0" xr:uid="{33CCA0FF-80D3-46F5-87E5-2E910E861045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8" authorId="0" shapeId="0" xr:uid="{FC3C3D2F-67B1-4D19-A39D-9BD6077DD7CE}">
      <text>
        <r>
          <rPr>
            <sz val="9"/>
            <color indexed="81"/>
            <rFont val="Tahoma"/>
            <family val="2"/>
          </rPr>
          <t>Rapport d'activité 2013, Fédération des industries du verre.
http://www.verre-avenir.fr/Espace-Communication/Espace-Presse/Communiques-de-presse</t>
        </r>
      </text>
    </comment>
    <comment ref="D68" authorId="0" shapeId="0" xr:uid="{FF852DF5-7BB7-4F3C-9408-6262DAE93E18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68" authorId="0" shapeId="0" xr:uid="{3582A291-1B29-4FE9-A13B-F6D425A1C45A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68" authorId="0" shapeId="0" xr:uid="{49EB2181-B8BB-43B2-865F-3DDE68F1123A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9" authorId="0" shapeId="0" xr:uid="{E3811405-77BA-4DD8-AC23-4AA09F95ABB0}">
      <text>
        <r>
          <rPr>
            <sz val="9"/>
            <color indexed="81"/>
            <rFont val="Tahoma"/>
            <family val="2"/>
          </rPr>
          <t>Rapport d'activité 2013, Fédération des industries du verre.
http://www.verre-avenir.fr/Espace-Communication/Espace-Presse/Communiques-de-presse</t>
        </r>
      </text>
    </comment>
    <comment ref="D69" authorId="0" shapeId="0" xr:uid="{2FC7E9B1-B0F6-489E-94A3-FE212771E569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69" authorId="0" shapeId="0" xr:uid="{584E21CF-C6ED-4887-B439-B1412F41E140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69" authorId="0" shapeId="0" xr:uid="{0873C19F-A5DB-482E-BE08-8F43CF28B07A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70" authorId="0" shapeId="0" xr:uid="{19A382A2-03F2-4AB8-9018-C64E8C1DBD0F}">
      <text>
        <r>
          <rPr>
            <sz val="9"/>
            <color indexed="81"/>
            <rFont val="Tahoma"/>
            <family val="2"/>
          </rPr>
          <t>Rapport d'activité 2013, Fédération des industries du verre.
http://www.verre-avenir.fr/Espace-Communication/Espace-Presse/Communiques-de-presse</t>
        </r>
      </text>
    </comment>
    <comment ref="D70" authorId="0" shapeId="0" xr:uid="{63806239-DE57-4805-B1E0-0612E861110E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70" authorId="0" shapeId="0" xr:uid="{34C5A451-C59B-4C06-9908-C66A16EADE69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70" authorId="0" shapeId="0" xr:uid="{2ED36059-8DE9-419E-94D3-853265EBEED0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D71" authorId="0" shapeId="0" xr:uid="{7C5CE02C-012B-46BE-B10B-D789EC129E05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71" authorId="0" shapeId="0" xr:uid="{EF441F3A-AD84-4838-84B6-318AF358BE0F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71" authorId="0" shapeId="0" xr:uid="{CF199295-D3D4-4D86-91A5-F3812518EC6B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D72" authorId="0" shapeId="0" xr:uid="{FDCBA571-0FF9-43C8-A200-5E01F00DFE98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72" authorId="0" shapeId="0" xr:uid="{FA49B3A5-BACB-4CA3-A50C-4873B6EE899D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72" authorId="0" shapeId="0" xr:uid="{CC91613B-9BAC-4548-BA06-8BCB5B69EE9C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D73" authorId="0" shapeId="0" xr:uid="{4EEC977C-F516-4E7F-A7FB-AB2603609DBA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73" authorId="0" shapeId="0" xr:uid="{9BE8C625-2D6C-4F7B-A76D-BE06BBEC3A79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73" authorId="0" shapeId="0" xr:uid="{4083EE0A-2BDF-40A4-A6ED-300E59CF86BD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D74" authorId="0" shapeId="0" xr:uid="{2261C341-93AA-4BE1-BF53-48B958980633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74" authorId="0" shapeId="0" xr:uid="{74034256-E90B-45D9-BBF4-C61E03C26AEB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74" authorId="0" shapeId="0" xr:uid="{51DC10BF-7598-4805-A9E4-DF95D5CB35DA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D75" authorId="0" shapeId="0" xr:uid="{B049187A-49B0-48AD-8E4D-55539A4B3CBA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75" authorId="0" shapeId="0" xr:uid="{27379353-CC85-464F-92F9-9AF1AAE06E62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75" authorId="0" shapeId="0" xr:uid="{6DD84419-7172-4CEC-8AD3-D84E27E65D96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D76" authorId="0" shapeId="0" xr:uid="{C144DA42-CDB6-4968-AFEF-5BD6E43195B5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76" authorId="0" shapeId="0" xr:uid="{E33A8F1A-357A-4DB2-B1F9-F9320E51001D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76" authorId="0" shapeId="0" xr:uid="{328E9B2B-C9EC-4695-A933-1155E5540E17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C0D3187C-153D-4037-A087-EEFF64AB083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 
PRODCOM, Eurostat, 2020
Hypothesis: glass thickness = 4mm
Calculation: sum of data corresponding to codes (see Eurostat website):
23111110
23111150
23111212
23111214
23111217
23111230
23111290
23121210
23121230
23121250
23121270
23121330</t>
        </r>
      </text>
    </comment>
    <comment ref="C1" authorId="0" shapeId="0" xr:uid="{092B2D38-F203-45B3-89B0-CD046436BD54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 
PRODCOM, Eurostat, 2020
Code: 23121330
Label: Multiple-walled insulating units of glass </t>
        </r>
      </text>
    </comment>
    <comment ref="D1" authorId="0" shapeId="0" xr:uid="{F3C5A8AC-D29F-4D0B-894A-3B9AEEB51E3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23121270
Label: Laminated safety glass, n.e.c.</t>
        </r>
      </text>
    </comment>
    <comment ref="E1" authorId="0" shapeId="0" xr:uid="{BD4BADA0-DE67-4089-AC54-35F492E9461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23121230
Label: Toughened (tempered) safety glass, n.e.c.</t>
        </r>
      </text>
    </comment>
    <comment ref="F1" authorId="0" shapeId="0" xr:uid="{9A795A97-8E85-472D-9864-FFAEC3A67401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23111217 
Label: Non-wired sheets, of float, surface ground or polished glass, having an absorbent or reflecting layer, not otherwise worked, of a thickness &gt; 3,5 mm </t>
        </r>
      </text>
    </comment>
    <comment ref="C4" authorId="0" shapeId="0" xr:uid="{3C693CB5-C9EB-40D5-99B2-0668E248FC82}">
      <text>
        <r>
          <rPr>
            <sz val="9"/>
            <color indexed="81"/>
            <rFont val="Tahoma"/>
            <family val="2"/>
          </rPr>
          <t xml:space="preserve">Production of the first insulated glazing
</t>
        </r>
      </text>
    </comment>
    <comment ref="B9" authorId="0" shapeId="0" xr:uid="{2DF514A6-5E8B-436F-ADF2-0D0695889742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B10" authorId="0" shapeId="0" xr:uid="{F94E0364-CAC2-44C2-A66E-A0C60BA8BEFC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B11" authorId="0" shapeId="0" xr:uid="{046A0660-29B0-4C07-99B8-005943D42BE5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B12" authorId="0" shapeId="0" xr:uid="{98729811-D31C-454E-973C-37BE03FB219B}">
      <text>
        <r>
          <rPr>
            <sz val="9"/>
            <color indexed="81"/>
            <rFont val="Tahoma"/>
            <family val="2"/>
          </rPr>
          <t>Annuaire statistique de la France, 1956, Institut National de la Statistique et des Études Économiques, Paris, 1957. p. 165-6</t>
        </r>
      </text>
    </comment>
    <comment ref="B19" authorId="0" shapeId="0" xr:uid="{DB8F1835-5BF0-4756-AC3F-E33848EFFB5E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B23" authorId="0" shapeId="0" xr:uid="{C23F68EF-FBF6-4B03-959B-B7C4F903455E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B25" authorId="0" shapeId="0" xr:uid="{586393C6-8DA2-4C5F-8295-1CE2223B5438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B27" authorId="0" shapeId="0" xr:uid="{463F2206-09BA-4340-ADAE-30EC436D8235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28" authorId="0" shapeId="0" xr:uid="{26217AEE-1990-4E06-A6C9-4C562BA3D3A2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29" authorId="0" shapeId="0" xr:uid="{7B09F40E-6E63-4A55-8719-D5E26CE30F2B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0" authorId="0" shapeId="0" xr:uid="{A5FF646E-0162-4DFE-8613-78D9ABBC241B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1" authorId="0" shapeId="0" xr:uid="{E227A5ED-ABB0-4325-9B7E-ED85608BC78C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2" authorId="0" shapeId="0" xr:uid="{96DB4C83-BE0A-4F4A-BB9B-83F43A16AF9E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3" authorId="0" shapeId="0" xr:uid="{5974FCAF-5AFC-4DBA-B50F-8A9DB18AFA1B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4" authorId="0" shapeId="0" xr:uid="{4740DC44-0339-4F89-905B-BF636540375F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5" authorId="0" shapeId="0" xr:uid="{74745E2A-5399-4A26-92DC-BBDB7B6ADAE7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6" authorId="0" shapeId="0" xr:uid="{4351ADCE-9FD8-45C9-8561-F934ADC0B6ED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7" authorId="0" shapeId="0" xr:uid="{3B5C9ADD-AB23-472D-8E4C-1B4261424A48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8" authorId="0" shapeId="0" xr:uid="{D16B0EC9-483B-4BB2-91D0-9ADFDBC782A3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9" authorId="0" shapeId="0" xr:uid="{E0F553F5-039D-4937-B612-8B3FF93A2365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40" authorId="0" shapeId="0" xr:uid="{5BC3F267-3426-4222-B963-C2C74957DF1F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41" authorId="0" shapeId="0" xr:uid="{BAE1710F-7B32-45B2-BAFD-7CED807674BB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42" authorId="0" shapeId="0" xr:uid="{431ED04B-9FF7-47DB-9182-81594F79EAEE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43" authorId="0" shapeId="0" xr:uid="{790238AE-ADF6-47ED-B2DD-81A5B7A424CE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44" authorId="0" shapeId="0" xr:uid="{8262D1EF-BF89-48A3-B4FC-5E78E353AA9A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53" authorId="0" shapeId="0" xr:uid="{E99905C9-60F4-497A-945D-DD1CDE369D8C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4" authorId="0" shapeId="0" xr:uid="{88059B8D-D182-4613-B5AD-C1CABAA8770F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5" authorId="0" shapeId="0" xr:uid="{97CFC6AD-A551-4074-8B1B-8CB9CA16740C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6" authorId="0" shapeId="0" xr:uid="{98BB1E62-ED7E-4567-A93D-3983B64D96FE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7" authorId="0" shapeId="0" xr:uid="{968AFE4B-A2E8-4CD7-92AE-AC6A11CC30BC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8" authorId="0" shapeId="0" xr:uid="{D9BC17E7-2AC9-4A05-9F01-10205FB34F25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9" authorId="0" shapeId="0" xr:uid="{3DF13541-3235-41E7-9DA4-37080AA8548A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0" authorId="0" shapeId="0" xr:uid="{9FA0E494-F493-408C-B6C1-A49C584B27EC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1" authorId="0" shapeId="0" xr:uid="{008CEE82-A97D-49D0-8346-BDFEDF276A03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2" authorId="0" shapeId="0" xr:uid="{C857BA9B-3C15-4B57-BF03-18C14641CF07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3" authorId="0" shapeId="0" xr:uid="{8CE3331E-C196-4FF0-9EC2-73C10C78F94D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4" authorId="0" shapeId="0" xr:uid="{73C12B66-911C-4DC3-9CDC-8A7AF2B61999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5" authorId="0" shapeId="0" xr:uid="{1BC5724C-D790-42F9-86CD-6AFAB1AA3B77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6" authorId="0" shapeId="0" xr:uid="{8728395A-A4CB-43D9-ADC3-4377E06C8ED9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7" authorId="0" shapeId="0" xr:uid="{41453F47-5E7D-4E52-83E9-8A19F775A3D0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8" authorId="0" shapeId="0" xr:uid="{7F15893F-29B4-416E-94A4-B4D4413303AF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9" authorId="0" shapeId="0" xr:uid="{0C500F11-6A7A-4B23-807B-6B22282B2547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0" authorId="0" shapeId="0" xr:uid="{690F4194-C9FC-48CA-9778-3629FDFA8E72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1" authorId="0" shapeId="0" xr:uid="{731E164E-7635-472F-9819-83992381DEAA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2" authorId="0" shapeId="0" xr:uid="{E4BFDABF-8EED-4BCC-918A-E2B8BC63F1EB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3" authorId="0" shapeId="0" xr:uid="{6481B426-CDB4-4A03-BFE5-EB050F63A3D5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4" authorId="0" shapeId="0" xr:uid="{6C2D490D-3535-47D9-88F8-4AE26253DF59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5" authorId="0" shapeId="0" xr:uid="{1349B0A6-F655-4144-9FAA-9AD31D9D5108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6" authorId="0" shapeId="0" xr:uid="{DAE9935D-BB20-41D8-A5D5-B3F3FA309C98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7" authorId="0" shapeId="0" xr:uid="{EE8DE986-431F-42DD-9B75-575A42F7F10E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8656C1FD-1CB9-444A-93AE-CA7C1173391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Production industrielle: industrie du verre, Service des études et des statistiques industrielles</t>
        </r>
      </text>
    </comment>
    <comment ref="D1" authorId="0" shapeId="0" xr:uid="{69022945-C36F-496D-9864-EF109AF5828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Production industrielle: industrie du verre, Service des études et des statistiques industrielles</t>
        </r>
      </text>
    </comment>
    <comment ref="E1" authorId="0" shapeId="0" xr:uid="{DED84609-F5DE-4EE6-ADC7-7892F3135651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23121330
Label: Multiple-walled insulating units of glass </t>
        </r>
      </text>
    </comment>
    <comment ref="F1" authorId="0" shapeId="0" xr:uid="{407598A0-3D89-47C8-8CF4-0D6CE7B7929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23121270
Label: Laminated safety glass, n.e.c.</t>
        </r>
      </text>
    </comment>
    <comment ref="G1" authorId="0" shapeId="0" xr:uid="{9EA51376-C50E-4D36-9F77-D4B90BC1DEA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23121230
Label: Toughened (tempered) safety glass, n.e.c.</t>
        </r>
      </text>
    </comment>
    <comment ref="H1" authorId="0" shapeId="0" xr:uid="{20A40AEC-088F-456D-B9FF-D171E1DE5793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23111217 
Label: Non-wired sheets, of float, surface ground or polished glass, having an absorbent or reflecting layer, not otherwise worked, of a thickness &gt; 3,5 mm </t>
        </r>
      </text>
    </comment>
    <comment ref="E4" authorId="0" shapeId="0" xr:uid="{2C0F0FC7-5636-4A84-BF97-CF1C61531217}">
      <text>
        <r>
          <rPr>
            <sz val="9"/>
            <color indexed="81"/>
            <rFont val="Tahoma"/>
            <family val="2"/>
          </rPr>
          <t xml:space="preserve">Production of the first insulated glazing
</t>
        </r>
      </text>
    </comment>
    <comment ref="B9" authorId="0" shapeId="0" xr:uid="{FAB4F540-1E97-45DC-9849-D2DB30BEA9AC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B10" authorId="0" shapeId="0" xr:uid="{3AC6C416-463E-44D6-864B-C7ED45416FD1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B11" authorId="0" shapeId="0" xr:uid="{67FDA520-A061-4FFB-9AF7-7C9AE902F565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B12" authorId="0" shapeId="0" xr:uid="{E74397E0-5A3A-4220-80EC-2B0FC9CC68BD}">
      <text>
        <r>
          <rPr>
            <sz val="9"/>
            <color indexed="81"/>
            <rFont val="Tahoma"/>
            <family val="2"/>
          </rPr>
          <t>Annuaire statistique de la France, 1956, Institut National de la Statistique et des Études Économiques, Paris, 1957. p. 165-6</t>
        </r>
      </text>
    </comment>
    <comment ref="B14" authorId="0" shapeId="0" xr:uid="{77B91AB7-BB89-4D64-B407-24C50A93C82C}">
      <text>
        <r>
          <rPr>
            <sz val="9"/>
            <color indexed="81"/>
            <rFont val="Tahoma"/>
            <family val="2"/>
          </rPr>
          <t>"L'industrie du verre plat dans le Nord de la France", Glaces et verres, 157, August 1958, p. 34-36</t>
        </r>
      </text>
    </comment>
    <comment ref="B19" authorId="0" shapeId="0" xr:uid="{A563BD98-5826-49EB-B31B-B3BA3418AF3E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B23" authorId="0" shapeId="0" xr:uid="{8B819C02-0893-4A2B-9E77-E1BED0F3154C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B25" authorId="0" shapeId="0" xr:uid="{50171343-9E1B-4197-B425-C204D111AAAB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B27" authorId="0" shapeId="0" xr:uid="{2ED5D1D3-75C4-4870-B432-BE46D610995C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28" authorId="0" shapeId="0" xr:uid="{022312E6-8B95-4328-8918-8EC1A2555CB1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29" authorId="0" shapeId="0" xr:uid="{87FDDD88-3BD6-4371-994B-87017CC98252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0" authorId="0" shapeId="0" xr:uid="{6414609C-7959-4CEF-994C-3B5DBC26A9D2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1" authorId="0" shapeId="0" xr:uid="{0F721BC6-C268-4BC2-9FE4-6FDF2596F3CC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2" authorId="0" shapeId="0" xr:uid="{B59D8BD3-7643-4C6F-8343-955200D45D66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3" authorId="0" shapeId="0" xr:uid="{9D1501F8-CE86-4E0D-9805-658D5C2E2C03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4" authorId="0" shapeId="0" xr:uid="{1D85C2D6-ADA0-4774-8996-01B8D9F5B962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5" authorId="0" shapeId="0" xr:uid="{57F71DAD-0963-4168-8BAB-565A1CF8868A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6" authorId="0" shapeId="0" xr:uid="{9A7725CB-F062-4257-B08D-3EB89AB3497B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7" authorId="0" shapeId="0" xr:uid="{4A6FD9D5-1AAE-4DC0-BAD0-E480019C6E99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8" authorId="0" shapeId="0" xr:uid="{6350D03C-E68F-4303-8C27-DDA4E0A47C61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9" authorId="0" shapeId="0" xr:uid="{6948964C-5F1D-4573-8219-9DA5A8BEEB25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40" authorId="0" shapeId="0" xr:uid="{3AB5E39B-1526-4756-8E84-F887AE9B549F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41" authorId="0" shapeId="0" xr:uid="{E35DA413-1FB9-45B3-B2D4-F48C8F649672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42" authorId="0" shapeId="0" xr:uid="{FB1A0F7C-9A23-416A-8C25-B7C005488AB1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43" authorId="0" shapeId="0" xr:uid="{6A0A928C-5205-473F-9A7D-9A8F60F1533A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44" authorId="0" shapeId="0" xr:uid="{F9193610-B54F-4F5C-928E-017225B0136B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E46" authorId="0" shapeId="0" xr:uid="{516FDB64-E6E6-437C-BE19-0F84123477E8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 industrielles</t>
        </r>
      </text>
    </comment>
    <comment ref="E47" authorId="0" shapeId="0" xr:uid="{5AFAB1EF-A477-4384-9DC2-488F8906D1B0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 industrielles</t>
        </r>
      </text>
    </comment>
    <comment ref="E48" authorId="0" shapeId="0" xr:uid="{AD40C842-AD8D-4E6B-845B-BC9211B52AA8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 industrielles</t>
        </r>
      </text>
    </comment>
    <comment ref="E49" authorId="0" shapeId="0" xr:uid="{F9AF2EF0-8C4C-4135-B58E-0A03212FE5B6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 industrielles</t>
        </r>
      </text>
    </comment>
    <comment ref="E50" authorId="0" shapeId="0" xr:uid="{B9ADD180-AD61-413E-9212-0B32B77557E4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 industrielles</t>
        </r>
      </text>
    </comment>
    <comment ref="B51" authorId="0" shapeId="0" xr:uid="{EE050906-C044-42B6-A5A9-9F6BAD4E15F1}">
      <text>
        <r>
          <rPr>
            <b/>
            <sz val="9"/>
            <color indexed="81"/>
            <rFont val="Tahoma"/>
            <family val="2"/>
          </rPr>
          <t>Verre, vol 1, no. 4, juill-aout 1995:
p 36
Importation = 28.1%*9,513millionsF
Exportation = 19.1%*14,348millionsF</t>
        </r>
      </text>
    </comment>
    <comment ref="B52" authorId="0" shapeId="0" xr:uid="{FD805E87-F3D0-493E-B0D3-F358758143B0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3" authorId="0" shapeId="0" xr:uid="{BFF85948-E92F-41E9-9DBB-9354B7BA8ECD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4" authorId="0" shapeId="0" xr:uid="{558E1A4E-FE67-4B20-B27E-BD39A160A03F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5" authorId="0" shapeId="0" xr:uid="{4FCE0368-9DA1-4DE0-A2EB-9C909784F315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6" authorId="0" shapeId="0" xr:uid="{45574A3A-F235-4BBC-A332-261757038607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7" authorId="0" shapeId="0" xr:uid="{092588A9-2AFC-4753-BBAB-2D1E3721A964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8" authorId="0" shapeId="0" xr:uid="{8D4CCCFA-3E30-482F-8328-776E6D907B09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9" authorId="0" shapeId="0" xr:uid="{E74DF53E-B4BF-47A4-94A2-9BC074DE418E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0" authorId="0" shapeId="0" xr:uid="{9C8087EA-38B0-42B7-ADBE-47AC3090B2B9}">
      <text>
        <r>
          <rPr>
            <sz val="9"/>
            <color indexed="81"/>
            <rFont val="Tahoma"/>
            <family val="2"/>
          </rPr>
          <t>"L'industrie française du verre en 2003", Verre, vol. 10 n°5, October 2004, 52-6</t>
        </r>
      </text>
    </comment>
    <comment ref="B61" authorId="0" shapeId="0" xr:uid="{3B7FF87A-0F49-43C7-BE5A-DEC1DAB597A7}">
      <text>
        <r>
          <rPr>
            <sz val="9"/>
            <color indexed="81"/>
            <rFont val="Tahoma"/>
            <family val="2"/>
          </rPr>
          <t>"L'industrie française du verre", Verre, vol. 11 n°3 Juin 2005, 68-72</t>
        </r>
      </text>
    </comment>
    <comment ref="B62" authorId="0" shapeId="0" xr:uid="{0508A8BB-EA3F-4E77-B8DB-EFCA53FFB282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3" authorId="0" shapeId="0" xr:uid="{F503E485-E538-48E9-914E-0DC2A0FC8297}">
      <text>
        <r>
          <rPr>
            <sz val="9"/>
            <color indexed="81"/>
            <rFont val="Tahoma"/>
            <family val="2"/>
          </rPr>
          <t>"Lindustrie verrière française en 2006", Verre, vol.13, no. 6, dec 2007, 66-9
32% of total prod</t>
        </r>
      </text>
    </comment>
    <comment ref="B64" authorId="0" shapeId="0" xr:uid="{463DE32E-43A0-4861-80CC-635467A77C08}">
      <text>
        <r>
          <rPr>
            <sz val="9"/>
            <color indexed="81"/>
            <rFont val="Tahoma"/>
            <family val="2"/>
          </rPr>
          <t>"L'industrie verrière française en 2007", Verre, vol. 14, n°4, august 2008, p. 10-3
28% of total prod</t>
        </r>
      </text>
    </comment>
    <comment ref="B65" authorId="0" shapeId="0" xr:uid="{A84BA6F9-810F-49FA-BF6D-6D95E7375918}">
      <text>
        <r>
          <rPr>
            <sz val="9"/>
            <color indexed="81"/>
            <rFont val="Tahoma"/>
            <family val="2"/>
          </rPr>
          <t>"L'évolution générale de l'industrie du verre en 2008", Verre, vol. 15, n°5, nov. 2009, p. 37-9
36% of total prod</t>
        </r>
      </text>
    </comment>
    <comment ref="B66" authorId="0" shapeId="0" xr:uid="{5FD09EEB-22BA-4737-A711-A6B13F315DCB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7" authorId="0" shapeId="0" xr:uid="{72E12E4C-0291-4019-94E3-6F774E2F2138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8" authorId="0" shapeId="0" xr:uid="{F84C44C0-3163-45FA-AF1E-BC289AFDF3BF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9" authorId="0" shapeId="0" xr:uid="{FF17CB94-9ADD-43BE-8DCE-C01B5E871937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0" authorId="0" shapeId="0" xr:uid="{205A0229-AAC8-4B77-A8A5-01F104DC8C01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1" authorId="0" shapeId="0" xr:uid="{276A9F28-DDD8-4196-BE72-47CAAE98E097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2" authorId="0" shapeId="0" xr:uid="{FBB9C447-850B-404A-A715-3938A9BF7B57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3" authorId="0" shapeId="0" xr:uid="{97A66D78-955F-4A67-8DA8-41AA16609641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4" authorId="0" shapeId="0" xr:uid="{6CBA93EF-2B79-4AAD-9A6F-CD04B690A6A8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5" authorId="0" shapeId="0" xr:uid="{3D724D06-80E1-4EFB-AA88-3AC0B29F978B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6" authorId="0" shapeId="0" xr:uid="{301C2421-FB30-4700-95F6-7E11E57F1FF4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AE1DED9F-F923-44A9-A20C-F143CE66C2DA}">
      <text>
        <r>
          <rPr>
            <sz val="9"/>
            <color indexed="81"/>
            <rFont val="Tahoma"/>
            <family val="2"/>
          </rPr>
          <t>Workforce employed in the factories</t>
        </r>
      </text>
    </comment>
    <comment ref="C1" authorId="0" shapeId="0" xr:uid="{DC009AC2-D5CF-4C02-BEDB-00CFDC57989C}">
      <text>
        <r>
          <rPr>
            <sz val="9"/>
            <color indexed="81"/>
            <rFont val="Tahoma"/>
            <family val="2"/>
          </rPr>
          <t>Can include fiberglass...</t>
        </r>
      </text>
    </comment>
    <comment ref="B3" authorId="0" shapeId="0" xr:uid="{7F0F16BA-804E-4A22-A559-810C8E71A2F9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4" authorId="0" shapeId="0" xr:uid="{C3002041-1CA1-46D9-A042-A07DC35C8074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5" authorId="0" shapeId="0" xr:uid="{D7776FA9-D7B2-4214-82C2-C876A1218E46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6" authorId="0" shapeId="0" xr:uid="{476ACF16-A368-45D9-AE21-03C11EFBEBF1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7" authorId="0" shapeId="0" xr:uid="{AD0AA00B-FC86-40FF-82BA-FA75975F742C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8" authorId="0" shapeId="0" xr:uid="{3D9786B3-8350-49A8-8EAA-1EE9C38E9135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9" authorId="0" shapeId="0" xr:uid="{99D20621-0399-4A35-9A29-E76C27A410AC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10" authorId="0" shapeId="0" xr:uid="{5E4CC8EB-6397-423E-8931-8BF53D9EAA1D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B11" authorId="0" shapeId="0" xr:uid="{56164C54-4353-4166-B9A8-73552F14D38A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B12" authorId="0" shapeId="0" xr:uid="{5FAA68C4-E400-48BD-97F5-AD7D654A3E32}">
      <text>
        <r>
          <rPr>
            <sz val="9"/>
            <color indexed="81"/>
            <rFont val="Tahoma"/>
            <family val="2"/>
          </rPr>
          <t>Annuaire statistique de la France, 1955, Institut National de la Statistique et des Études Économiques, Paris, 1956. p. 165-6</t>
        </r>
      </text>
    </comment>
    <comment ref="B13" authorId="0" shapeId="0" xr:uid="{775A9ED4-58C0-4CE1-BD56-E70F3B0B079C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B14" authorId="0" shapeId="0" xr:uid="{14667DA8-29D1-4927-B5AE-A90968CE736F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B15" authorId="0" shapeId="0" xr:uid="{0FAA21C6-A526-42B0-8D10-522B6B927186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B16" authorId="0" shapeId="0" xr:uid="{6F449587-47BF-42DA-944A-BED20C5DFF50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B17" authorId="0" shapeId="0" xr:uid="{721C5F78-B552-450A-858C-DA2BB59E3C21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B18" authorId="0" shapeId="0" xr:uid="{64B43D16-4A11-481B-87A5-0D9900F5B33A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B19" authorId="0" shapeId="0" xr:uid="{6B5828F8-BE38-4FF6-A739-B8C1EB323ECE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B20" authorId="0" shapeId="0" xr:uid="{7A2916AA-7772-43B8-B227-8CBABE76F1F2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B21" authorId="0" shapeId="0" xr:uid="{3143240F-2C75-4BDE-9A6B-C2532D3D354D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B22" authorId="0" shapeId="0" xr:uid="{A87015E3-C74E-4223-B7C8-F4695B30FD52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B23" authorId="0" shapeId="0" xr:uid="{7607D17F-EF56-4E0E-B677-4DDF76BB4DEC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B26" authorId="0" shapeId="0" xr:uid="{99E309FC-114A-4620-B85F-D2575853874E}">
      <text>
        <r>
          <rPr>
            <sz val="9"/>
            <color indexed="81"/>
            <rFont val="Tahoma"/>
            <family val="2"/>
          </rPr>
          <t>Les structures industrielles françaises, 1970: Verre, Ministère du développement industriel et scientifique, Paris.</t>
        </r>
      </text>
    </comment>
    <comment ref="B27" authorId="0" shapeId="0" xr:uid="{48A64738-717D-4CC1-B6EA-F6931AE25147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28" authorId="0" shapeId="0" xr:uid="{B91D5E86-3EBB-48EA-A4AC-364E8F410663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29" authorId="0" shapeId="0" xr:uid="{D110B50C-E4A5-44C4-85B4-FA2DCD7FE7E9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30" authorId="0" shapeId="0" xr:uid="{3A29681C-6344-466C-859E-AB549038626D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41" authorId="0" shapeId="0" xr:uid="{4BED390A-2F71-42DE-95D3-6951CB731AD3}">
      <text>
        <r>
          <rPr>
            <sz val="9"/>
            <color indexed="81"/>
            <rFont val="Tahoma"/>
            <family val="2"/>
          </rPr>
          <t>Annuaire statistique de la France, 1986, Institut National de la Statistique et des Études Économiques, Paris, 1987. p. 553</t>
        </r>
      </text>
    </comment>
    <comment ref="B45" authorId="0" shapeId="0" xr:uid="{51B51DA5-BE6D-407F-87B0-FBE82DAB23C1}">
      <text>
        <r>
          <rPr>
            <sz val="9"/>
            <color indexed="81"/>
            <rFont val="Tahoma"/>
            <family val="2"/>
          </rPr>
          <t>Annuaire statistique de la France, 1989, Institut National de la Statistique et des Études Économiques, Paris, 1990. p. 573</t>
        </r>
      </text>
    </comment>
    <comment ref="C52" authorId="0" shapeId="0" xr:uid="{A3D961B9-99C2-4195-B2DE-512C988089B2}">
      <text>
        <r>
          <rPr>
            <sz val="9"/>
            <color indexed="81"/>
            <rFont val="Tahoma"/>
            <family val="2"/>
          </rPr>
          <t>Annuaire statistique de la France, 1997, Institut National de la Statistique et des Études Économiques, Paris, 1998. p. 691</t>
        </r>
      </text>
    </comment>
    <comment ref="D52" authorId="0" shapeId="0" xr:uid="{55E3F1E5-415E-4099-A22C-5D5EDFD3DB86}">
      <text>
        <r>
          <rPr>
            <sz val="9"/>
            <color indexed="81"/>
            <rFont val="Tahoma"/>
            <family val="2"/>
          </rPr>
          <t>Annuaire statistique de la France, 1997, Institut National de la Statistique et des Études Économiques, Paris, 1998. p. 691</t>
        </r>
      </text>
    </comment>
    <comment ref="C53" authorId="0" shapeId="0" xr:uid="{740CDFEA-9B55-4107-B364-0065E380DE63}">
      <text>
        <r>
          <rPr>
            <sz val="9"/>
            <color indexed="81"/>
            <rFont val="Tahoma"/>
            <family val="2"/>
          </rPr>
          <t>"Statistiques de l'industrie verrière fançaise en 1996", Verre, vol. 3, n° 2, mars-avril 1997, p. 32-33</t>
        </r>
      </text>
    </comment>
    <comment ref="C57" authorId="0" shapeId="0" xr:uid="{2B305776-9876-4A66-BD80-CA37C57FCB7C}">
      <text>
        <r>
          <rPr>
            <sz val="9"/>
            <color indexed="81"/>
            <rFont val="Tahoma"/>
            <family val="2"/>
          </rPr>
          <t>"Lindustre française du verre", Verre, vol. 6, n°2, March-April 2000, p. 65-7</t>
        </r>
      </text>
    </comment>
    <comment ref="D57" authorId="0" shapeId="0" xr:uid="{916C47F9-6F20-401E-B8FC-0DD3CFDAE4C1}">
      <text>
        <r>
          <rPr>
            <sz val="9"/>
            <color indexed="81"/>
            <rFont val="Tahoma"/>
            <family val="2"/>
          </rPr>
          <t>"Lindustre française du verre", Verre, vol. 6, n°2, March-April 2000, p. 65-7</t>
        </r>
      </text>
    </comment>
    <comment ref="C58" authorId="0" shapeId="0" xr:uid="{BD484D1E-2F53-4970-9E93-06642E53FDD5}">
      <text>
        <r>
          <rPr>
            <sz val="9"/>
            <color indexed="81"/>
            <rFont val="Tahoma"/>
            <family val="2"/>
          </rPr>
          <t>Verre, vol. 7, n°3, october 2001, p. 23</t>
        </r>
      </text>
    </comment>
    <comment ref="D58" authorId="0" shapeId="0" xr:uid="{FA31404D-74CD-49EF-8680-667482CDA567}">
      <text>
        <r>
          <rPr>
            <sz val="9"/>
            <color indexed="81"/>
            <rFont val="Tahoma"/>
            <family val="2"/>
          </rPr>
          <t>"L'industre française du verre", Verre, vol. 7, n°3, october 2001, p. 23</t>
        </r>
      </text>
    </comment>
    <comment ref="C62" authorId="0" shapeId="0" xr:uid="{23463CF4-B4D8-473C-B4D8-013332697115}">
      <text>
        <r>
          <rPr>
            <b/>
            <sz val="9"/>
            <color indexed="81"/>
            <rFont val="Tahoma"/>
            <family val="2"/>
          </rPr>
          <t>Verre, vol. 11 n°3 Juin 2005</t>
        </r>
        <r>
          <rPr>
            <sz val="9"/>
            <color indexed="81"/>
            <rFont val="Tahoma"/>
            <family val="2"/>
          </rPr>
          <t xml:space="preserve">
Transformation = 10474 pers. </t>
        </r>
      </text>
    </comment>
    <comment ref="C64" authorId="0" shapeId="0" xr:uid="{0F9B6520-3EFB-452A-B83C-C3F344D37346}">
      <text>
        <r>
          <rPr>
            <sz val="9"/>
            <color indexed="81"/>
            <rFont val="Tahoma"/>
            <family val="2"/>
          </rPr>
          <t>Annuaire statistique de la France, 2007, Institut National de la Statistique et des Études Économiques, Paris, 2008. p. 411</t>
        </r>
      </text>
    </comment>
    <comment ref="D64" authorId="0" shapeId="0" xr:uid="{D6D33490-5440-406C-8C69-40FFCDBA9F04}">
      <text>
        <r>
          <rPr>
            <sz val="9"/>
            <color indexed="81"/>
            <rFont val="Tahoma"/>
            <family val="2"/>
          </rPr>
          <t>Annuaire statistique de la France, 1981, Institut National de la Statistique et des Études Économiques, Paris, 1982. p. 421</t>
        </r>
      </text>
    </comment>
    <comment ref="C65" authorId="0" shapeId="0" xr:uid="{2068D63A-4FCA-44A6-B3D6-064634DF20A9}">
      <text>
        <r>
          <rPr>
            <sz val="9"/>
            <color indexed="81"/>
            <rFont val="Tahoma"/>
            <family val="2"/>
          </rPr>
          <t>"L'évolution générale de l'industrie du verre en 2008", Verre vol. 15, n°5, November 2009, p. 37-9</t>
        </r>
      </text>
    </comment>
    <comment ref="C70" authorId="0" shapeId="0" xr:uid="{3BD0C099-1D2E-4805-8FB9-5BB550B4CF24}">
      <text>
        <r>
          <rPr>
            <sz val="9"/>
            <color indexed="81"/>
            <rFont val="Tahoma"/>
            <family val="2"/>
          </rPr>
          <t>Rapport d'activité 2013, Fédération des industries du verre.
http://www.verre-avenir.fr/Espace-Communication/Espace-Presse/Communiques-de-presse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2" authorId="0" shapeId="0" xr:uid="{FE136DC0-E5B1-4ED7-A77C-02DACE8BD33A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C2" authorId="0" shapeId="0" xr:uid="{D015B68C-19E9-4F42-87B0-205E3F374253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D2" authorId="0" shapeId="0" xr:uid="{0522CA23-702C-410D-AE94-3FE9ED6D0D4D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E2" authorId="0" shapeId="0" xr:uid="{F790C9A7-31FD-4859-9278-9B31F462416A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F2" authorId="0" shapeId="0" xr:uid="{1A069CCE-193A-405A-A688-749C87FE7284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G2" authorId="0" shapeId="0" xr:uid="{0AC169DB-4293-4886-A098-3CB28B3D3E6A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H2" authorId="0" shapeId="0" xr:uid="{C5DEB7E5-C31A-45E6-9286-669EF2779113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I2" authorId="0" shapeId="0" xr:uid="{C064E57C-3C75-4333-AF8D-2373E68A91A8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L4" authorId="0" shapeId="0" xr:uid="{FA448928-FFF9-4746-882C-F2B47A378C73}">
      <text>
        <r>
          <rPr>
            <sz val="9"/>
            <color indexed="81"/>
            <rFont val="Tahoma"/>
            <family val="2"/>
          </rPr>
          <t>Boaglio</t>
        </r>
      </text>
    </comment>
    <comment ref="M4" authorId="0" shapeId="0" xr:uid="{BA5B4E7D-8D3F-491F-AEED-5B5042C03DCC}">
      <text>
        <r>
          <rPr>
            <sz val="9"/>
            <color indexed="81"/>
            <rFont val="Tahoma"/>
            <family val="2"/>
          </rPr>
          <t>Boaglio</t>
        </r>
      </text>
    </comment>
    <comment ref="N4" authorId="0" shapeId="0" xr:uid="{B5569069-3636-4990-929F-44C4CB453423}">
      <text>
        <r>
          <rPr>
            <sz val="9"/>
            <color indexed="81"/>
            <rFont val="Tahoma"/>
            <family val="2"/>
          </rPr>
          <t>Boaglio</t>
        </r>
      </text>
    </comment>
    <comment ref="O4" authorId="0" shapeId="0" xr:uid="{211C63C1-317F-4890-BC51-E46F5916E482}">
      <text>
        <r>
          <rPr>
            <sz val="9"/>
            <color indexed="81"/>
            <rFont val="Tahoma"/>
            <family val="2"/>
          </rPr>
          <t>Boaglio</t>
        </r>
      </text>
    </comment>
    <comment ref="L12" authorId="0" shapeId="0" xr:uid="{3A48A3C3-D971-419A-9C09-D87124D5A037}">
      <text>
        <r>
          <rPr>
            <sz val="9"/>
            <color indexed="81"/>
            <rFont val="Tahoma"/>
            <family val="2"/>
          </rPr>
          <t>Boaglio</t>
        </r>
      </text>
    </comment>
    <comment ref="M12" authorId="0" shapeId="0" xr:uid="{93CB1BA9-97B3-4FB0-8AAA-86646E0A2370}">
      <text>
        <r>
          <rPr>
            <sz val="9"/>
            <color indexed="81"/>
            <rFont val="Tahoma"/>
            <family val="2"/>
          </rPr>
          <t>Boaglio</t>
        </r>
      </text>
    </comment>
    <comment ref="N12" authorId="0" shapeId="0" xr:uid="{26ED7FB7-0B0A-4105-992D-987D1C3CB855}">
      <text>
        <r>
          <rPr>
            <sz val="9"/>
            <color indexed="81"/>
            <rFont val="Tahoma"/>
            <family val="2"/>
          </rPr>
          <t>Boaglio</t>
        </r>
      </text>
    </comment>
    <comment ref="O12" authorId="0" shapeId="0" xr:uid="{AEA1B012-2504-476A-A86D-32A7389721D9}">
      <text>
        <r>
          <rPr>
            <sz val="9"/>
            <color indexed="81"/>
            <rFont val="Tahoma"/>
            <family val="2"/>
          </rPr>
          <t>Plan d’action sectoriel visant a l’amelioration de l’efficience energetique a l’horizon 2012 dans l’industrie verriere en wallonie</t>
        </r>
      </text>
    </comment>
    <comment ref="B22" authorId="0" shapeId="0" xr:uid="{810C5DFE-6421-47E4-9D38-B62901131E11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C22" authorId="0" shapeId="0" xr:uid="{D5874958-8C27-48AE-8A06-6CB7EF29EFA5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D22" authorId="0" shapeId="0" xr:uid="{12D0A3C7-2937-416A-A4AB-7FD13429CA25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E22" authorId="0" shapeId="0" xr:uid="{126E86F8-9959-4F9F-96C8-5274FD8EE320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F22" authorId="0" shapeId="0" xr:uid="{D7702753-3E1D-4478-BCF1-EAB05137F367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G22" authorId="0" shapeId="0" xr:uid="{0395CECB-01B3-4B67-A277-56AA96304D0D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H22" authorId="0" shapeId="0" xr:uid="{8B567569-4D5C-4625-9E84-D40D0DE43418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I22" authorId="0" shapeId="0" xr:uid="{1F72F99B-5BCF-4F0E-BAFF-47CD21F6B359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L27" authorId="0" shapeId="0" xr:uid="{4C5E1F68-24EE-42E2-A065-A42F8DD1270F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347</t>
        </r>
      </text>
    </comment>
    <comment ref="M27" authorId="0" shapeId="0" xr:uid="{5354CED0-E320-475E-9206-12D1AAC0F928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347</t>
        </r>
      </text>
    </comment>
    <comment ref="O27" authorId="0" shapeId="0" xr:uid="{30341F45-BFDF-4DD3-A23E-7A423566AA4F}">
      <text>
        <r>
          <rPr>
            <sz val="9"/>
            <color indexed="81"/>
            <rFont val="Tahoma"/>
            <family val="2"/>
          </rPr>
          <t>The glass industry in the European Economic Community. Energy audit No 4</t>
        </r>
      </text>
    </comment>
    <comment ref="B32" authorId="0" shapeId="0" xr:uid="{0A8CB90E-EB46-4C65-9F4F-5FD86BD5027D}">
      <text>
        <r>
          <rPr>
            <sz val="9"/>
            <color indexed="81"/>
            <rFont val="Tahoma"/>
            <family val="2"/>
          </rPr>
          <t>Calculated from the data provided for miror, plate and window glass production in :
1) Boaglio, Evolution des conditions de production dans l'industrie du verre en France de la révolution à nos jours, 1990. p. 330
AND
2) Industries du verre, CNPF and INSEE, 1971, Monographies de l'industrie et du commerce en France, n° 1, p. 19</t>
        </r>
      </text>
    </comment>
    <comment ref="C32" authorId="0" shapeId="0" xr:uid="{F56563C0-DBFB-4054-AB31-67B93289A080}">
      <text>
        <r>
          <rPr>
            <sz val="9"/>
            <color indexed="81"/>
            <rFont val="Tahoma"/>
            <family val="2"/>
          </rPr>
          <t>Calculated from the data provided for miror, plate and window glass production in :
1) Boaglio, Evolution des conditions de production dans l'industrie du verre en France de la révolution à nos jours, 1990. p. 330
AND
2) Industries du verre, CNPF and INSEE, 1971, Monographies de l'industrie et du commerce en France, n° 1, p. 19</t>
        </r>
      </text>
    </comment>
    <comment ref="D32" authorId="0" shapeId="0" xr:uid="{85811C80-7D33-45DD-9AD4-F3C77FA6773F}">
      <text>
        <r>
          <rPr>
            <sz val="9"/>
            <color indexed="81"/>
            <rFont val="Tahoma"/>
            <family val="2"/>
          </rPr>
          <t>Calculated from the data provided for miror, plate and window glass production in :
1) Boaglio, Evolution des conditions de production dans l'industrie du verre en France de la révolution à nos jours, 1990. p. 330
AND
2) Industries du verre, CNPF and INSEE, 1971, Monographies de l'industrie et du commerce en France, n° 1, p. 19</t>
        </r>
      </text>
    </comment>
    <comment ref="E32" authorId="0" shapeId="0" xr:uid="{ED372F47-BC18-4EEF-9ABF-D54432ADD77C}">
      <text>
        <r>
          <rPr>
            <sz val="9"/>
            <color indexed="81"/>
            <rFont val="Tahoma"/>
            <family val="2"/>
          </rPr>
          <t>Calculated from the data provided for miror, plate and window glass production in :
1) Boaglio, Evolution des conditions de production dans l'industrie du verre en France de la révolution à nos jours, 1990. p. 330
AND
2) Industries du verre, CNPF and INSEE, 1971, Monographies de l'industrie et du commerce en France, n° 1, p. 19</t>
        </r>
      </text>
    </comment>
    <comment ref="F32" authorId="0" shapeId="0" xr:uid="{9B98B5D8-AAE3-43B9-AA86-4EEFAD0437C1}">
      <text>
        <r>
          <rPr>
            <sz val="9"/>
            <color indexed="81"/>
            <rFont val="Tahoma"/>
            <family val="2"/>
          </rPr>
          <t>Calculated from the data provided for miror, plate and window glass production in :
1) Boaglio, Evolution des conditions de production dans l'industrie du verre en France de la révolution à nos jours, 1990. p. 330
AND
2) Industries du verre, CNPF and INSEE, 1971, Monographies de l'industrie et du commerce en France, n° 1, p. 19</t>
        </r>
      </text>
    </comment>
    <comment ref="G32" authorId="0" shapeId="0" xr:uid="{956EB8E7-05EB-4958-A257-D72540C16A11}">
      <text>
        <r>
          <rPr>
            <sz val="9"/>
            <color indexed="81"/>
            <rFont val="Tahoma"/>
            <family val="2"/>
          </rPr>
          <t>Calculated from the data provided for miror, plate and window glass production in :
1) Boaglio, Evolution des conditions de production dans l'industrie du verre en France de la révolution à nos jours, 1990. p. 330
AND
2) Industries du verre, CNPF and INSEE, 1971, Monographies de l'industrie et du commerce en France, n° 1, p. 19</t>
        </r>
      </text>
    </comment>
    <comment ref="H32" authorId="0" shapeId="0" xr:uid="{8D2ED7A2-3307-4D1F-A8C3-C47201FA3269}">
      <text>
        <r>
          <rPr>
            <sz val="9"/>
            <color indexed="81"/>
            <rFont val="Tahoma"/>
            <family val="2"/>
          </rPr>
          <t>Calculated from the data provided for miror, plate and window glass production in :
1) Boaglio, Evolution des conditions de production dans l'industrie du verre en France de la révolution à nos jours, 1990. p. 330
AND
2) Industries du verre, CNPF and INSEE, 1971, Monographies de l'industrie et du commerce en France, n° 1, p. 19</t>
        </r>
      </text>
    </comment>
    <comment ref="I32" authorId="0" shapeId="0" xr:uid="{E8F7BE86-C9CE-486B-A09A-F5DB77D2E660}">
      <text>
        <r>
          <rPr>
            <sz val="9"/>
            <color indexed="81"/>
            <rFont val="Tahoma"/>
            <family val="2"/>
          </rPr>
          <t>Calculated from the data provided for miror, plate and window glass production in :
1) Boaglio, Evolution des conditions de production dans l'industrie du verre en France de la révolution à nos jours, 1990. p. 330
AND
2) Industries du verre, CNPF and INSEE, 1971, Monographies de l'industrie et du commerce en France, n° 1, p. 19</t>
        </r>
      </text>
    </comment>
    <comment ref="K35" authorId="0" shapeId="0" xr:uid="{B3F83F69-8286-4820-AD3C-0CCFA0369F57}">
      <text>
        <r>
          <rPr>
            <sz val="9"/>
            <color indexed="81"/>
            <rFont val="Tahoma"/>
            <family val="2"/>
          </rPr>
          <t>The glass industry in the European Economic Community. Energy audit No 4</t>
        </r>
      </text>
    </comment>
    <comment ref="L35" authorId="0" shapeId="0" xr:uid="{D24DFE3A-45F2-4462-835A-64BDE4C74C5B}">
      <text>
        <r>
          <rPr>
            <sz val="9"/>
            <color indexed="81"/>
            <rFont val="Tahoma"/>
            <family val="2"/>
          </rPr>
          <t>The glass industry in the European Economic Community. Energy audit No 4</t>
        </r>
      </text>
    </comment>
    <comment ref="M35" authorId="0" shapeId="0" xr:uid="{19CB440B-734E-4B96-B1F9-949E838EC85B}">
      <text>
        <r>
          <rPr>
            <sz val="9"/>
            <color indexed="81"/>
            <rFont val="Tahoma"/>
            <family val="2"/>
          </rPr>
          <t>The glass industry in the European Economic Community. Energy audit No 4</t>
        </r>
      </text>
    </comment>
    <comment ref="N35" authorId="0" shapeId="0" xr:uid="{F45A27AC-D79E-4D8C-9C9C-81966C6C50EB}">
      <text>
        <r>
          <rPr>
            <sz val="9"/>
            <color indexed="81"/>
            <rFont val="Tahoma"/>
            <family val="2"/>
          </rPr>
          <t>The glass industry in the European Economic Community. Energy audit No 4</t>
        </r>
      </text>
    </comment>
    <comment ref="O35" authorId="0" shapeId="0" xr:uid="{F6AC2EFC-46B1-44EF-B0AF-2F7772C01A76}">
      <text>
        <r>
          <rPr>
            <sz val="9"/>
            <color indexed="81"/>
            <rFont val="Tahoma"/>
            <family val="2"/>
          </rPr>
          <t>The glass industry in the European Economic Community. Energy audit No 4</t>
        </r>
      </text>
    </comment>
    <comment ref="K38" authorId="0" shapeId="0" xr:uid="{580AFAFB-7039-4BB2-9DD7-EF09E2402000}">
      <text>
        <r>
          <rPr>
            <sz val="9"/>
            <color indexed="81"/>
            <rFont val="Tahoma"/>
            <family val="2"/>
          </rPr>
          <t>The glass industry in the European Economic Community. Energy audit No 4</t>
        </r>
      </text>
    </comment>
    <comment ref="L38" authorId="0" shapeId="0" xr:uid="{CA180B99-A2D1-4253-9892-8ADD7FF1A3D5}">
      <text>
        <r>
          <rPr>
            <sz val="9"/>
            <color indexed="81"/>
            <rFont val="Tahoma"/>
            <family val="2"/>
          </rPr>
          <t>The glass industry in the European Economic Community. Energy audit No 4</t>
        </r>
      </text>
    </comment>
    <comment ref="M38" authorId="0" shapeId="0" xr:uid="{D42FBE97-BB34-46D5-95AE-C213C7B87DC7}">
      <text>
        <r>
          <rPr>
            <sz val="9"/>
            <color indexed="81"/>
            <rFont val="Tahoma"/>
            <family val="2"/>
          </rPr>
          <t>The glass industry in the European Economic Community. Energy audit No 4</t>
        </r>
      </text>
    </comment>
    <comment ref="N38" authorId="0" shapeId="0" xr:uid="{D500A277-9D02-4569-A2CA-956EB5DED8D2}">
      <text>
        <r>
          <rPr>
            <sz val="9"/>
            <color indexed="81"/>
            <rFont val="Tahoma"/>
            <family val="2"/>
          </rPr>
          <t>The glass industry in the European Economic Community. Energy audit No 4</t>
        </r>
      </text>
    </comment>
    <comment ref="O38" authorId="0" shapeId="0" xr:uid="{F292D35A-3D5C-47E3-9D1A-AE30B64873CE}">
      <text>
        <r>
          <rPr>
            <sz val="9"/>
            <color indexed="81"/>
            <rFont val="Tahoma"/>
            <family val="2"/>
          </rPr>
          <t>The glass industry in the European Economic Community. Energy audit No 4</t>
        </r>
      </text>
    </comment>
    <comment ref="B42" authorId="0" shapeId="0" xr:uid="{5E7F3A64-87E0-4EB7-8B20-BD3E1C9AA40A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337</t>
        </r>
      </text>
    </comment>
    <comment ref="C42" authorId="0" shapeId="0" xr:uid="{A2E459A1-C0B6-4DE5-8786-3085A9279499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337</t>
        </r>
      </text>
    </comment>
    <comment ref="D42" authorId="0" shapeId="0" xr:uid="{DF25C197-98D5-4E10-BFC7-57B59301178D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337</t>
        </r>
      </text>
    </comment>
    <comment ref="E42" authorId="0" shapeId="0" xr:uid="{50828566-558C-4AFB-9A5D-EFF397BE2E2E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337</t>
        </r>
      </text>
    </comment>
    <comment ref="F42" authorId="0" shapeId="0" xr:uid="{E37A6DD5-112E-4087-8BA0-EAFA709A5C08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337</t>
        </r>
      </text>
    </comment>
    <comment ref="G42" authorId="0" shapeId="0" xr:uid="{E658967F-F0CD-4202-BB25-FD1B72424BD5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337</t>
        </r>
      </text>
    </comment>
    <comment ref="H42" authorId="0" shapeId="0" xr:uid="{10E7AA95-D82E-41A6-9B6D-789443254233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337</t>
        </r>
      </text>
    </comment>
    <comment ref="I42" authorId="0" shapeId="0" xr:uid="{C68E1EB6-A31B-4E79-9CC8-A50DE969CDB7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337</t>
        </r>
      </text>
    </comment>
    <comment ref="B67" authorId="0" shapeId="0" xr:uid="{10A86F0A-D5F3-4EA6-B90F-05DF04F60817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C67" authorId="0" shapeId="0" xr:uid="{DD71F4DE-17E2-478C-8208-33369312B94E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D67" authorId="0" shapeId="0" xr:uid="{DAAC465F-673E-4717-BD8C-314D2DA0900F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E67" authorId="0" shapeId="0" xr:uid="{D41D25B7-AD85-4267-9439-3F6FD1BDDDF1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F67" authorId="0" shapeId="0" xr:uid="{A4A559F4-544D-4D86-B336-A2B8C94BA4E1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G67" authorId="0" shapeId="0" xr:uid="{00321031-5F71-412E-B3B9-31615C45DACE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H67" authorId="0" shapeId="0" xr:uid="{FC4F3FDF-C343-4D3D-B0DE-E8E5DFB3A122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I67" authorId="0" shapeId="0" xr:uid="{93BD405E-E12A-465E-BD65-E1CBD61EFAAB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M68" authorId="0" shapeId="0" xr:uid="{72BA71C2-09F2-4628-BFD9-AB2B574A0A54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N68" authorId="0" shapeId="0" xr:uid="{53006719-D43A-4F23-AC46-6608849048E8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O68" authorId="0" shapeId="0" xr:uid="{43FC2E73-1E3F-4D9F-AC98-31A6AF07B700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B76" authorId="0" shapeId="0" xr:uid="{CCFDA0D2-8D63-4603-9BFD-1C162387D4CC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C76" authorId="0" shapeId="0" xr:uid="{D2A38416-6549-4995-8382-49FCC02A291D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D76" authorId="0" shapeId="0" xr:uid="{75A5700E-79EF-4EFB-BD62-690A5E248A46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E76" authorId="0" shapeId="0" xr:uid="{C75A2FFF-6215-4265-9ADF-11F8B2A21BBC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F76" authorId="0" shapeId="0" xr:uid="{65851AF5-B776-4460-9911-4D8B3B924765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G76" authorId="0" shapeId="0" xr:uid="{CAC0DB2D-6B59-457C-B696-31E0166E5159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H76" authorId="0" shapeId="0" xr:uid="{E151C742-D833-4851-84C7-A74ECA2B78F4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I76" authorId="0" shapeId="0" xr:uid="{5D6235C6-2775-41FE-B536-3AEED065896F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9" authorId="0" shapeId="0" xr:uid="{827EA86A-671E-4259-B3A5-FD310CEC7880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D9" authorId="0" shapeId="0" xr:uid="{F77EF4EB-F7F2-48F5-97CC-BE6D2BCDF254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E9" authorId="0" shapeId="0" xr:uid="{F201BC98-BD1A-4E8C-8A5E-82E47EDD023E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F9" authorId="0" shapeId="0" xr:uid="{CD1BDB9A-03A9-4B6E-ACA4-92523FF2ADEA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B10" authorId="0" shapeId="0" xr:uid="{DC6E448D-CF94-4A55-9A5E-022B022E74D9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C10" authorId="0" shapeId="0" xr:uid="{43F72576-098A-4DBA-A3AB-AE5316755810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D10" authorId="0" shapeId="0" xr:uid="{D8AC6871-2983-4580-BFC4-2C76989E1F75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E10" authorId="0" shapeId="0" xr:uid="{0902DA14-FD47-4F2E-9B7B-E88821C3551D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F10" authorId="0" shapeId="0" xr:uid="{6C3DF693-68AF-4DB3-8590-384BD23D8345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G10" authorId="0" shapeId="0" xr:uid="{62DAA806-C289-4280-BF59-C1818646D796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H10" authorId="0" shapeId="0" xr:uid="{CAAC4D6E-FA41-45FF-AB57-27C444DEE8F9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I10" authorId="0" shapeId="0" xr:uid="{2F17B338-01A3-4BFE-91E4-8C2F10C18910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J10" authorId="0" shapeId="0" xr:uid="{8771B1ED-E334-4EE6-9592-5031DD550ADC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B11" authorId="0" shapeId="0" xr:uid="{D2DF16C4-5BEE-44A1-A903-C12E67B06F8A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Annuaire statistique de la France, 1954, Institut National de la Statistique et des Études Économiques, Paris, 1955. p. 132</t>
        </r>
      </text>
    </comment>
    <comment ref="C11" authorId="0" shapeId="0" xr:uid="{75FE055F-D730-4842-A1FB-A1D894223829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Annuaire statistique de la France, 1954, Institut National de la Statistique et des Études Économiques, Paris, 1955. p. 132</t>
        </r>
      </text>
    </comment>
    <comment ref="D11" authorId="0" shapeId="0" xr:uid="{C1A670A0-7F39-43A4-AB6A-ACF178566D80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Annuaire statistique de la France, 1954, Institut National de la Statistique et des Études Économiques, Paris, 1955. p. 132</t>
        </r>
      </text>
    </comment>
    <comment ref="E11" authorId="0" shapeId="0" xr:uid="{28BCBC37-32AE-456F-B3F7-1CA6D95102D5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Annuaire statistique de la France, 1954, Institut National de la Statistique et des Études Économiques, Paris, 1955. p. 132</t>
        </r>
      </text>
    </comment>
    <comment ref="F11" authorId="0" shapeId="0" xr:uid="{6723040F-57AA-4BD2-B44E-B967D61B9D0A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Annuaire statistique de la France, 1954, Institut National de la Statistique et des Études Économiques, Paris, 1955. p. 132</t>
        </r>
      </text>
    </comment>
    <comment ref="B12" authorId="0" shapeId="0" xr:uid="{951129A8-EC31-4CD1-ADA9-9E87FC71F525}">
      <text>
        <r>
          <rPr>
            <sz val="9"/>
            <color indexed="81"/>
            <rFont val="Tahoma"/>
            <family val="2"/>
          </rPr>
          <t>Annuaire statistique de la France, 1955, Institut National de la Statistique et des Études Économiques, Paris, 1956. p. 165-6</t>
        </r>
      </text>
    </comment>
    <comment ref="C12" authorId="0" shapeId="0" xr:uid="{0C801AD4-950A-4650-BBD5-4F5F1F17A36C}">
      <text>
        <r>
          <rPr>
            <sz val="9"/>
            <color indexed="81"/>
            <rFont val="Tahoma"/>
            <family val="2"/>
          </rPr>
          <t>Annuaire statistique de la France, 1955, Institut National de la Statistique et des Études Économiques, Paris, 1956. p. 165-6</t>
        </r>
      </text>
    </comment>
    <comment ref="D12" authorId="0" shapeId="0" xr:uid="{E59ED37F-6D2E-47EF-8563-467A48253014}">
      <text>
        <r>
          <rPr>
            <sz val="9"/>
            <color indexed="81"/>
            <rFont val="Tahoma"/>
            <family val="2"/>
          </rPr>
          <t>Annuaire statistique de la France, 1955, Institut National de la Statistique et des Études Économiques, Paris, 1956. p. 165-6</t>
        </r>
      </text>
    </comment>
    <comment ref="E12" authorId="0" shapeId="0" xr:uid="{6D9A2FF0-8F81-44A0-AC4E-A823C8140EC5}">
      <text>
        <r>
          <rPr>
            <sz val="9"/>
            <color indexed="81"/>
            <rFont val="Tahoma"/>
            <family val="2"/>
          </rPr>
          <t>Annuaire statistique de la France, 1955, Institut National de la Statistique et des Études Économiques, Paris, 1956. p. 165-6</t>
        </r>
      </text>
    </comment>
    <comment ref="F12" authorId="0" shapeId="0" xr:uid="{09D12805-6A97-46CD-9733-09FCE064998F}">
      <text>
        <r>
          <rPr>
            <sz val="9"/>
            <color indexed="81"/>
            <rFont val="Tahoma"/>
            <family val="2"/>
          </rPr>
          <t>Annuaire statistique de la France, 1955, Institut National de la Statistique et des Études Économiques, Paris, 1956. p. 165-6</t>
        </r>
      </text>
    </comment>
    <comment ref="B13" authorId="0" shapeId="0" xr:uid="{E26B7EBF-D2EF-4D9D-B255-8798A7EF6FC0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C13" authorId="0" shapeId="0" xr:uid="{04747D79-2BD4-49B5-BFAD-322DB816451E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D13" authorId="0" shapeId="0" xr:uid="{2A25AD6E-7B3C-459A-BF9B-2732AEE818AC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E13" authorId="0" shapeId="0" xr:uid="{5DFD1DC0-75F7-404C-B56B-89052C4818A4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F13" authorId="0" shapeId="0" xr:uid="{206AB3BB-9975-48E9-A96A-C117D0D220F7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B14" authorId="0" shapeId="0" xr:uid="{45803F31-E308-48A2-8C3A-62C43C53312B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C14" authorId="0" shapeId="0" xr:uid="{F88FB28E-94EF-495D-AFC5-2463426BF5FE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D14" authorId="0" shapeId="0" xr:uid="{2FDEB4D7-FE65-4342-A3F7-332A973CFC95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E14" authorId="0" shapeId="0" xr:uid="{8C630ED5-ED40-40F3-BC38-D617B60BC908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F14" authorId="0" shapeId="0" xr:uid="{031787CA-37BC-4B45-8397-D3BD48997CA9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B15" authorId="0" shapeId="0" xr:uid="{72430268-C536-4452-87E1-FFB074CFCFBD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C15" authorId="0" shapeId="0" xr:uid="{7EA63039-5A3D-43D0-9AED-944340300FAF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D15" authorId="0" shapeId="0" xr:uid="{59EA7BBA-59C9-47E1-8F45-7ACBE8B8F5FC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E15" authorId="0" shapeId="0" xr:uid="{8C9D1963-9A82-4F54-95EF-A8281702A411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F15" authorId="0" shapeId="0" xr:uid="{13EB0019-DEB0-4D54-BDFF-24A528E32753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B16" authorId="0" shapeId="0" xr:uid="{9D278C33-6645-4270-8CAF-B87ED72B3416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C16" authorId="0" shapeId="0" xr:uid="{07F630F2-8951-4470-B1CF-BFDFA6A932E8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D16" authorId="0" shapeId="0" xr:uid="{166AECAA-86D0-4FE3-ABD3-BEA32FD95775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E16" authorId="0" shapeId="0" xr:uid="{623FC675-EE86-40A0-AAC1-8070874ABCCC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F16" authorId="0" shapeId="0" xr:uid="{9C7AB8EE-7791-4705-9857-E3BA31A05185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B17" authorId="0" shapeId="0" xr:uid="{E2E8561C-E4EE-4F1E-9615-72F979463FB6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D17" authorId="0" shapeId="0" xr:uid="{441A8941-2810-4331-A8E1-77B352916CD7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E17" authorId="0" shapeId="0" xr:uid="{1BA9E2E9-ECA6-4BD8-A519-F93622338684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F17" authorId="0" shapeId="0" xr:uid="{2945578B-CDB8-4167-9F36-8832F832F0AC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B18" authorId="0" shapeId="0" xr:uid="{B89C21DC-C440-4A75-9EED-F1EC050FBAB0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C18" authorId="0" shapeId="0" xr:uid="{A080153D-7842-421A-A6F1-AF3D3AA219F7}">
      <text>
        <r>
          <rPr>
            <b/>
            <sz val="9"/>
            <color indexed="81"/>
            <rFont val="Tahoma"/>
            <family val="2"/>
          </rPr>
          <t xml:space="preserve">Change of unit: in "million de thermie" and not in "million de m³. Result in a drop of the consumption. 
 </t>
        </r>
        <r>
          <rPr>
            <sz val="9"/>
            <color indexed="81"/>
            <rFont val="Tahoma"/>
            <family val="2"/>
          </rPr>
          <t xml:space="preserve">
Annuaire statistique de la France, 1962, Institut National de la Statistique et des Études Économiques, Paris, 1963. p. 176-7</t>
        </r>
      </text>
    </comment>
    <comment ref="D18" authorId="0" shapeId="0" xr:uid="{DE9BECEE-3B96-4F61-BCCA-FDC99562D6CE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E18" authorId="0" shapeId="0" xr:uid="{BD8A3892-F158-4FAC-BEA3-EE344970CA9F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F18" authorId="0" shapeId="0" xr:uid="{32864407-8BA8-4334-B705-E9FF1520CA92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B19" authorId="0" shapeId="0" xr:uid="{457CB7F5-486F-4E56-B7A2-E3F8141D2B0B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C19" authorId="0" shapeId="0" xr:uid="{1EF96582-8D7D-47C1-B467-78366F74F135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D19" authorId="0" shapeId="0" xr:uid="{6A94F3D0-DE37-4D48-8D4D-20800C0C214E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E19" authorId="0" shapeId="0" xr:uid="{E4E74C04-76FD-4414-B8A2-759F0FBD0376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F19" authorId="0" shapeId="0" xr:uid="{89060FD9-FF6D-424A-98F4-B1D5684B852E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B20" authorId="0" shapeId="0" xr:uid="{13E54C0B-59A0-473D-BEAC-8384C19E7F1E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C20" authorId="0" shapeId="0" xr:uid="{8591814D-33DF-44B9-B63C-8123B4F6FCAB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D20" authorId="0" shapeId="0" xr:uid="{323CCB82-3A08-44E9-AB5F-3067DFE97A95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E20" authorId="0" shapeId="0" xr:uid="{D9039364-7EBF-4AC7-858B-3F7621DE10BB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F20" authorId="0" shapeId="0" xr:uid="{8FE1B195-B446-49A4-9337-9A6E57FF2BE5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B21" authorId="0" shapeId="0" xr:uid="{A286B426-C511-4407-A005-EAAEC9EB9B2D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C21" authorId="0" shapeId="0" xr:uid="{2ACCA6D3-960A-4743-B798-BC8818D4DCC3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D21" authorId="0" shapeId="0" xr:uid="{D810649F-0232-43B2-9B51-F1E199F497A3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E21" authorId="0" shapeId="0" xr:uid="{7C20DFB7-93A3-4C57-8F5A-CE26EDA37D7E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F21" authorId="0" shapeId="0" xr:uid="{514C7745-BE82-4C54-A370-0980CB1E5AB6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B22" authorId="0" shapeId="0" xr:uid="{2F93BCB8-5BE6-47B4-AA3D-4EF5E69FEAF4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C22" authorId="0" shapeId="0" xr:uid="{6C54672F-3B34-4DFA-B22B-DC48E52923D9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D22" authorId="0" shapeId="0" xr:uid="{9D431DC4-F100-4466-AA3D-5826E02242C2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E22" authorId="0" shapeId="0" xr:uid="{58D61568-7FAB-441E-AF69-5553620F7342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F22" authorId="0" shapeId="0" xr:uid="{EAE8214F-F2EE-4049-A970-37326E2AA87A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B23" authorId="0" shapeId="0" xr:uid="{E5DB3EE7-C0FF-4EED-B0DB-3B2900930CA4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C23" authorId="0" shapeId="0" xr:uid="{8BA29DAA-0D15-4464-AC00-F5D95DA74936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D23" authorId="0" shapeId="0" xr:uid="{AA330928-747A-44F0-8404-D8AF7558D691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E23" authorId="0" shapeId="0" xr:uid="{0302091A-F33C-4206-B94A-821BC6631211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F23" authorId="0" shapeId="0" xr:uid="{2A6899FE-674F-4947-9377-DA2B6712BC46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C25" authorId="0" shapeId="0" xr:uid="{241F2985-5E51-4B2E-8F78-0414990B0B6C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D25" authorId="0" shapeId="0" xr:uid="{A4F5836C-466E-4B50-A00F-2C2454DC2402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E25" authorId="0" shapeId="0" xr:uid="{BC54B30B-30F9-4012-B2CA-F9F3E1E31A9E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F25" authorId="0" shapeId="0" xr:uid="{7626B0C6-7C13-4F7B-8B05-5E9DE8062EE6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B35" authorId="0" shapeId="0" xr:uid="{27AFFC21-BD43-4A8C-A768-C86F59D38CA7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51" authorId="0" shapeId="0" xr:uid="{99632E9E-7937-4148-88DC-288DE131D8C6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statistiques.</t>
        </r>
      </text>
    </comment>
    <comment ref="B52" authorId="0" shapeId="0" xr:uid="{25C196CF-03B7-436C-8C73-5A79BF5A3722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statistiques.</t>
        </r>
      </text>
    </comment>
    <comment ref="B53" authorId="0" shapeId="0" xr:uid="{13B92B31-A2E1-408F-B2E5-6DD520E820BE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statistiques.</t>
        </r>
      </text>
    </comment>
    <comment ref="B54" authorId="0" shapeId="0" xr:uid="{18C09A47-BBCB-4472-9C1C-317EC5D7549D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1D870AE3-E1CC-48C1-823C-355DFBA622C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"Lindustrie verrière française en 2006", Verre, vol.13, no. 6, dec 2007, 66-9</t>
        </r>
      </text>
    </comment>
    <comment ref="I1" authorId="0" shapeId="0" xr:uid="{597F6A5A-7447-4F7B-BADA-2B6B58A71BB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"Lindustrie verrière française en 2006", Verre, vol.13, no. 6, dec 2007, 66-9</t>
        </r>
      </text>
    </comment>
    <comment ref="B4" authorId="0" shapeId="0" xr:uid="{7D9D5672-B096-4166-8EA4-9C3AE3B4285D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</t>
        </r>
      </text>
    </comment>
    <comment ref="B7" authorId="0" shapeId="0" xr:uid="{9B4C16F5-0753-4BD5-A3DF-370E9C63F88A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</t>
        </r>
      </text>
    </comment>
    <comment ref="J54" authorId="0" shapeId="0" xr:uid="{73225865-FA86-4713-8750-5B975B2DBAF6}">
      <text>
        <r>
          <rPr>
            <sz val="9"/>
            <color indexed="81"/>
            <rFont val="Tahoma"/>
            <family val="2"/>
          </rPr>
          <t xml:space="preserve">European Commission, </t>
        </r>
        <r>
          <rPr>
            <i/>
            <sz val="9"/>
            <color indexed="81"/>
            <rFont val="Tahoma"/>
            <family val="2"/>
          </rPr>
          <t>Integrated pollution prevention and control.
Reference document on Best Available Techniques in the Glass
Manufacturing Industry</t>
        </r>
        <r>
          <rPr>
            <sz val="9"/>
            <color indexed="81"/>
            <rFont val="Tahoma"/>
            <family val="2"/>
          </rPr>
          <t>, dec. 2001.</t>
        </r>
      </text>
    </comment>
    <comment ref="K54" authorId="0" shapeId="0" xr:uid="{17AF246C-A48D-4522-A751-C168CC4EC807}">
      <text>
        <r>
          <rPr>
            <sz val="9"/>
            <color indexed="81"/>
            <rFont val="Tahoma"/>
            <family val="2"/>
          </rPr>
          <t xml:space="preserve">European Commission, </t>
        </r>
        <r>
          <rPr>
            <i/>
            <sz val="9"/>
            <color indexed="81"/>
            <rFont val="Tahoma"/>
            <family val="2"/>
          </rPr>
          <t>Integrated pollution prevention and control.
Reference document on Best Available Techniques in the Glass
Manufacturing Industry</t>
        </r>
        <r>
          <rPr>
            <sz val="9"/>
            <color indexed="81"/>
            <rFont val="Tahoma"/>
            <family val="2"/>
          </rPr>
          <t>, dec. 2001.</t>
        </r>
      </text>
    </comment>
    <comment ref="L54" authorId="0" shapeId="0" xr:uid="{B45C0F83-F670-4D88-BE26-E43202C41FBB}">
      <text>
        <r>
          <rPr>
            <sz val="9"/>
            <color indexed="81"/>
            <rFont val="Tahoma"/>
            <family val="2"/>
          </rPr>
          <t xml:space="preserve">European Commission, </t>
        </r>
        <r>
          <rPr>
            <i/>
            <sz val="9"/>
            <color indexed="81"/>
            <rFont val="Tahoma"/>
            <family val="2"/>
          </rPr>
          <t>Integrated pollution prevention and control.
Reference document on Best Available Techniques in the Glass
Manufacturing Industry</t>
        </r>
        <r>
          <rPr>
            <sz val="9"/>
            <color indexed="81"/>
            <rFont val="Tahoma"/>
            <family val="2"/>
          </rPr>
          <t>, dec. 2001.</t>
        </r>
      </text>
    </comment>
    <comment ref="M54" authorId="0" shapeId="0" xr:uid="{6B65437B-E452-4183-90B1-B84B77DF9666}">
      <text>
        <r>
          <rPr>
            <sz val="9"/>
            <color indexed="81"/>
            <rFont val="Tahoma"/>
            <family val="2"/>
          </rPr>
          <t xml:space="preserve">European Commission, </t>
        </r>
        <r>
          <rPr>
            <i/>
            <sz val="9"/>
            <color indexed="81"/>
            <rFont val="Tahoma"/>
            <family val="2"/>
          </rPr>
          <t>Integrated pollution prevention and control.
Reference document on Best Available Techniques in the Glass
Manufacturing Industry</t>
        </r>
        <r>
          <rPr>
            <sz val="9"/>
            <color indexed="81"/>
            <rFont val="Tahoma"/>
            <family val="2"/>
          </rPr>
          <t>, dec. 2001.</t>
        </r>
      </text>
    </comment>
    <comment ref="N54" authorId="0" shapeId="0" xr:uid="{5DE3C0D8-0872-4863-8D47-F2E37FFBDA2B}">
      <text>
        <r>
          <rPr>
            <sz val="9"/>
            <color indexed="81"/>
            <rFont val="Tahoma"/>
            <family val="2"/>
          </rPr>
          <t xml:space="preserve">European Commission, </t>
        </r>
        <r>
          <rPr>
            <i/>
            <sz val="9"/>
            <color indexed="81"/>
            <rFont val="Tahoma"/>
            <family val="2"/>
          </rPr>
          <t>Integrated pollution prevention and control.
Reference document on Best Available Techniques in the Glass
Manufacturing Industry</t>
        </r>
        <r>
          <rPr>
            <sz val="9"/>
            <color indexed="81"/>
            <rFont val="Tahoma"/>
            <family val="2"/>
          </rPr>
          <t>, dec. 2001.</t>
        </r>
      </text>
    </comment>
    <comment ref="O54" authorId="0" shapeId="0" xr:uid="{DCAF04BC-D22A-469A-B952-3BAB8D49391A}">
      <text>
        <r>
          <rPr>
            <sz val="9"/>
            <color indexed="81"/>
            <rFont val="Tahoma"/>
            <family val="2"/>
          </rPr>
          <t xml:space="preserve">European Commission, </t>
        </r>
        <r>
          <rPr>
            <i/>
            <sz val="9"/>
            <color indexed="81"/>
            <rFont val="Tahoma"/>
            <family val="2"/>
          </rPr>
          <t>Integrated pollution prevention and control.
Reference document on Best Available Techniques in the Glass
Manufacturing Industry</t>
        </r>
        <r>
          <rPr>
            <sz val="9"/>
            <color indexed="81"/>
            <rFont val="Tahoma"/>
            <family val="2"/>
          </rPr>
          <t>, dec. 2001.</t>
        </r>
      </text>
    </comment>
    <comment ref="P54" authorId="0" shapeId="0" xr:uid="{A12880B1-71F9-457D-B152-ABF3DFE3C797}">
      <text>
        <r>
          <rPr>
            <sz val="9"/>
            <color indexed="81"/>
            <rFont val="Tahoma"/>
            <family val="2"/>
          </rPr>
          <t xml:space="preserve">European Commission, </t>
        </r>
        <r>
          <rPr>
            <i/>
            <sz val="9"/>
            <color indexed="81"/>
            <rFont val="Tahoma"/>
            <family val="2"/>
          </rPr>
          <t>Integrated pollution prevention and control.
Reference document on Best Available Techniques in the Glass
Manufacturing Industry</t>
        </r>
        <r>
          <rPr>
            <sz val="9"/>
            <color indexed="81"/>
            <rFont val="Tahoma"/>
            <family val="2"/>
          </rPr>
          <t>, dec. 2001.</t>
        </r>
      </text>
    </comment>
    <comment ref="Q54" authorId="0" shapeId="0" xr:uid="{23614C90-9156-462A-8481-2F650D8D5C04}">
      <text>
        <r>
          <rPr>
            <sz val="9"/>
            <color indexed="81"/>
            <rFont val="Tahoma"/>
            <family val="2"/>
          </rPr>
          <t xml:space="preserve">European Commission, </t>
        </r>
        <r>
          <rPr>
            <i/>
            <sz val="9"/>
            <color indexed="81"/>
            <rFont val="Tahoma"/>
            <family val="2"/>
          </rPr>
          <t>Integrated pollution prevention and control.
Reference document on Best Available Techniques in the Glass
Manufacturing Industry</t>
        </r>
        <r>
          <rPr>
            <sz val="9"/>
            <color indexed="81"/>
            <rFont val="Tahoma"/>
            <family val="2"/>
          </rPr>
          <t>, dec. 2001.</t>
        </r>
      </text>
    </comment>
    <comment ref="B67" authorId="0" shapeId="0" xr:uid="{8DD99F21-5EAA-4022-8EEC-91C12B9B7622}">
      <text>
        <r>
          <rPr>
            <sz val="9"/>
            <color indexed="81"/>
            <rFont val="Tahoma"/>
            <family val="2"/>
          </rPr>
          <t>Glass for Europe, 2050, Flat Glass in Climate-Neutral Europe: Triggering a Virtuous Cycle of Decarbonisation, 2020</t>
        </r>
      </text>
    </comment>
    <comment ref="C69" authorId="0" shapeId="0" xr:uid="{87E664C0-6716-4F5A-A7AB-009CD560EC0D}">
      <text>
        <r>
          <rPr>
            <sz val="9"/>
            <color indexed="81"/>
            <rFont val="Tahoma"/>
            <family val="2"/>
          </rPr>
          <t>ift Rosenheim and Euroglas, EPD Flat glass, toughened safety glass and laminated safety glass, 2012
Spread factor of 2.3, according to:
Ecofys et al., in Methodology for the free allocation of emission allowances in the  EU ETS post 2012: Sector report for the glass industry, November 2009, for the European Commission</t>
        </r>
      </text>
    </comment>
    <comment ref="D69" authorId="0" shapeId="0" xr:uid="{621237B4-9B32-4CFC-8276-14882EA55058}">
      <text>
        <r>
          <rPr>
            <sz val="9"/>
            <color indexed="81"/>
            <rFont val="Tahoma"/>
            <family val="2"/>
          </rPr>
          <t>ift Rosenheim and Euroglas, EPD Flat glass, toughened safety glass and laminated safety glass, 2012</t>
        </r>
      </text>
    </comment>
    <comment ref="E69" authorId="0" shapeId="0" xr:uid="{655BE7BF-728E-4197-B28D-7209A7894BC1}">
      <text>
        <r>
          <rPr>
            <sz val="9"/>
            <color indexed="81"/>
            <rFont val="Tahoma"/>
            <family val="2"/>
          </rPr>
          <t>ift Rosenheim and Euroglas, EPD Flat glass, toughened safety glass and laminated safety glass, 2012</t>
        </r>
      </text>
    </comment>
    <comment ref="F69" authorId="0" shapeId="0" xr:uid="{DB0886B4-854A-491E-825E-082E2A25EDBF}">
      <text>
        <r>
          <rPr>
            <sz val="9"/>
            <color indexed="81"/>
            <rFont val="Tahoma"/>
            <family val="2"/>
          </rPr>
          <t>ift Rosenheim and Euroglas, EPD Flat glass, toughened safety glass and laminated safety glass, 2012</t>
        </r>
      </text>
    </comment>
    <comment ref="G69" authorId="0" shapeId="0" xr:uid="{E1BEB33B-FA5B-4002-AF8A-C5555663CF14}">
      <text>
        <r>
          <rPr>
            <sz val="9"/>
            <color indexed="81"/>
            <rFont val="Tahoma"/>
            <family val="2"/>
          </rPr>
          <t>ift Rosenheim and Euroglas, EPD Flat glass, toughened safety glass and laminated safety glass, 2012</t>
        </r>
      </text>
    </comment>
    <comment ref="H69" authorId="0" shapeId="0" xr:uid="{2F2E77CF-F177-440F-9BA1-7432ABEBF738}">
      <text>
        <r>
          <rPr>
            <sz val="9"/>
            <color indexed="81"/>
            <rFont val="Tahoma"/>
            <family val="2"/>
          </rPr>
          <t>ift Rosenheim and Euroglas, EPD Flat glass, toughened safety glass and laminated safety glass, 2012</t>
        </r>
      </text>
    </comment>
    <comment ref="B72" authorId="0" shapeId="0" xr:uid="{EE935729-F826-4A5C-AFC5-44226B3517AE}">
      <text>
        <r>
          <rPr>
            <sz val="9"/>
            <color indexed="81"/>
            <rFont val="Tahoma"/>
            <family val="2"/>
          </rPr>
          <t>Glass for Europe, 2050, Flat Glass in Climate-Neutral Europe: Triggering a Virtuous Cycle of Decarbonisation, 2020</t>
        </r>
      </text>
    </comment>
    <comment ref="B75" authorId="0" shapeId="0" xr:uid="{3BCDCF0E-E4BC-4972-96D9-5FB958DC895E}">
      <text>
        <r>
          <rPr>
            <sz val="9"/>
            <color indexed="81"/>
            <rFont val="Tahoma"/>
            <family val="2"/>
          </rPr>
          <t>Glass for Europe, 2050, Flat Glass in Climate-Neutral Europe: Triggering a Virtuous Cycle of Decarbonisation, 2020</t>
        </r>
      </text>
    </comment>
  </commentList>
</comments>
</file>

<file path=xl/sharedStrings.xml><?xml version="1.0" encoding="utf-8"?>
<sst xmlns="http://schemas.openxmlformats.org/spreadsheetml/2006/main" count="82" uniqueCount="63">
  <si>
    <t>year</t>
  </si>
  <si>
    <t>glazing, "000 m²</t>
  </si>
  <si>
    <t>residential glazing, "000 m²</t>
  </si>
  <si>
    <t>residential, single, "000 m²</t>
  </si>
  <si>
    <t>residential, double, "000 m²</t>
  </si>
  <si>
    <t>flat glass, kt</t>
  </si>
  <si>
    <t>IGU, "000 m²</t>
  </si>
  <si>
    <t>plate glass, "000 m²</t>
  </si>
  <si>
    <t>window glass, "000 m²</t>
  </si>
  <si>
    <t>simple glazing, "000 m²</t>
  </si>
  <si>
    <t>TSG for bldg, "000 m²</t>
  </si>
  <si>
    <t>LSG for bldg, "000 m²</t>
  </si>
  <si>
    <t>flat glass ind., unit</t>
  </si>
  <si>
    <t>sodium carb., kg/kg</t>
  </si>
  <si>
    <t>limestone, kg/kg</t>
  </si>
  <si>
    <t>dolomite, kg/kg</t>
  </si>
  <si>
    <t>int. cullet, kg/kg</t>
  </si>
  <si>
    <t>ext. cullet, kg/kg</t>
  </si>
  <si>
    <t>sand, kg/kg</t>
  </si>
  <si>
    <t>feldspar, kg/kg</t>
  </si>
  <si>
    <t xml:space="preserve"> glazing, kt</t>
  </si>
  <si>
    <t>cast glass, kt</t>
  </si>
  <si>
    <t>window glass, kt</t>
  </si>
  <si>
    <t>sodium carbonate for flat glass, kt</t>
  </si>
  <si>
    <t>Coal for flat glass, kt</t>
  </si>
  <si>
    <t>Fuel for flat glass, kt</t>
  </si>
  <si>
    <t xml:space="preserve">Electricity for flat glass, "000 kWh </t>
  </si>
  <si>
    <t>Natural gas for flat glass, m³/t</t>
  </si>
  <si>
    <t>Coal for flat glass, t/t</t>
  </si>
  <si>
    <t>Fuel for flat glass, t/t</t>
  </si>
  <si>
    <t>Electricity for flat glass, kWh/t</t>
  </si>
  <si>
    <t>flat glass production, unit</t>
  </si>
  <si>
    <t>flat glass transformation, unit</t>
  </si>
  <si>
    <t>coal, kg/kg</t>
  </si>
  <si>
    <t>gas for flat glass, "000 m³</t>
  </si>
  <si>
    <t>float glass w/ reflecting layer, "000 m²</t>
  </si>
  <si>
    <t>CO2 glass ind, kg/t</t>
  </si>
  <si>
    <t>NOx glass ind., kg/t</t>
  </si>
  <si>
    <t>SOx min, kg/t</t>
  </si>
  <si>
    <t>Sox max, kg/t</t>
  </si>
  <si>
    <t>Dust min, kg/t</t>
  </si>
  <si>
    <t>Dust max, kg/t</t>
  </si>
  <si>
    <t>Fluoride min, kg/t</t>
  </si>
  <si>
    <t>Fluoride max, kg/t</t>
  </si>
  <si>
    <t>Chloride min, kg/t</t>
  </si>
  <si>
    <t>Chloride max, kg/t</t>
  </si>
  <si>
    <t>sodium sulfate, kg/kg</t>
  </si>
  <si>
    <t>bldg glass/flat glass, %</t>
  </si>
  <si>
    <t>IGU and safety glass, "000 m²</t>
  </si>
  <si>
    <t>TSG for buildings, "000 m²</t>
  </si>
  <si>
    <t>TSG, "000 m²</t>
  </si>
  <si>
    <t>plate glass (and float glass since 1962), kt</t>
  </si>
  <si>
    <t>eqCO2 flat glass CtG, kg/t</t>
  </si>
  <si>
    <t>eqCO2 LSG CtG, kg/t</t>
  </si>
  <si>
    <t>eqCO2 flat glass manufacture, kg/t</t>
  </si>
  <si>
    <t>eqCO2 LSG manufacture, kg/t</t>
  </si>
  <si>
    <t>eqCO2 TSG CtG, kg/t</t>
  </si>
  <si>
    <t>eqCO2 TSG manufacture, kg/t</t>
  </si>
  <si>
    <t>Total energy, GJ/t</t>
  </si>
  <si>
    <t>fuel, %</t>
  </si>
  <si>
    <t>electricity, %</t>
  </si>
  <si>
    <t>natural gas, %</t>
  </si>
  <si>
    <t>FR, 
"000 persons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</si>
</sst>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0.000"/>
    <numFmt numFmtId="167" formatCode="_-* #,##0.0_-;\-* #,##0.0_-;_-* &quot;-&quot;??_-;_-@_-"/>
    <numFmt numFmtId="168" formatCode="_-* #,##0.000_-;\-* #,##0.0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5"/>
      <name val="Calibri"/>
      <family val="2"/>
      <scheme val="minor"/>
    </font>
    <font>
      <i/>
      <sz val="9"/>
      <color indexed="81"/>
      <name val="Tahoma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0" fillId="0" borderId="0" xfId="0" applyBorder="1" applyAlignment="1">
      <alignment horizontal="right"/>
    </xf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 wrapText="1"/>
    </xf>
    <xf numFmtId="43" fontId="0" fillId="0" borderId="0" xfId="1" applyNumberFormat="1" applyFont="1" applyBorder="1" applyAlignment="1">
      <alignment horizontal="right" wrapText="1"/>
    </xf>
    <xf numFmtId="165" fontId="0" fillId="0" borderId="0" xfId="0" applyNumberFormat="1" applyAlignment="1">
      <alignment horizontal="right"/>
    </xf>
    <xf numFmtId="16" fontId="0" fillId="0" borderId="0" xfId="0" applyNumberFormat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43" fontId="0" fillId="0" borderId="0" xfId="0" applyNumberFormat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4" fontId="8" fillId="0" borderId="0" xfId="1" applyNumberFormat="1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43" fontId="0" fillId="0" borderId="0" xfId="1" applyNumberFormat="1" applyFont="1" applyBorder="1" applyAlignment="1">
      <alignment horizontal="right"/>
    </xf>
    <xf numFmtId="165" fontId="0" fillId="0" borderId="0" xfId="1" applyNumberFormat="1" applyFont="1" applyBorder="1" applyAlignment="1">
      <alignment horizontal="right" wrapText="1"/>
    </xf>
    <xf numFmtId="165" fontId="0" fillId="0" borderId="0" xfId="1" applyNumberFormat="1" applyFont="1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3" fillId="0" borderId="3" xfId="0" applyFont="1" applyBorder="1" applyAlignment="1">
      <alignment horizontal="center" wrapText="1"/>
    </xf>
    <xf numFmtId="0" fontId="3" fillId="0" borderId="0" xfId="0" applyFont="1" applyBorder="1" applyAlignment="1">
      <alignment horizontal="right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right"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43" fontId="0" fillId="0" borderId="0" xfId="0" applyNumberFormat="1" applyBorder="1" applyAlignment="1">
      <alignment horizontal="right" vertical="center"/>
    </xf>
    <xf numFmtId="164" fontId="0" fillId="0" borderId="0" xfId="1" applyNumberFormat="1" applyFont="1" applyBorder="1" applyAlignment="1">
      <alignment horizontal="right" vertical="center"/>
    </xf>
    <xf numFmtId="43" fontId="0" fillId="0" borderId="0" xfId="1" applyNumberFormat="1" applyFont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1" fontId="6" fillId="0" borderId="0" xfId="0" applyNumberFormat="1" applyFon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 wrapText="1"/>
    </xf>
    <xf numFmtId="0" fontId="9" fillId="0" borderId="2" xfId="0" applyFont="1" applyFill="1" applyBorder="1" applyAlignment="1">
      <alignment horizontal="right" wrapText="1"/>
    </xf>
    <xf numFmtId="2" fontId="8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43" fontId="8" fillId="0" borderId="0" xfId="0" applyNumberFormat="1" applyFont="1" applyFill="1" applyBorder="1" applyAlignment="1">
      <alignment horizontal="right"/>
    </xf>
    <xf numFmtId="1" fontId="8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 wrapText="1"/>
    </xf>
    <xf numFmtId="0" fontId="9" fillId="2" borderId="2" xfId="0" applyFont="1" applyFill="1" applyBorder="1" applyAlignment="1">
      <alignment horizontal="right" wrapText="1"/>
    </xf>
    <xf numFmtId="166" fontId="8" fillId="2" borderId="0" xfId="0" applyNumberFormat="1" applyFont="1" applyFill="1" applyBorder="1" applyAlignment="1">
      <alignment horizontal="right"/>
    </xf>
    <xf numFmtId="2" fontId="8" fillId="2" borderId="0" xfId="0" applyNumberFormat="1" applyFont="1" applyFill="1" applyBorder="1" applyAlignment="1">
      <alignment horizontal="right"/>
    </xf>
    <xf numFmtId="9" fontId="8" fillId="2" borderId="0" xfId="2" applyFont="1" applyFill="1" applyBorder="1" applyAlignment="1">
      <alignment horizontal="right"/>
    </xf>
    <xf numFmtId="1" fontId="8" fillId="2" borderId="0" xfId="0" applyNumberFormat="1" applyFont="1" applyFill="1" applyBorder="1" applyAlignment="1">
      <alignment horizontal="right"/>
    </xf>
    <xf numFmtId="0" fontId="8" fillId="2" borderId="0" xfId="0" applyFont="1" applyFill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9" fillId="0" borderId="3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right" wrapText="1"/>
    </xf>
    <xf numFmtId="0" fontId="3" fillId="0" borderId="2" xfId="0" quotePrefix="1" applyFont="1" applyBorder="1" applyAlignment="1">
      <alignment horizontal="right" wrapText="1"/>
    </xf>
    <xf numFmtId="0" fontId="3" fillId="0" borderId="0" xfId="0" applyFont="1" applyAlignment="1">
      <alignment horizontal="right" wrapText="1"/>
    </xf>
    <xf numFmtId="164" fontId="3" fillId="0" borderId="2" xfId="1" applyNumberFormat="1" applyFont="1" applyBorder="1" applyAlignment="1">
      <alignment horizontal="right" wrapText="1"/>
    </xf>
    <xf numFmtId="49" fontId="9" fillId="0" borderId="2" xfId="0" quotePrefix="1" applyNumberFormat="1" applyFont="1" applyFill="1" applyBorder="1" applyAlignment="1">
      <alignment horizontal="right" wrapText="1"/>
    </xf>
    <xf numFmtId="49" fontId="9" fillId="0" borderId="3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right" wrapText="1"/>
    </xf>
    <xf numFmtId="43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168" fontId="0" fillId="0" borderId="0" xfId="1" applyNumberFormat="1" applyFont="1" applyBorder="1" applyAlignment="1">
      <alignment horizontal="right"/>
    </xf>
    <xf numFmtId="43" fontId="8" fillId="0" borderId="0" xfId="1" applyNumberFormat="1" applyFont="1" applyFill="1" applyAlignment="1">
      <alignment horizontal="center"/>
    </xf>
    <xf numFmtId="164" fontId="0" fillId="0" borderId="0" xfId="0" applyNumberFormat="1" applyAlignment="1">
      <alignment horizontal="right"/>
    </xf>
    <xf numFmtId="43" fontId="8" fillId="0" borderId="0" xfId="1" applyFont="1" applyFill="1" applyBorder="1" applyAlignment="1">
      <alignment horizontal="right"/>
    </xf>
    <xf numFmtId="43" fontId="0" fillId="0" borderId="0" xfId="1" applyFont="1" applyBorder="1" applyAlignment="1">
      <alignment horizontal="right"/>
    </xf>
    <xf numFmtId="167" fontId="8" fillId="0" borderId="0" xfId="1" applyNumberFormat="1" applyFont="1" applyFill="1" applyBorder="1" applyAlignment="1">
      <alignment horizontal="right"/>
    </xf>
    <xf numFmtId="164" fontId="0" fillId="0" borderId="0" xfId="1" applyNumberFormat="1" applyFont="1" applyAlignment="1">
      <alignment horizontal="right"/>
    </xf>
    <xf numFmtId="0" fontId="0" fillId="0" borderId="0" xfId="0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168" fontId="8" fillId="0" borderId="0" xfId="0" applyNumberFormat="1" applyFont="1" applyFill="1" applyBorder="1" applyAlignment="1">
      <alignment horizontal="right"/>
    </xf>
    <xf numFmtId="43" fontId="8" fillId="0" borderId="0" xfId="0" applyNumberFormat="1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34B4F-80B1-4C57-93D3-427AF9C86EA4}">
  <dimension ref="A1:BT88"/>
  <sheetViews>
    <sheetView zoomScale="78" zoomScaleNormal="100" workbookViewId="0">
      <selection activeCell="E39" sqref="E39"/>
    </sheetView>
  </sheetViews>
  <sheetFormatPr defaultColWidth="10.7109375" defaultRowHeight="15" x14ac:dyDescent="0.25"/>
  <cols>
    <col min="1" max="1" width="10.28515625" style="2" customWidth="1"/>
    <col min="2" max="5" width="25.5703125" style="2" customWidth="1"/>
    <col min="6" max="16384" width="10.7109375" style="6"/>
  </cols>
  <sheetData>
    <row r="1" spans="1:5" s="65" customFormat="1" x14ac:dyDescent="0.25">
      <c r="A1" s="64" t="s">
        <v>0</v>
      </c>
      <c r="B1" s="63" t="s">
        <v>1</v>
      </c>
      <c r="C1" s="63" t="s">
        <v>2</v>
      </c>
      <c r="D1" s="63" t="s">
        <v>3</v>
      </c>
      <c r="E1" s="63" t="s">
        <v>4</v>
      </c>
    </row>
    <row r="2" spans="1:5" s="1" customFormat="1" x14ac:dyDescent="0.25">
      <c r="A2" s="21">
        <v>1945</v>
      </c>
      <c r="B2" s="22"/>
      <c r="C2" s="23"/>
      <c r="D2" s="23"/>
      <c r="E2" s="23"/>
    </row>
    <row r="3" spans="1:5" s="1" customFormat="1" x14ac:dyDescent="0.25">
      <c r="A3" s="21">
        <v>1946</v>
      </c>
      <c r="B3" s="22"/>
      <c r="C3" s="23"/>
      <c r="D3" s="23"/>
      <c r="E3" s="23"/>
    </row>
    <row r="4" spans="1:5" s="1" customFormat="1" x14ac:dyDescent="0.25">
      <c r="A4" s="21">
        <v>1947</v>
      </c>
      <c r="B4" s="22"/>
      <c r="C4" s="23"/>
      <c r="D4" s="23"/>
      <c r="E4" s="23"/>
    </row>
    <row r="5" spans="1:5" s="1" customFormat="1" x14ac:dyDescent="0.25">
      <c r="A5" s="21">
        <v>1948</v>
      </c>
      <c r="B5" s="22"/>
      <c r="C5" s="23"/>
      <c r="D5" s="23"/>
      <c r="E5" s="23"/>
    </row>
    <row r="6" spans="1:5" s="1" customFormat="1" x14ac:dyDescent="0.25">
      <c r="A6" s="21">
        <v>1949</v>
      </c>
      <c r="B6" s="22"/>
      <c r="C6" s="23"/>
      <c r="D6" s="23"/>
      <c r="E6" s="23"/>
    </row>
    <row r="7" spans="1:5" s="1" customFormat="1" x14ac:dyDescent="0.25">
      <c r="A7" s="21">
        <v>1950</v>
      </c>
      <c r="B7" s="22"/>
      <c r="C7" s="23"/>
      <c r="D7" s="23"/>
      <c r="E7" s="23"/>
    </row>
    <row r="8" spans="1:5" s="1" customFormat="1" x14ac:dyDescent="0.25">
      <c r="A8" s="21">
        <v>1951</v>
      </c>
      <c r="B8" s="22"/>
      <c r="C8" s="23"/>
      <c r="D8" s="23"/>
      <c r="E8" s="23"/>
    </row>
    <row r="9" spans="1:5" s="1" customFormat="1" x14ac:dyDescent="0.25">
      <c r="A9" s="21">
        <v>1952</v>
      </c>
      <c r="B9" s="22"/>
      <c r="C9" s="23"/>
      <c r="D9" s="23"/>
      <c r="E9" s="23"/>
    </row>
    <row r="10" spans="1:5" s="1" customFormat="1" x14ac:dyDescent="0.25">
      <c r="A10" s="21">
        <v>1953</v>
      </c>
      <c r="B10" s="22"/>
      <c r="C10" s="23"/>
      <c r="D10" s="23"/>
      <c r="E10" s="23"/>
    </row>
    <row r="11" spans="1:5" s="1" customFormat="1" x14ac:dyDescent="0.25">
      <c r="A11" s="21">
        <v>1954</v>
      </c>
      <c r="B11" s="22"/>
      <c r="C11" s="23"/>
      <c r="D11" s="23"/>
      <c r="E11" s="23"/>
    </row>
    <row r="12" spans="1:5" s="1" customFormat="1" x14ac:dyDescent="0.25">
      <c r="A12" s="21">
        <v>1955</v>
      </c>
      <c r="B12" s="22"/>
      <c r="C12" s="23"/>
      <c r="D12" s="23"/>
      <c r="E12" s="23"/>
    </row>
    <row r="13" spans="1:5" s="1" customFormat="1" x14ac:dyDescent="0.25">
      <c r="A13" s="21">
        <v>1956</v>
      </c>
      <c r="B13" s="22"/>
      <c r="C13" s="23"/>
      <c r="D13" s="23"/>
      <c r="E13" s="23"/>
    </row>
    <row r="14" spans="1:5" s="1" customFormat="1" x14ac:dyDescent="0.25">
      <c r="A14" s="21">
        <v>1957</v>
      </c>
      <c r="B14" s="22"/>
      <c r="C14" s="23"/>
      <c r="D14" s="23"/>
      <c r="E14" s="23"/>
    </row>
    <row r="15" spans="1:5" s="1" customFormat="1" x14ac:dyDescent="0.25">
      <c r="A15" s="21">
        <v>1958</v>
      </c>
      <c r="B15" s="22"/>
      <c r="C15" s="23"/>
      <c r="D15" s="23"/>
      <c r="E15" s="23"/>
    </row>
    <row r="16" spans="1:5" s="1" customFormat="1" x14ac:dyDescent="0.25">
      <c r="A16" s="21">
        <v>1959</v>
      </c>
      <c r="B16" s="22"/>
      <c r="C16" s="23"/>
      <c r="D16" s="23"/>
      <c r="E16" s="23"/>
    </row>
    <row r="17" spans="1:5" s="1" customFormat="1" x14ac:dyDescent="0.25">
      <c r="A17" s="21">
        <v>1960</v>
      </c>
      <c r="B17" s="22"/>
      <c r="C17" s="23"/>
      <c r="D17" s="23"/>
      <c r="E17" s="23"/>
    </row>
    <row r="18" spans="1:5" s="1" customFormat="1" x14ac:dyDescent="0.25">
      <c r="A18" s="21">
        <v>1961</v>
      </c>
      <c r="B18" s="22"/>
      <c r="C18" s="23"/>
      <c r="D18" s="23"/>
      <c r="E18" s="23"/>
    </row>
    <row r="19" spans="1:5" s="1" customFormat="1" x14ac:dyDescent="0.25">
      <c r="A19" s="21">
        <v>1962</v>
      </c>
      <c r="B19" s="22"/>
      <c r="C19" s="23"/>
      <c r="D19" s="23"/>
      <c r="E19" s="23"/>
    </row>
    <row r="20" spans="1:5" s="1" customFormat="1" x14ac:dyDescent="0.25">
      <c r="A20" s="21">
        <v>1963</v>
      </c>
      <c r="B20" s="22"/>
      <c r="C20" s="23"/>
      <c r="D20" s="23"/>
      <c r="E20" s="23"/>
    </row>
    <row r="21" spans="1:5" s="1" customFormat="1" x14ac:dyDescent="0.25">
      <c r="A21" s="21">
        <v>1964</v>
      </c>
      <c r="B21" s="22"/>
      <c r="C21" s="23"/>
      <c r="D21" s="23"/>
      <c r="E21" s="23"/>
    </row>
    <row r="22" spans="1:5" s="1" customFormat="1" x14ac:dyDescent="0.25">
      <c r="A22" s="21">
        <v>1965</v>
      </c>
      <c r="B22" s="22"/>
      <c r="C22" s="23"/>
      <c r="D22" s="23"/>
      <c r="E22" s="23"/>
    </row>
    <row r="23" spans="1:5" s="1" customFormat="1" x14ac:dyDescent="0.25">
      <c r="A23" s="21">
        <v>1966</v>
      </c>
      <c r="B23" s="22"/>
    </row>
    <row r="24" spans="1:5" s="1" customFormat="1" x14ac:dyDescent="0.25">
      <c r="A24" s="21">
        <v>1967</v>
      </c>
      <c r="B24" s="22"/>
      <c r="C24" s="23"/>
      <c r="D24" s="23"/>
      <c r="E24" s="23"/>
    </row>
    <row r="25" spans="1:5" s="1" customFormat="1" x14ac:dyDescent="0.25">
      <c r="A25" s="21">
        <v>1968</v>
      </c>
      <c r="B25" s="22"/>
      <c r="C25" s="23"/>
      <c r="D25" s="23"/>
      <c r="E25" s="23"/>
    </row>
    <row r="26" spans="1:5" s="1" customFormat="1" x14ac:dyDescent="0.25">
      <c r="A26" s="21">
        <v>1969</v>
      </c>
      <c r="B26" s="22"/>
      <c r="C26" s="23"/>
      <c r="D26" s="23"/>
      <c r="E26" s="69"/>
    </row>
    <row r="27" spans="1:5" s="1" customFormat="1" x14ac:dyDescent="0.25">
      <c r="A27" s="21">
        <v>1970</v>
      </c>
      <c r="B27" s="22"/>
      <c r="C27" s="23"/>
      <c r="D27" s="23"/>
      <c r="E27" s="23"/>
    </row>
    <row r="28" spans="1:5" s="1" customFormat="1" x14ac:dyDescent="0.25">
      <c r="A28" s="21">
        <v>1971</v>
      </c>
      <c r="B28" s="22"/>
      <c r="C28" s="23"/>
      <c r="D28" s="23"/>
      <c r="E28" s="23"/>
    </row>
    <row r="29" spans="1:5" s="1" customFormat="1" x14ac:dyDescent="0.25">
      <c r="A29" s="21">
        <v>1972</v>
      </c>
      <c r="B29" s="22"/>
      <c r="C29" s="23"/>
      <c r="D29" s="23"/>
      <c r="E29" s="23"/>
    </row>
    <row r="30" spans="1:5" s="1" customFormat="1" x14ac:dyDescent="0.25">
      <c r="A30" s="21">
        <v>1973</v>
      </c>
      <c r="B30" s="22"/>
      <c r="C30" s="23"/>
      <c r="D30" s="23"/>
      <c r="E30" s="23"/>
    </row>
    <row r="31" spans="1:5" s="1" customFormat="1" x14ac:dyDescent="0.25">
      <c r="A31" s="21">
        <v>1974</v>
      </c>
      <c r="B31" s="22"/>
      <c r="C31" s="23"/>
      <c r="D31" s="23"/>
      <c r="E31" s="23"/>
    </row>
    <row r="32" spans="1:5" s="1" customFormat="1" x14ac:dyDescent="0.25">
      <c r="A32" s="21">
        <v>1975</v>
      </c>
      <c r="B32" s="22"/>
      <c r="C32" s="23"/>
      <c r="D32" s="23"/>
      <c r="E32" s="23"/>
    </row>
    <row r="33" spans="1:5" s="1" customFormat="1" x14ac:dyDescent="0.25">
      <c r="A33" s="21">
        <v>1976</v>
      </c>
      <c r="B33" s="22"/>
      <c r="C33" s="23"/>
      <c r="D33" s="23"/>
      <c r="E33" s="23"/>
    </row>
    <row r="34" spans="1:5" s="1" customFormat="1" x14ac:dyDescent="0.25">
      <c r="A34" s="21">
        <v>1977</v>
      </c>
      <c r="B34" s="22"/>
      <c r="C34" s="23"/>
      <c r="D34" s="23"/>
      <c r="E34" s="23"/>
    </row>
    <row r="35" spans="1:5" s="1" customFormat="1" x14ac:dyDescent="0.25">
      <c r="A35" s="21">
        <v>1978</v>
      </c>
      <c r="B35" s="22"/>
      <c r="C35" s="23"/>
      <c r="D35" s="23"/>
      <c r="E35" s="23"/>
    </row>
    <row r="36" spans="1:5" s="1" customFormat="1" x14ac:dyDescent="0.25">
      <c r="A36" s="21">
        <v>1979</v>
      </c>
      <c r="B36" s="22"/>
      <c r="C36" s="23"/>
      <c r="D36" s="23"/>
      <c r="E36" s="23"/>
    </row>
    <row r="37" spans="1:5" s="1" customFormat="1" x14ac:dyDescent="0.25">
      <c r="A37" s="21">
        <v>1980</v>
      </c>
      <c r="B37" s="22"/>
      <c r="C37" s="23"/>
      <c r="D37" s="23"/>
      <c r="E37" s="23"/>
    </row>
    <row r="38" spans="1:5" s="1" customFormat="1" x14ac:dyDescent="0.25">
      <c r="A38" s="21">
        <v>1981</v>
      </c>
      <c r="B38" s="22"/>
      <c r="C38" s="23"/>
      <c r="D38" s="23"/>
      <c r="E38" s="23"/>
    </row>
    <row r="39" spans="1:5" s="1" customFormat="1" x14ac:dyDescent="0.25">
      <c r="A39" s="21">
        <v>1982</v>
      </c>
      <c r="B39" s="22"/>
      <c r="C39" s="23"/>
      <c r="D39" s="23"/>
      <c r="E39" s="23"/>
    </row>
    <row r="40" spans="1:5" s="1" customFormat="1" x14ac:dyDescent="0.25">
      <c r="A40" s="21">
        <v>1983</v>
      </c>
      <c r="B40" s="22"/>
      <c r="C40" s="23"/>
      <c r="D40" s="23"/>
      <c r="E40" s="23"/>
    </row>
    <row r="41" spans="1:5" s="1" customFormat="1" x14ac:dyDescent="0.25">
      <c r="A41" s="21">
        <v>1984</v>
      </c>
      <c r="B41" s="22"/>
      <c r="C41" s="23"/>
      <c r="D41" s="23"/>
      <c r="E41" s="23"/>
    </row>
    <row r="42" spans="1:5" s="1" customFormat="1" x14ac:dyDescent="0.25">
      <c r="A42" s="21">
        <v>1985</v>
      </c>
      <c r="B42" s="22"/>
      <c r="C42" s="23"/>
      <c r="D42" s="23"/>
      <c r="E42" s="23"/>
    </row>
    <row r="43" spans="1:5" s="1" customFormat="1" x14ac:dyDescent="0.25">
      <c r="A43" s="21">
        <v>1986</v>
      </c>
      <c r="B43" s="22"/>
      <c r="C43" s="23"/>
      <c r="D43" s="23"/>
      <c r="E43" s="23"/>
    </row>
    <row r="44" spans="1:5" s="1" customFormat="1" x14ac:dyDescent="0.25">
      <c r="A44" s="21">
        <v>1987</v>
      </c>
      <c r="B44" s="22"/>
      <c r="C44" s="23"/>
      <c r="D44" s="23"/>
      <c r="E44" s="23"/>
    </row>
    <row r="45" spans="1:5" s="1" customFormat="1" x14ac:dyDescent="0.25">
      <c r="A45" s="21">
        <v>1988</v>
      </c>
      <c r="B45" s="22"/>
      <c r="C45" s="23"/>
      <c r="D45" s="23"/>
      <c r="E45" s="23"/>
    </row>
    <row r="46" spans="1:5" s="1" customFormat="1" x14ac:dyDescent="0.25">
      <c r="A46" s="21">
        <v>1989</v>
      </c>
      <c r="B46" s="22"/>
      <c r="C46" s="23"/>
      <c r="D46" s="23"/>
      <c r="E46" s="23"/>
    </row>
    <row r="47" spans="1:5" s="1" customFormat="1" x14ac:dyDescent="0.25">
      <c r="A47" s="21">
        <v>1990</v>
      </c>
      <c r="B47" s="22"/>
      <c r="C47" s="23"/>
      <c r="D47" s="23"/>
      <c r="E47" s="23"/>
    </row>
    <row r="48" spans="1:5" s="1" customFormat="1" x14ac:dyDescent="0.25">
      <c r="A48" s="21">
        <v>1991</v>
      </c>
      <c r="B48" s="22"/>
      <c r="C48" s="23"/>
      <c r="D48" s="23"/>
      <c r="E48" s="23"/>
    </row>
    <row r="49" spans="1:6" s="1" customFormat="1" x14ac:dyDescent="0.25">
      <c r="A49" s="21">
        <v>1992</v>
      </c>
      <c r="B49" s="22"/>
      <c r="C49" s="23"/>
      <c r="D49" s="23"/>
      <c r="E49" s="23"/>
    </row>
    <row r="50" spans="1:6" s="1" customFormat="1" x14ac:dyDescent="0.25">
      <c r="A50" s="21">
        <v>1993</v>
      </c>
      <c r="B50" s="22"/>
      <c r="C50" s="23"/>
      <c r="D50" s="23"/>
      <c r="E50" s="23"/>
    </row>
    <row r="51" spans="1:6" s="1" customFormat="1" x14ac:dyDescent="0.25">
      <c r="A51" s="21">
        <v>1994</v>
      </c>
      <c r="B51" s="22"/>
      <c r="C51" s="23"/>
      <c r="D51" s="23"/>
      <c r="E51" s="23"/>
    </row>
    <row r="52" spans="1:6" s="1" customFormat="1" x14ac:dyDescent="0.25">
      <c r="A52" s="21">
        <v>1995</v>
      </c>
      <c r="B52" s="24"/>
      <c r="C52" s="23"/>
      <c r="D52" s="23"/>
      <c r="E52" s="23"/>
    </row>
    <row r="53" spans="1:6" s="1" customFormat="1" x14ac:dyDescent="0.25">
      <c r="A53" s="21">
        <v>1996</v>
      </c>
      <c r="B53" s="22"/>
      <c r="C53" s="23">
        <v>322000</v>
      </c>
      <c r="D53" s="23">
        <f>171000</f>
        <v>171000</v>
      </c>
      <c r="E53" s="23">
        <v>151000</v>
      </c>
      <c r="F53" s="70"/>
    </row>
    <row r="54" spans="1:6" s="1" customFormat="1" x14ac:dyDescent="0.25">
      <c r="A54" s="21">
        <v>1997</v>
      </c>
      <c r="B54" s="22"/>
      <c r="C54" s="23"/>
      <c r="D54" s="23"/>
      <c r="E54" s="23"/>
    </row>
    <row r="55" spans="1:6" s="1" customFormat="1" x14ac:dyDescent="0.25">
      <c r="A55" s="21">
        <v>1998</v>
      </c>
      <c r="B55" s="22"/>
      <c r="C55" s="69"/>
      <c r="D55" s="23"/>
      <c r="E55" s="23"/>
    </row>
    <row r="56" spans="1:6" s="1" customFormat="1" x14ac:dyDescent="0.25">
      <c r="A56" s="21">
        <v>1999</v>
      </c>
      <c r="B56" s="22"/>
      <c r="D56" s="23"/>
      <c r="E56" s="23"/>
    </row>
    <row r="57" spans="1:6" s="1" customFormat="1" x14ac:dyDescent="0.25">
      <c r="A57" s="21">
        <v>2000</v>
      </c>
      <c r="B57" s="22"/>
      <c r="C57" s="23"/>
      <c r="D57" s="23"/>
      <c r="E57" s="23"/>
    </row>
    <row r="58" spans="1:6" s="1" customFormat="1" x14ac:dyDescent="0.25">
      <c r="A58" s="21">
        <v>2001</v>
      </c>
      <c r="B58" s="22"/>
      <c r="C58" s="23"/>
      <c r="D58" s="23"/>
      <c r="E58" s="69"/>
    </row>
    <row r="59" spans="1:6" s="1" customFormat="1" x14ac:dyDescent="0.25">
      <c r="A59" s="21">
        <v>2002</v>
      </c>
      <c r="B59" s="22"/>
      <c r="C59" s="23"/>
      <c r="D59" s="23"/>
      <c r="E59" s="23"/>
    </row>
    <row r="60" spans="1:6" s="1" customFormat="1" x14ac:dyDescent="0.25">
      <c r="A60" s="21">
        <v>2003</v>
      </c>
      <c r="B60" s="22"/>
      <c r="C60" s="23"/>
      <c r="D60" s="23"/>
      <c r="E60" s="23"/>
    </row>
    <row r="61" spans="1:6" s="1" customFormat="1" x14ac:dyDescent="0.25">
      <c r="A61" s="21">
        <v>2004</v>
      </c>
      <c r="B61" s="24"/>
      <c r="C61" s="23"/>
      <c r="D61" s="23"/>
      <c r="E61" s="23"/>
    </row>
    <row r="62" spans="1:6" s="1" customFormat="1" x14ac:dyDescent="0.25">
      <c r="A62" s="21">
        <v>2005</v>
      </c>
      <c r="B62" s="24"/>
      <c r="C62" s="23"/>
      <c r="D62" s="23"/>
      <c r="E62" s="23"/>
    </row>
    <row r="63" spans="1:6" s="1" customFormat="1" x14ac:dyDescent="0.25">
      <c r="A63" s="21">
        <v>2006</v>
      </c>
      <c r="B63" s="24">
        <f>B64-12000*(1.2*1.2)</f>
        <v>540616</v>
      </c>
      <c r="C63" s="23"/>
      <c r="D63" s="23"/>
      <c r="E63" s="23"/>
    </row>
    <row r="64" spans="1:6" s="1" customFormat="1" x14ac:dyDescent="0.25">
      <c r="A64" s="21">
        <v>2007</v>
      </c>
      <c r="B64" s="24">
        <f>B65-12200*(1.2*1.2)</f>
        <v>557896</v>
      </c>
      <c r="C64" s="23"/>
      <c r="D64" s="23"/>
      <c r="E64" s="23"/>
    </row>
    <row r="65" spans="1:72" s="1" customFormat="1" x14ac:dyDescent="0.25">
      <c r="A65" s="21">
        <v>2008</v>
      </c>
      <c r="B65" s="24">
        <f>B66-11600*(1.2*1.2)</f>
        <v>575464</v>
      </c>
      <c r="C65" s="23"/>
      <c r="D65" s="23"/>
      <c r="E65" s="23"/>
    </row>
    <row r="66" spans="1:72" s="1" customFormat="1" x14ac:dyDescent="0.25">
      <c r="A66" s="21">
        <v>2009</v>
      </c>
      <c r="B66" s="24">
        <f>B67-11400*(1.2*1.2)</f>
        <v>592168</v>
      </c>
      <c r="C66" s="23"/>
      <c r="D66" s="23"/>
      <c r="E66" s="23"/>
    </row>
    <row r="67" spans="1:72" s="1" customFormat="1" x14ac:dyDescent="0.25">
      <c r="A67" s="21">
        <v>2010</v>
      </c>
      <c r="B67" s="24">
        <f>B68-11400*(1.2*1.2)</f>
        <v>608584</v>
      </c>
      <c r="C67" s="23"/>
      <c r="D67" s="23"/>
      <c r="E67" s="23"/>
    </row>
    <row r="68" spans="1:72" s="1" customFormat="1" x14ac:dyDescent="0.25">
      <c r="A68" s="21">
        <v>2011</v>
      </c>
      <c r="B68" s="23">
        <v>625000</v>
      </c>
      <c r="C68" s="23"/>
      <c r="D68" s="23"/>
      <c r="E68" s="23"/>
    </row>
    <row r="69" spans="1:72" s="1" customFormat="1" x14ac:dyDescent="0.25">
      <c r="A69" s="21">
        <v>2012</v>
      </c>
      <c r="B69" s="24">
        <f>B68+11200*(1.2*1.2)</f>
        <v>641128</v>
      </c>
      <c r="C69" s="23"/>
      <c r="D69" s="23"/>
      <c r="E69" s="23"/>
    </row>
    <row r="70" spans="1:72" s="1" customFormat="1" x14ac:dyDescent="0.25">
      <c r="A70" s="21">
        <v>2013</v>
      </c>
      <c r="B70" s="24"/>
      <c r="C70" s="23"/>
      <c r="D70" s="23"/>
      <c r="E70" s="23"/>
    </row>
    <row r="71" spans="1:72" s="1" customFormat="1" x14ac:dyDescent="0.25">
      <c r="A71" s="21">
        <v>2014</v>
      </c>
      <c r="B71" s="22"/>
      <c r="C71" s="23"/>
      <c r="D71" s="23"/>
      <c r="E71" s="23"/>
    </row>
    <row r="72" spans="1:72" s="1" customFormat="1" x14ac:dyDescent="0.25">
      <c r="A72" s="21">
        <v>2015</v>
      </c>
      <c r="B72" s="22"/>
      <c r="C72" s="23"/>
      <c r="D72" s="23"/>
      <c r="E72" s="23"/>
    </row>
    <row r="73" spans="1:72" s="1" customFormat="1" x14ac:dyDescent="0.25">
      <c r="A73" s="21">
        <v>2016</v>
      </c>
      <c r="B73" s="22"/>
      <c r="C73" s="23"/>
      <c r="D73" s="23"/>
      <c r="E73" s="23"/>
    </row>
    <row r="74" spans="1:72" s="1" customFormat="1" x14ac:dyDescent="0.25">
      <c r="A74" s="21">
        <v>2017</v>
      </c>
      <c r="B74" s="22"/>
      <c r="C74" s="23"/>
      <c r="D74" s="23"/>
      <c r="E74" s="23"/>
    </row>
    <row r="75" spans="1:72" s="1" customFormat="1" x14ac:dyDescent="0.25">
      <c r="A75" s="21">
        <v>2018</v>
      </c>
      <c r="B75" s="22"/>
      <c r="C75" s="23"/>
      <c r="D75" s="23"/>
      <c r="E75" s="23"/>
    </row>
    <row r="76" spans="1:72" s="1" customFormat="1" x14ac:dyDescent="0.25">
      <c r="A76" s="21">
        <v>2019</v>
      </c>
      <c r="B76" s="22"/>
      <c r="C76" s="23"/>
      <c r="D76" s="23"/>
      <c r="E76" s="23"/>
    </row>
    <row r="77" spans="1:72" s="1" customFormat="1" x14ac:dyDescent="0.25">
      <c r="A77" s="21">
        <v>2020</v>
      </c>
      <c r="B77" s="22"/>
      <c r="C77" s="23"/>
      <c r="D77" s="23"/>
      <c r="E77" s="23"/>
    </row>
    <row r="78" spans="1:72" s="4" customFormat="1" x14ac:dyDescent="0.25">
      <c r="A78" s="2"/>
      <c r="B78" s="2"/>
      <c r="C78" s="2"/>
      <c r="D78" s="2"/>
      <c r="E78" s="2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</row>
    <row r="79" spans="1:72" s="4" customFormat="1" x14ac:dyDescent="0.25">
      <c r="A79" s="2"/>
      <c r="B79" s="2"/>
      <c r="C79" s="2"/>
      <c r="D79" s="2"/>
      <c r="E79" s="2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</row>
    <row r="80" spans="1:72" s="4" customFormat="1" x14ac:dyDescent="0.25">
      <c r="A80" s="2"/>
      <c r="B80" s="2"/>
      <c r="C80" s="2"/>
      <c r="D80" s="2"/>
      <c r="E80" s="2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</row>
    <row r="87" spans="1:72" s="4" customFormat="1" x14ac:dyDescent="0.25">
      <c r="A87" s="2"/>
      <c r="B87" s="2"/>
      <c r="C87" s="2"/>
      <c r="D87" s="2"/>
      <c r="E87" s="2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s="4" customFormat="1" x14ac:dyDescent="0.25">
      <c r="A88" s="2"/>
      <c r="B88" s="2"/>
      <c r="C88" s="2"/>
      <c r="D88" s="2"/>
      <c r="E88" s="2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30FDF-0775-4091-8CBF-83ED2B322FDF}">
  <dimension ref="A1:BN88"/>
  <sheetViews>
    <sheetView zoomScale="85" zoomScaleNormal="85" workbookViewId="0">
      <selection activeCell="Y23" sqref="Y23"/>
    </sheetView>
  </sheetViews>
  <sheetFormatPr defaultColWidth="10.7109375" defaultRowHeight="15" x14ac:dyDescent="0.25"/>
  <cols>
    <col min="1" max="1" width="9.28515625" style="2" customWidth="1"/>
    <col min="2" max="2" width="17.5703125" style="6" customWidth="1"/>
    <col min="3" max="3" width="17" customWidth="1"/>
    <col min="4" max="16384" width="10.7109375" style="6"/>
  </cols>
  <sheetData>
    <row r="1" spans="1:3" s="17" customFormat="1" ht="30" x14ac:dyDescent="0.25">
      <c r="A1" s="20" t="s">
        <v>0</v>
      </c>
      <c r="B1" s="60" t="s">
        <v>1</v>
      </c>
      <c r="C1" s="5" t="s">
        <v>62</v>
      </c>
    </row>
    <row r="2" spans="1:3" s="1" customFormat="1" x14ac:dyDescent="0.25">
      <c r="A2" s="14">
        <v>1945</v>
      </c>
      <c r="B2" s="8"/>
      <c r="C2"/>
    </row>
    <row r="3" spans="1:3" s="1" customFormat="1" x14ac:dyDescent="0.25">
      <c r="A3" s="14">
        <v>1946</v>
      </c>
      <c r="B3" s="8"/>
      <c r="C3"/>
    </row>
    <row r="4" spans="1:3" s="1" customFormat="1" x14ac:dyDescent="0.25">
      <c r="A4" s="14">
        <v>1947</v>
      </c>
      <c r="B4" s="8"/>
      <c r="C4"/>
    </row>
    <row r="5" spans="1:3" s="1" customFormat="1" x14ac:dyDescent="0.25">
      <c r="A5" s="14">
        <v>1948</v>
      </c>
      <c r="B5" s="8"/>
      <c r="C5"/>
    </row>
    <row r="6" spans="1:3" s="1" customFormat="1" x14ac:dyDescent="0.25">
      <c r="A6" s="14">
        <v>1949</v>
      </c>
      <c r="B6" s="8"/>
      <c r="C6"/>
    </row>
    <row r="7" spans="1:3" s="1" customFormat="1" x14ac:dyDescent="0.25">
      <c r="A7" s="14">
        <v>1950</v>
      </c>
      <c r="B7" s="8"/>
      <c r="C7"/>
    </row>
    <row r="8" spans="1:3" s="1" customFormat="1" x14ac:dyDescent="0.25">
      <c r="A8" s="14">
        <v>1951</v>
      </c>
      <c r="B8" s="8"/>
      <c r="C8"/>
    </row>
    <row r="9" spans="1:3" s="1" customFormat="1" x14ac:dyDescent="0.25">
      <c r="A9" s="14">
        <v>1952</v>
      </c>
      <c r="B9" s="8"/>
      <c r="C9"/>
    </row>
    <row r="10" spans="1:3" s="1" customFormat="1" x14ac:dyDescent="0.25">
      <c r="A10" s="14">
        <v>1953</v>
      </c>
      <c r="B10" s="8"/>
      <c r="C10"/>
    </row>
    <row r="11" spans="1:3" s="1" customFormat="1" x14ac:dyDescent="0.25">
      <c r="A11" s="14">
        <v>1954</v>
      </c>
      <c r="B11" s="8"/>
      <c r="C11"/>
    </row>
    <row r="12" spans="1:3" s="1" customFormat="1" x14ac:dyDescent="0.25">
      <c r="A12" s="14">
        <v>1955</v>
      </c>
      <c r="B12" s="8"/>
      <c r="C12"/>
    </row>
    <row r="13" spans="1:3" s="1" customFormat="1" x14ac:dyDescent="0.25">
      <c r="A13" s="14">
        <v>1956</v>
      </c>
      <c r="B13" s="8"/>
      <c r="C13"/>
    </row>
    <row r="14" spans="1:3" s="1" customFormat="1" x14ac:dyDescent="0.25">
      <c r="A14" s="14">
        <v>1957</v>
      </c>
      <c r="B14" s="8"/>
      <c r="C14"/>
    </row>
    <row r="15" spans="1:3" s="1" customFormat="1" x14ac:dyDescent="0.25">
      <c r="A15" s="14">
        <v>1958</v>
      </c>
      <c r="B15" s="8"/>
      <c r="C15" s="75"/>
    </row>
    <row r="16" spans="1:3" s="1" customFormat="1" x14ac:dyDescent="0.25">
      <c r="A16" s="14">
        <v>1959</v>
      </c>
      <c r="B16" s="8"/>
      <c r="C16"/>
    </row>
    <row r="17" spans="1:4" s="1" customFormat="1" x14ac:dyDescent="0.25">
      <c r="A17" s="14">
        <v>1960</v>
      </c>
      <c r="B17" s="8"/>
      <c r="C17" s="76">
        <v>45684</v>
      </c>
      <c r="D17" s="66"/>
    </row>
    <row r="18" spans="1:4" s="1" customFormat="1" x14ac:dyDescent="0.25">
      <c r="A18" s="14">
        <v>1961</v>
      </c>
      <c r="B18" s="8"/>
      <c r="C18" s="76">
        <v>46163</v>
      </c>
      <c r="D18" s="66"/>
    </row>
    <row r="19" spans="1:4" s="1" customFormat="1" x14ac:dyDescent="0.25">
      <c r="A19" s="14">
        <v>1962</v>
      </c>
      <c r="B19" s="8"/>
      <c r="C19" s="76">
        <v>46998</v>
      </c>
      <c r="D19" s="66"/>
    </row>
    <row r="20" spans="1:4" s="1" customFormat="1" x14ac:dyDescent="0.25">
      <c r="A20" s="14">
        <v>1963</v>
      </c>
      <c r="B20" s="8"/>
      <c r="C20" s="76">
        <v>47816</v>
      </c>
      <c r="D20" s="66"/>
    </row>
    <row r="21" spans="1:4" s="1" customFormat="1" x14ac:dyDescent="0.25">
      <c r="A21" s="14">
        <v>1964</v>
      </c>
      <c r="B21" s="8"/>
      <c r="C21" s="76">
        <v>48310</v>
      </c>
      <c r="D21" s="66"/>
    </row>
    <row r="22" spans="1:4" s="1" customFormat="1" x14ac:dyDescent="0.25">
      <c r="A22" s="14">
        <v>1965</v>
      </c>
      <c r="B22" s="8"/>
      <c r="C22" s="76">
        <v>48758</v>
      </c>
      <c r="D22" s="66"/>
    </row>
    <row r="23" spans="1:4" s="1" customFormat="1" x14ac:dyDescent="0.25">
      <c r="A23" s="14">
        <v>1966</v>
      </c>
      <c r="B23" s="8"/>
      <c r="C23" s="76">
        <v>49164</v>
      </c>
      <c r="D23" s="66"/>
    </row>
    <row r="24" spans="1:4" s="1" customFormat="1" x14ac:dyDescent="0.25">
      <c r="A24" s="14">
        <v>1967</v>
      </c>
      <c r="B24" s="8"/>
      <c r="C24" s="76">
        <v>49548</v>
      </c>
      <c r="D24" s="66"/>
    </row>
    <row r="25" spans="1:4" s="1" customFormat="1" x14ac:dyDescent="0.25">
      <c r="A25" s="14">
        <v>1968</v>
      </c>
      <c r="B25" s="8"/>
      <c r="C25" s="76">
        <v>49915</v>
      </c>
      <c r="D25" s="66"/>
    </row>
    <row r="26" spans="1:4" s="1" customFormat="1" x14ac:dyDescent="0.25">
      <c r="A26" s="14">
        <v>1969</v>
      </c>
      <c r="B26" s="8"/>
      <c r="C26" s="76">
        <v>50318</v>
      </c>
      <c r="D26" s="66"/>
    </row>
    <row r="27" spans="1:4" s="1" customFormat="1" x14ac:dyDescent="0.25">
      <c r="A27" s="14">
        <v>1970</v>
      </c>
      <c r="B27" s="8"/>
      <c r="C27" s="76">
        <v>50772</v>
      </c>
      <c r="D27" s="66"/>
    </row>
    <row r="28" spans="1:4" s="1" customFormat="1" x14ac:dyDescent="0.25">
      <c r="A28" s="14">
        <v>1971</v>
      </c>
      <c r="B28" s="8"/>
      <c r="C28" s="76">
        <v>51251</v>
      </c>
      <c r="D28" s="66"/>
    </row>
    <row r="29" spans="1:4" s="1" customFormat="1" x14ac:dyDescent="0.25">
      <c r="A29" s="14">
        <v>1972</v>
      </c>
      <c r="B29" s="8"/>
      <c r="C29" s="76">
        <v>51701</v>
      </c>
      <c r="D29" s="66"/>
    </row>
    <row r="30" spans="1:4" s="1" customFormat="1" x14ac:dyDescent="0.25">
      <c r="A30" s="14">
        <v>1973</v>
      </c>
      <c r="B30" s="8"/>
      <c r="C30" s="76">
        <v>52118</v>
      </c>
      <c r="D30" s="66"/>
    </row>
    <row r="31" spans="1:4" s="1" customFormat="1" x14ac:dyDescent="0.25">
      <c r="A31" s="14">
        <v>1974</v>
      </c>
      <c r="B31" s="8"/>
      <c r="C31" s="76">
        <v>52460</v>
      </c>
      <c r="D31" s="66"/>
    </row>
    <row r="32" spans="1:4" s="1" customFormat="1" x14ac:dyDescent="0.25">
      <c r="A32" s="14">
        <v>1975</v>
      </c>
      <c r="C32" s="76">
        <v>52699</v>
      </c>
      <c r="D32" s="66"/>
    </row>
    <row r="33" spans="1:4" s="1" customFormat="1" x14ac:dyDescent="0.25">
      <c r="A33" s="14">
        <v>1976</v>
      </c>
      <c r="C33" s="76">
        <v>52909</v>
      </c>
      <c r="D33" s="66"/>
    </row>
    <row r="34" spans="1:4" s="1" customFormat="1" x14ac:dyDescent="0.25">
      <c r="A34" s="14">
        <v>1977</v>
      </c>
      <c r="C34" s="76">
        <v>53145</v>
      </c>
      <c r="D34" s="66"/>
    </row>
    <row r="35" spans="1:4" s="1" customFormat="1" x14ac:dyDescent="0.25">
      <c r="A35" s="14">
        <v>1978</v>
      </c>
      <c r="C35" s="76">
        <v>53376</v>
      </c>
      <c r="D35" s="66"/>
    </row>
    <row r="36" spans="1:4" s="1" customFormat="1" x14ac:dyDescent="0.25">
      <c r="A36" s="14">
        <v>1979</v>
      </c>
      <c r="B36" s="8"/>
      <c r="C36" s="76">
        <v>53606</v>
      </c>
      <c r="D36" s="66"/>
    </row>
    <row r="37" spans="1:4" s="1" customFormat="1" x14ac:dyDescent="0.25">
      <c r="A37" s="14">
        <v>1980</v>
      </c>
      <c r="B37" s="8"/>
      <c r="C37" s="76">
        <v>53880</v>
      </c>
      <c r="D37" s="66"/>
    </row>
    <row r="38" spans="1:4" s="1" customFormat="1" x14ac:dyDescent="0.25">
      <c r="A38" s="14">
        <v>1981</v>
      </c>
      <c r="B38" s="8"/>
      <c r="C38" s="76">
        <v>54182</v>
      </c>
      <c r="D38" s="66"/>
    </row>
    <row r="39" spans="1:4" s="1" customFormat="1" x14ac:dyDescent="0.25">
      <c r="A39" s="14">
        <v>1982</v>
      </c>
      <c r="B39" s="8"/>
      <c r="C39" s="76">
        <v>54492</v>
      </c>
      <c r="D39" s="66"/>
    </row>
    <row r="40" spans="1:4" s="1" customFormat="1" x14ac:dyDescent="0.25">
      <c r="A40" s="14">
        <v>1983</v>
      </c>
      <c r="B40" s="8"/>
      <c r="C40" s="76">
        <v>54772</v>
      </c>
      <c r="D40" s="66"/>
    </row>
    <row r="41" spans="1:4" s="1" customFormat="1" x14ac:dyDescent="0.25">
      <c r="A41" s="14">
        <v>1984</v>
      </c>
      <c r="B41" s="8"/>
      <c r="C41" s="76">
        <v>55026</v>
      </c>
      <c r="D41" s="66"/>
    </row>
    <row r="42" spans="1:4" s="1" customFormat="1" x14ac:dyDescent="0.25">
      <c r="A42" s="14">
        <v>1985</v>
      </c>
      <c r="B42" s="8"/>
      <c r="C42" s="76">
        <v>55284</v>
      </c>
      <c r="D42" s="66"/>
    </row>
    <row r="43" spans="1:4" s="1" customFormat="1" x14ac:dyDescent="0.25">
      <c r="A43" s="14">
        <v>1986</v>
      </c>
      <c r="B43" s="8"/>
      <c r="C43" s="76">
        <v>55547</v>
      </c>
      <c r="D43" s="66"/>
    </row>
    <row r="44" spans="1:4" s="1" customFormat="1" x14ac:dyDescent="0.25">
      <c r="A44" s="14">
        <v>1987</v>
      </c>
      <c r="B44" s="8"/>
      <c r="C44" s="76">
        <v>55824</v>
      </c>
      <c r="D44" s="66"/>
    </row>
    <row r="45" spans="1:4" s="1" customFormat="1" x14ac:dyDescent="0.25">
      <c r="A45" s="14">
        <v>1988</v>
      </c>
      <c r="B45" s="8"/>
      <c r="C45" s="76">
        <v>56118</v>
      </c>
      <c r="D45" s="66"/>
    </row>
    <row r="46" spans="1:4" s="1" customFormat="1" x14ac:dyDescent="0.25">
      <c r="A46" s="14">
        <v>1989</v>
      </c>
      <c r="B46" s="8"/>
      <c r="C46" s="76">
        <v>56423</v>
      </c>
      <c r="D46" s="66"/>
    </row>
    <row r="47" spans="1:4" s="1" customFormat="1" x14ac:dyDescent="0.25">
      <c r="A47" s="14">
        <v>1990</v>
      </c>
      <c r="B47" s="8"/>
      <c r="C47" s="76">
        <v>56709</v>
      </c>
      <c r="D47" s="66"/>
    </row>
    <row r="48" spans="1:4" s="1" customFormat="1" x14ac:dyDescent="0.25">
      <c r="A48" s="14">
        <v>1991</v>
      </c>
      <c r="B48" s="8"/>
      <c r="C48" s="76">
        <v>58426</v>
      </c>
      <c r="D48" s="66"/>
    </row>
    <row r="49" spans="1:4" s="1" customFormat="1" x14ac:dyDescent="0.25">
      <c r="A49" s="14">
        <v>1992</v>
      </c>
      <c r="B49" s="8"/>
      <c r="C49" s="76">
        <v>58712</v>
      </c>
      <c r="D49" s="66"/>
    </row>
    <row r="50" spans="1:4" s="1" customFormat="1" x14ac:dyDescent="0.25">
      <c r="A50" s="14">
        <v>1993</v>
      </c>
      <c r="B50" s="8"/>
      <c r="C50" s="76">
        <v>58961</v>
      </c>
      <c r="D50" s="66"/>
    </row>
    <row r="51" spans="1:4" s="1" customFormat="1" x14ac:dyDescent="0.25">
      <c r="A51" s="14">
        <v>1994</v>
      </c>
      <c r="B51" s="8"/>
      <c r="C51" s="76">
        <v>59175</v>
      </c>
      <c r="D51" s="66"/>
    </row>
    <row r="52" spans="1:4" s="1" customFormat="1" x14ac:dyDescent="0.25">
      <c r="A52" s="14">
        <v>1995</v>
      </c>
      <c r="B52" s="8"/>
      <c r="C52" s="76">
        <v>59384</v>
      </c>
      <c r="D52" s="66"/>
    </row>
    <row r="53" spans="1:4" s="1" customFormat="1" x14ac:dyDescent="0.25">
      <c r="A53" s="14">
        <v>1996</v>
      </c>
      <c r="B53" s="8"/>
      <c r="C53" s="76">
        <v>59589</v>
      </c>
      <c r="D53" s="66"/>
    </row>
    <row r="54" spans="1:4" s="1" customFormat="1" x14ac:dyDescent="0.25">
      <c r="A54" s="14">
        <v>1997</v>
      </c>
      <c r="B54" s="8"/>
      <c r="C54" s="76">
        <v>59795</v>
      </c>
      <c r="D54" s="66"/>
    </row>
    <row r="55" spans="1:4" s="1" customFormat="1" x14ac:dyDescent="0.25">
      <c r="A55" s="14">
        <v>1998</v>
      </c>
      <c r="B55" s="7">
        <v>19400</v>
      </c>
      <c r="C55" s="76">
        <v>60011</v>
      </c>
      <c r="D55" s="66"/>
    </row>
    <row r="56" spans="1:4" s="1" customFormat="1" x14ac:dyDescent="0.25">
      <c r="A56" s="14">
        <v>1999</v>
      </c>
      <c r="B56" s="8"/>
      <c r="C56" s="76">
        <v>60315</v>
      </c>
      <c r="D56" s="66"/>
    </row>
    <row r="57" spans="1:4" s="1" customFormat="1" x14ac:dyDescent="0.25">
      <c r="A57" s="14">
        <v>2000</v>
      </c>
      <c r="B57" s="7">
        <v>22000</v>
      </c>
      <c r="C57" s="76">
        <v>60725</v>
      </c>
      <c r="D57" s="66"/>
    </row>
    <row r="58" spans="1:4" s="1" customFormat="1" x14ac:dyDescent="0.25">
      <c r="A58" s="14">
        <v>2001</v>
      </c>
      <c r="B58" s="8"/>
      <c r="C58" s="76">
        <v>61163</v>
      </c>
      <c r="D58" s="66"/>
    </row>
    <row r="59" spans="1:4" s="1" customFormat="1" x14ac:dyDescent="0.25">
      <c r="A59" s="14">
        <v>2002</v>
      </c>
      <c r="B59" s="8"/>
      <c r="C59" s="76">
        <v>61605</v>
      </c>
      <c r="D59" s="66"/>
    </row>
    <row r="60" spans="1:4" s="1" customFormat="1" x14ac:dyDescent="0.25">
      <c r="A60" s="14">
        <v>2003</v>
      </c>
      <c r="B60" s="8"/>
      <c r="C60" s="76">
        <v>62038</v>
      </c>
      <c r="D60" s="66"/>
    </row>
    <row r="61" spans="1:4" s="1" customFormat="1" x14ac:dyDescent="0.25">
      <c r="A61" s="14">
        <v>2004</v>
      </c>
      <c r="B61" s="8"/>
      <c r="C61" s="76">
        <v>62491</v>
      </c>
      <c r="D61" s="66"/>
    </row>
    <row r="62" spans="1:4" s="1" customFormat="1" x14ac:dyDescent="0.25">
      <c r="A62" s="14">
        <v>2005</v>
      </c>
      <c r="B62" s="8"/>
      <c r="C62" s="76">
        <v>62958</v>
      </c>
      <c r="D62" s="66"/>
    </row>
    <row r="63" spans="1:4" s="1" customFormat="1" x14ac:dyDescent="0.25">
      <c r="A63" s="14">
        <v>2006</v>
      </c>
      <c r="B63" s="8"/>
      <c r="C63" s="76">
        <v>63393</v>
      </c>
      <c r="D63" s="66"/>
    </row>
    <row r="64" spans="1:4" s="1" customFormat="1" x14ac:dyDescent="0.25">
      <c r="A64" s="14">
        <v>2007</v>
      </c>
      <c r="B64" s="8">
        <f>12000*(1.2*1.2)</f>
        <v>17280</v>
      </c>
      <c r="C64" s="76">
        <v>63781</v>
      </c>
      <c r="D64" s="66"/>
    </row>
    <row r="65" spans="1:66" s="1" customFormat="1" x14ac:dyDescent="0.25">
      <c r="A65" s="14">
        <v>2008</v>
      </c>
      <c r="B65" s="8">
        <f>12200*(1.2*1.2)</f>
        <v>17568</v>
      </c>
      <c r="C65" s="76">
        <v>64133</v>
      </c>
      <c r="D65" s="66"/>
    </row>
    <row r="66" spans="1:66" s="1" customFormat="1" x14ac:dyDescent="0.25">
      <c r="A66" s="14">
        <v>2009</v>
      </c>
      <c r="B66" s="8">
        <f>11600*(1.2*1.2)</f>
        <v>16704</v>
      </c>
      <c r="C66" s="76">
        <v>64459</v>
      </c>
      <c r="D66" s="66"/>
    </row>
    <row r="67" spans="1:66" s="1" customFormat="1" x14ac:dyDescent="0.25">
      <c r="A67" s="14">
        <v>2010</v>
      </c>
      <c r="B67" s="8">
        <f>11400*(1.2*1.2)</f>
        <v>16416</v>
      </c>
      <c r="C67" s="76">
        <v>64773</v>
      </c>
      <c r="D67" s="66"/>
    </row>
    <row r="68" spans="1:66" s="1" customFormat="1" x14ac:dyDescent="0.25">
      <c r="A68" s="14">
        <v>2011</v>
      </c>
      <c r="B68" s="8">
        <f>11400*(1.2*1.2)</f>
        <v>16416</v>
      </c>
      <c r="C68" s="76">
        <v>65087</v>
      </c>
      <c r="D68" s="66"/>
    </row>
    <row r="69" spans="1:66" s="1" customFormat="1" x14ac:dyDescent="0.25">
      <c r="A69" s="14">
        <v>2012</v>
      </c>
      <c r="B69" s="8">
        <f>11200*(1.2*1.2)</f>
        <v>16128</v>
      </c>
      <c r="C69" s="76">
        <v>65403</v>
      </c>
      <c r="D69" s="66"/>
    </row>
    <row r="70" spans="1:66" s="1" customFormat="1" x14ac:dyDescent="0.25">
      <c r="A70" s="14">
        <v>2013</v>
      </c>
      <c r="B70" s="8"/>
      <c r="C70" s="76">
        <v>65736</v>
      </c>
      <c r="D70" s="66"/>
    </row>
    <row r="71" spans="1:66" s="1" customFormat="1" x14ac:dyDescent="0.25">
      <c r="A71" s="14">
        <v>2014</v>
      </c>
      <c r="B71" s="8"/>
      <c r="C71" s="76">
        <v>66277</v>
      </c>
    </row>
    <row r="72" spans="1:66" s="1" customFormat="1" x14ac:dyDescent="0.25">
      <c r="A72" s="14">
        <v>2015</v>
      </c>
      <c r="B72" s="8"/>
      <c r="C72" s="76">
        <v>66513</v>
      </c>
    </row>
    <row r="73" spans="1:66" s="1" customFormat="1" x14ac:dyDescent="0.25">
      <c r="A73" s="14">
        <v>2016</v>
      </c>
      <c r="B73" s="8"/>
      <c r="C73" s="76">
        <v>66686</v>
      </c>
    </row>
    <row r="74" spans="1:66" s="1" customFormat="1" x14ac:dyDescent="0.25">
      <c r="A74" s="14">
        <v>2017</v>
      </c>
      <c r="B74" s="8"/>
      <c r="C74" s="76">
        <v>66830</v>
      </c>
    </row>
    <row r="75" spans="1:66" s="1" customFormat="1" x14ac:dyDescent="0.25">
      <c r="A75" s="14">
        <v>2018</v>
      </c>
      <c r="B75" s="8"/>
      <c r="C75" s="76">
        <v>66942</v>
      </c>
    </row>
    <row r="76" spans="1:66" s="1" customFormat="1" x14ac:dyDescent="0.25">
      <c r="A76" s="14">
        <v>2019</v>
      </c>
      <c r="B76" s="8"/>
      <c r="C76"/>
    </row>
    <row r="77" spans="1:66" s="1" customFormat="1" x14ac:dyDescent="0.25">
      <c r="A77" s="14">
        <v>2020</v>
      </c>
      <c r="B77" s="8"/>
      <c r="C77"/>
    </row>
    <row r="78" spans="1:66" s="4" customFormat="1" x14ac:dyDescent="0.25">
      <c r="A78" s="2"/>
      <c r="B78" s="6"/>
      <c r="C78"/>
      <c r="D78" s="6"/>
      <c r="E78" s="6"/>
      <c r="F78" s="1"/>
      <c r="G78" s="1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</row>
    <row r="79" spans="1:66" s="4" customFormat="1" x14ac:dyDescent="0.25">
      <c r="A79" s="2"/>
      <c r="B79" s="6"/>
      <c r="C79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</row>
    <row r="80" spans="1:66" s="4" customFormat="1" x14ac:dyDescent="0.25">
      <c r="A80" s="2"/>
      <c r="B80" s="6"/>
      <c r="C80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</row>
    <row r="87" spans="1:66" s="4" customFormat="1" x14ac:dyDescent="0.25">
      <c r="A87" s="2"/>
      <c r="B87" s="6"/>
      <c r="C87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</row>
    <row r="88" spans="1:66" s="4" customFormat="1" x14ac:dyDescent="0.25">
      <c r="A88" s="2"/>
      <c r="B88" s="6"/>
      <c r="C88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B49BA-6D54-42C1-84EE-7F8663080B50}">
  <dimension ref="A1:BS106"/>
  <sheetViews>
    <sheetView zoomScale="60" zoomScaleNormal="55" workbookViewId="0">
      <pane xSplit="1" ySplit="1" topLeftCell="B19" activePane="bottomRight" state="frozen"/>
      <selection pane="topRight" activeCell="B1" sqref="B1"/>
      <selection pane="bottomLeft" activeCell="A2" sqref="A2"/>
      <selection pane="bottomRight" activeCell="F36" sqref="F36"/>
    </sheetView>
  </sheetViews>
  <sheetFormatPr defaultColWidth="10.7109375" defaultRowHeight="15" x14ac:dyDescent="0.25"/>
  <cols>
    <col min="1" max="1" width="12.28515625" style="13" customWidth="1"/>
    <col min="2" max="3" width="26.42578125" style="9" customWidth="1"/>
    <col min="4" max="15" width="26.42578125" style="4" customWidth="1"/>
    <col min="16" max="16384" width="10.7109375" style="6"/>
  </cols>
  <sheetData>
    <row r="1" spans="1:15" s="18" customFormat="1" ht="30" x14ac:dyDescent="0.25">
      <c r="A1" s="20" t="s">
        <v>0</v>
      </c>
      <c r="B1" s="62" t="s">
        <v>5</v>
      </c>
      <c r="C1" s="62" t="s">
        <v>47</v>
      </c>
      <c r="D1" s="5" t="s">
        <v>6</v>
      </c>
      <c r="E1" s="5" t="s">
        <v>50</v>
      </c>
      <c r="F1" s="5" t="s">
        <v>49</v>
      </c>
      <c r="G1" s="5" t="s">
        <v>11</v>
      </c>
      <c r="H1" s="5" t="s">
        <v>51</v>
      </c>
      <c r="I1" s="5" t="s">
        <v>7</v>
      </c>
      <c r="J1" s="5" t="s">
        <v>8</v>
      </c>
      <c r="K1" s="5" t="s">
        <v>22</v>
      </c>
      <c r="L1" s="5" t="s">
        <v>21</v>
      </c>
      <c r="M1" s="5" t="s">
        <v>1</v>
      </c>
      <c r="N1" s="5" t="s">
        <v>20</v>
      </c>
      <c r="O1" s="5" t="s">
        <v>35</v>
      </c>
    </row>
    <row r="2" spans="1:15" x14ac:dyDescent="0.25">
      <c r="A2" s="14">
        <v>1945</v>
      </c>
      <c r="B2" s="8">
        <v>108.3</v>
      </c>
      <c r="C2" s="8"/>
      <c r="D2" s="9"/>
      <c r="E2" s="9"/>
      <c r="F2" s="9"/>
      <c r="G2" s="9"/>
      <c r="H2" s="9"/>
      <c r="I2" s="9"/>
      <c r="J2" s="9">
        <v>13600</v>
      </c>
      <c r="K2" s="9"/>
      <c r="L2" s="9"/>
      <c r="M2" s="9"/>
      <c r="N2" s="9"/>
      <c r="O2" s="9"/>
    </row>
    <row r="3" spans="1:15" x14ac:dyDescent="0.25">
      <c r="A3" s="14">
        <v>1946</v>
      </c>
      <c r="B3" s="8">
        <v>173.8</v>
      </c>
      <c r="C3" s="8"/>
      <c r="D3" s="9"/>
      <c r="E3" s="9"/>
      <c r="F3" s="9"/>
      <c r="G3" s="9"/>
      <c r="H3" s="9"/>
      <c r="I3" s="9">
        <v>1154</v>
      </c>
      <c r="J3" s="9">
        <v>13600</v>
      </c>
      <c r="K3" s="9"/>
      <c r="L3" s="9"/>
      <c r="M3" s="9"/>
      <c r="N3" s="9"/>
      <c r="O3" s="9"/>
    </row>
    <row r="4" spans="1:15" x14ac:dyDescent="0.25">
      <c r="A4" s="14">
        <v>1947</v>
      </c>
      <c r="B4" s="8">
        <v>198.3</v>
      </c>
      <c r="C4" s="10">
        <v>0.9</v>
      </c>
      <c r="D4" s="1">
        <v>0</v>
      </c>
      <c r="E4" s="6"/>
      <c r="F4" s="6"/>
      <c r="G4" s="9"/>
      <c r="H4" s="6"/>
      <c r="I4" s="6"/>
      <c r="J4" s="9"/>
      <c r="K4" s="9"/>
      <c r="L4" s="9"/>
      <c r="M4" s="9"/>
      <c r="N4" s="9"/>
      <c r="O4" s="9"/>
    </row>
    <row r="5" spans="1:15" x14ac:dyDescent="0.25">
      <c r="A5" s="14">
        <v>1948</v>
      </c>
      <c r="B5" s="8">
        <v>220.2</v>
      </c>
      <c r="C5" s="8"/>
      <c r="D5" s="9"/>
      <c r="E5" s="6"/>
      <c r="F5" s="6"/>
      <c r="G5" s="9"/>
      <c r="H5" s="6"/>
      <c r="I5" s="6"/>
      <c r="J5" s="9"/>
      <c r="K5" s="9"/>
      <c r="L5" s="9"/>
      <c r="M5" s="9"/>
      <c r="N5" s="9"/>
      <c r="O5" s="9"/>
    </row>
    <row r="6" spans="1:15" x14ac:dyDescent="0.25">
      <c r="A6" s="14">
        <v>1949</v>
      </c>
      <c r="B6" s="8">
        <v>191.3</v>
      </c>
      <c r="C6" s="8"/>
      <c r="D6" s="9"/>
      <c r="E6" s="6"/>
      <c r="F6" s="6"/>
      <c r="G6" s="9"/>
      <c r="H6" s="6"/>
      <c r="I6" s="6"/>
      <c r="J6" s="9"/>
      <c r="K6" s="9"/>
      <c r="L6" s="9"/>
      <c r="M6" s="9"/>
      <c r="N6" s="9"/>
      <c r="O6" s="9"/>
    </row>
    <row r="7" spans="1:15" x14ac:dyDescent="0.25">
      <c r="A7" s="14">
        <v>1950</v>
      </c>
      <c r="B7" s="8">
        <v>190.4</v>
      </c>
      <c r="C7" s="8"/>
      <c r="E7" s="9"/>
      <c r="F7" s="9"/>
      <c r="G7" s="9"/>
      <c r="H7" s="9">
        <v>48.8</v>
      </c>
      <c r="I7" s="9">
        <v>2117</v>
      </c>
      <c r="J7" s="9">
        <v>13800</v>
      </c>
      <c r="K7" s="9">
        <v>77.099999999999994</v>
      </c>
      <c r="L7" s="9">
        <v>64.5</v>
      </c>
      <c r="M7" s="9"/>
      <c r="N7" s="9"/>
      <c r="O7" s="9"/>
    </row>
    <row r="8" spans="1:15" x14ac:dyDescent="0.25">
      <c r="A8" s="14">
        <v>1951</v>
      </c>
      <c r="B8" s="8">
        <v>222.7</v>
      </c>
      <c r="C8" s="8"/>
      <c r="D8" s="9"/>
      <c r="E8" s="8"/>
      <c r="F8" s="8"/>
      <c r="G8" s="9"/>
      <c r="H8" s="9">
        <v>53.1</v>
      </c>
      <c r="I8" s="8"/>
      <c r="J8" s="9"/>
      <c r="K8" s="9">
        <v>91.5</v>
      </c>
      <c r="L8" s="9">
        <v>78.099999999999994</v>
      </c>
      <c r="M8" s="9"/>
      <c r="N8" s="9"/>
      <c r="O8" s="9"/>
    </row>
    <row r="9" spans="1:15" x14ac:dyDescent="0.25">
      <c r="A9" s="14">
        <v>1952</v>
      </c>
      <c r="B9" s="8">
        <v>191.6</v>
      </c>
      <c r="C9" s="25">
        <v>0.8</v>
      </c>
      <c r="D9" s="9"/>
      <c r="E9" s="8">
        <v>852</v>
      </c>
      <c r="F9" s="8">
        <f>E9-800</f>
        <v>52</v>
      </c>
      <c r="G9" s="9"/>
      <c r="H9" s="27">
        <v>58.6</v>
      </c>
      <c r="I9" s="8">
        <v>3408</v>
      </c>
      <c r="J9" s="26"/>
      <c r="K9" s="27">
        <v>65.2</v>
      </c>
      <c r="L9" s="27">
        <v>67.8</v>
      </c>
      <c r="M9" s="9"/>
      <c r="N9" s="9"/>
      <c r="O9" s="9"/>
    </row>
    <row r="10" spans="1:15" x14ac:dyDescent="0.25">
      <c r="A10" s="14">
        <v>1953</v>
      </c>
      <c r="B10" s="8">
        <v>212.6</v>
      </c>
      <c r="C10" s="8"/>
      <c r="D10" s="9"/>
      <c r="E10" s="26">
        <v>873</v>
      </c>
      <c r="F10" s="8">
        <f>E10-820</f>
        <v>53</v>
      </c>
      <c r="G10" s="9"/>
      <c r="H10" s="27">
        <v>62.1</v>
      </c>
      <c r="I10" s="8">
        <f>2800</f>
        <v>2800</v>
      </c>
      <c r="J10" s="26"/>
      <c r="K10" s="27">
        <v>79.2</v>
      </c>
      <c r="L10" s="27">
        <v>71.3</v>
      </c>
      <c r="M10" s="9"/>
      <c r="N10" s="9"/>
      <c r="O10" s="9"/>
    </row>
    <row r="11" spans="1:15" x14ac:dyDescent="0.25">
      <c r="A11" s="14">
        <v>1954</v>
      </c>
      <c r="B11" s="8">
        <v>214.6</v>
      </c>
      <c r="C11" s="8"/>
      <c r="D11" s="9"/>
      <c r="E11" s="9">
        <v>1121.566</v>
      </c>
      <c r="F11" s="8">
        <f>E11-1000</f>
        <v>121.56600000000003</v>
      </c>
      <c r="G11" s="9"/>
      <c r="H11" s="9">
        <v>62.7</v>
      </c>
      <c r="I11" s="9">
        <f>3212.347</f>
        <v>3212.3470000000002</v>
      </c>
      <c r="J11" s="9"/>
      <c r="K11" s="9">
        <v>80.3</v>
      </c>
      <c r="L11" s="9">
        <v>71.599999999999994</v>
      </c>
      <c r="M11" s="9"/>
      <c r="N11" s="9"/>
      <c r="O11" s="9"/>
    </row>
    <row r="12" spans="1:15" x14ac:dyDescent="0.25">
      <c r="A12" s="14">
        <v>1955</v>
      </c>
      <c r="B12" s="8">
        <v>260.60000000000002</v>
      </c>
      <c r="C12" s="8"/>
      <c r="D12" s="6"/>
      <c r="E12" s="8">
        <v>1373.3109999999999</v>
      </c>
      <c r="F12" s="8"/>
      <c r="G12" s="10"/>
      <c r="H12" s="8">
        <v>61.3</v>
      </c>
      <c r="I12" s="8">
        <f>3653.924</f>
        <v>3653.924</v>
      </c>
      <c r="J12" s="9">
        <v>21500</v>
      </c>
      <c r="K12" s="8">
        <v>111.3</v>
      </c>
      <c r="L12" s="8">
        <v>88</v>
      </c>
      <c r="M12" s="9"/>
      <c r="N12" s="9"/>
      <c r="O12" s="10"/>
    </row>
    <row r="13" spans="1:15" x14ac:dyDescent="0.25">
      <c r="A13" s="14">
        <v>1956</v>
      </c>
      <c r="B13" s="8">
        <v>292.89999999999998</v>
      </c>
      <c r="C13" s="8"/>
      <c r="D13" s="6"/>
      <c r="E13" s="8">
        <v>1599.3009999999999</v>
      </c>
      <c r="F13" s="8">
        <f>E13-1500</f>
        <v>99.300999999999931</v>
      </c>
      <c r="G13" s="9"/>
      <c r="H13" s="8">
        <v>90.6</v>
      </c>
      <c r="I13" s="8">
        <v>4324.8860000000004</v>
      </c>
      <c r="J13" s="9"/>
      <c r="K13" s="8">
        <v>116.4</v>
      </c>
      <c r="L13" s="8">
        <v>85.9</v>
      </c>
      <c r="M13" s="9"/>
      <c r="N13" s="9"/>
      <c r="O13" s="9"/>
    </row>
    <row r="14" spans="1:15" x14ac:dyDescent="0.25">
      <c r="A14" s="14">
        <v>1957</v>
      </c>
      <c r="B14" s="8">
        <v>329.6</v>
      </c>
      <c r="C14" s="8"/>
      <c r="D14" s="6"/>
      <c r="E14" s="8">
        <v>1853</v>
      </c>
      <c r="F14" s="8">
        <f t="shared" ref="F14:F15" si="0">E14-1700</f>
        <v>153</v>
      </c>
      <c r="G14" s="9"/>
      <c r="H14" s="8">
        <v>116.6</v>
      </c>
      <c r="I14" s="8">
        <v>5107</v>
      </c>
      <c r="J14" s="9"/>
      <c r="K14" s="8">
        <v>116.4</v>
      </c>
      <c r="L14" s="8">
        <v>96.6</v>
      </c>
      <c r="M14" s="9"/>
      <c r="N14" s="9"/>
      <c r="O14" s="9"/>
    </row>
    <row r="15" spans="1:15" x14ac:dyDescent="0.25">
      <c r="A15" s="14">
        <v>1958</v>
      </c>
      <c r="B15" s="8">
        <v>361.2</v>
      </c>
      <c r="C15" s="8"/>
      <c r="D15" s="9"/>
      <c r="E15" s="8">
        <v>2207</v>
      </c>
      <c r="F15" s="8">
        <f t="shared" si="0"/>
        <v>507</v>
      </c>
      <c r="G15" s="9"/>
      <c r="H15" s="8">
        <v>129.19999999999999</v>
      </c>
      <c r="I15" s="8">
        <v>5816</v>
      </c>
      <c r="J15" s="9"/>
      <c r="K15" s="8">
        <v>135</v>
      </c>
      <c r="L15" s="8">
        <v>97</v>
      </c>
      <c r="M15" s="9"/>
      <c r="N15" s="9"/>
      <c r="O15" s="9"/>
    </row>
    <row r="16" spans="1:15" x14ac:dyDescent="0.25">
      <c r="A16" s="14">
        <v>1959</v>
      </c>
      <c r="B16" s="8">
        <v>415.5</v>
      </c>
      <c r="C16" s="8"/>
      <c r="D16" s="9"/>
      <c r="E16" s="8">
        <v>2500</v>
      </c>
      <c r="F16" s="8">
        <f>E16-2200</f>
        <v>300</v>
      </c>
      <c r="G16" s="9"/>
      <c r="H16" s="8">
        <v>182.6</v>
      </c>
      <c r="I16" s="8">
        <v>6700</v>
      </c>
      <c r="J16" s="9"/>
      <c r="K16" s="8">
        <v>135.19999999999999</v>
      </c>
      <c r="L16" s="8">
        <v>97.7</v>
      </c>
      <c r="M16" s="9"/>
      <c r="N16" s="9"/>
      <c r="O16" s="9"/>
    </row>
    <row r="17" spans="1:15" x14ac:dyDescent="0.25">
      <c r="A17" s="14">
        <v>1960</v>
      </c>
      <c r="B17" s="8">
        <f>416.6</f>
        <v>416.6</v>
      </c>
      <c r="C17" s="8"/>
      <c r="D17" s="9"/>
      <c r="E17" s="8">
        <v>2600</v>
      </c>
      <c r="F17" s="8">
        <f>E17-2300</f>
        <v>300</v>
      </c>
      <c r="G17" s="9"/>
      <c r="H17" s="8">
        <v>175.8</v>
      </c>
      <c r="I17" s="9">
        <v>7034</v>
      </c>
      <c r="J17" s="9">
        <v>27800</v>
      </c>
      <c r="K17" s="8">
        <v>150.80000000000001</v>
      </c>
      <c r="L17" s="8">
        <v>90</v>
      </c>
      <c r="M17" s="9"/>
      <c r="N17" s="9"/>
      <c r="O17" s="9"/>
    </row>
    <row r="18" spans="1:15" x14ac:dyDescent="0.25">
      <c r="A18" s="14">
        <v>1961</v>
      </c>
      <c r="B18" s="8">
        <f>166.2+133.9+102.7</f>
        <v>402.8</v>
      </c>
      <c r="C18" s="8"/>
      <c r="D18" s="9"/>
      <c r="E18" s="8">
        <v>2600</v>
      </c>
      <c r="F18" s="8">
        <f>E18-2400</f>
        <v>200</v>
      </c>
      <c r="G18" s="9"/>
      <c r="H18" s="8">
        <v>166.2</v>
      </c>
      <c r="I18" s="8">
        <v>7034</v>
      </c>
      <c r="J18" s="9"/>
      <c r="K18" s="8">
        <v>133.9</v>
      </c>
      <c r="L18" s="8">
        <v>102.7</v>
      </c>
      <c r="M18" s="9"/>
      <c r="N18" s="9"/>
      <c r="O18" s="9"/>
    </row>
    <row r="19" spans="1:15" x14ac:dyDescent="0.25">
      <c r="A19" s="14">
        <v>1962</v>
      </c>
      <c r="B19" s="8">
        <f>212.2+153.7+108.4</f>
        <v>474.29999999999995</v>
      </c>
      <c r="C19" s="25">
        <v>0.68</v>
      </c>
      <c r="D19" s="9"/>
      <c r="E19" s="8">
        <v>3300</v>
      </c>
      <c r="F19" s="8">
        <f>E19-2900</f>
        <v>400</v>
      </c>
      <c r="G19" s="9"/>
      <c r="H19" s="8">
        <v>212.2</v>
      </c>
      <c r="I19" s="8">
        <v>8500</v>
      </c>
      <c r="J19" s="9"/>
      <c r="K19" s="8">
        <v>153.69999999999999</v>
      </c>
      <c r="L19" s="8">
        <v>108.4</v>
      </c>
      <c r="M19" s="9"/>
      <c r="N19" s="9"/>
      <c r="O19" s="9"/>
    </row>
    <row r="20" spans="1:15" x14ac:dyDescent="0.25">
      <c r="A20" s="14">
        <v>1963</v>
      </c>
      <c r="B20" s="8">
        <f>229.2+162.2+99.8</f>
        <v>491.2</v>
      </c>
      <c r="C20" s="8"/>
      <c r="D20" s="9"/>
      <c r="E20" s="8">
        <v>3700</v>
      </c>
      <c r="F20" s="8">
        <f>E20-3100</f>
        <v>600</v>
      </c>
      <c r="G20" s="9"/>
      <c r="H20" s="8">
        <v>229.2</v>
      </c>
      <c r="I20" s="8">
        <v>9400</v>
      </c>
      <c r="J20" s="9"/>
      <c r="K20" s="8">
        <v>162.19999999999999</v>
      </c>
      <c r="L20" s="8">
        <v>99.8</v>
      </c>
      <c r="M20" s="9"/>
      <c r="N20" s="9"/>
      <c r="O20" s="9"/>
    </row>
    <row r="21" spans="1:15" x14ac:dyDescent="0.25">
      <c r="A21" s="14">
        <v>1964</v>
      </c>
      <c r="B21" s="8">
        <f>227.7+189.8+125.6</f>
        <v>543.1</v>
      </c>
      <c r="C21" s="8"/>
      <c r="D21" s="9"/>
      <c r="E21" s="8">
        <v>3500</v>
      </c>
      <c r="F21" s="8">
        <f>E21-2700</f>
        <v>800</v>
      </c>
      <c r="G21" s="9"/>
      <c r="H21" s="8">
        <v>227.7</v>
      </c>
      <c r="I21" s="8">
        <v>8900</v>
      </c>
      <c r="J21" s="9"/>
      <c r="K21" s="8">
        <v>189.8</v>
      </c>
      <c r="L21" s="8">
        <v>125.6</v>
      </c>
      <c r="M21" s="9"/>
      <c r="N21" s="9"/>
      <c r="O21" s="9"/>
    </row>
    <row r="22" spans="1:15" x14ac:dyDescent="0.25">
      <c r="A22" s="14">
        <v>1965</v>
      </c>
      <c r="B22" s="8">
        <f>241.5+204+118.3</f>
        <v>563.79999999999995</v>
      </c>
      <c r="C22" s="8"/>
      <c r="D22" s="9"/>
      <c r="E22" s="8">
        <v>3600</v>
      </c>
      <c r="F22" s="8">
        <f>E22-2800</f>
        <v>800</v>
      </c>
      <c r="G22" s="9"/>
      <c r="H22" s="8">
        <v>241.5</v>
      </c>
      <c r="I22" s="9">
        <v>9350</v>
      </c>
      <c r="J22" s="9">
        <v>34800</v>
      </c>
      <c r="K22" s="8">
        <v>204</v>
      </c>
      <c r="L22" s="8">
        <v>118.3</v>
      </c>
      <c r="M22" s="9"/>
      <c r="N22" s="9"/>
      <c r="O22" s="9"/>
    </row>
    <row r="23" spans="1:15" x14ac:dyDescent="0.25">
      <c r="A23" s="14">
        <v>1966</v>
      </c>
      <c r="B23" s="8">
        <f>253.7+195.4+126.1</f>
        <v>575.20000000000005</v>
      </c>
      <c r="C23" s="8"/>
      <c r="D23" s="9"/>
      <c r="E23" s="8">
        <v>4600</v>
      </c>
      <c r="F23" s="8">
        <f>E23-3600</f>
        <v>1000</v>
      </c>
      <c r="G23" s="9"/>
      <c r="H23" s="8">
        <v>253.7</v>
      </c>
      <c r="I23" s="8">
        <v>11800</v>
      </c>
      <c r="J23" s="9"/>
      <c r="K23" s="8">
        <v>195.4</v>
      </c>
      <c r="L23" s="8">
        <v>126.1</v>
      </c>
      <c r="M23" s="9"/>
      <c r="N23" s="9"/>
      <c r="O23" s="9"/>
    </row>
    <row r="24" spans="1:15" x14ac:dyDescent="0.25">
      <c r="A24" s="14">
        <v>1967</v>
      </c>
      <c r="B24" s="8">
        <f>219.9+181.6+121.5</f>
        <v>523</v>
      </c>
      <c r="C24" s="8"/>
      <c r="D24" s="9"/>
      <c r="E24" s="9"/>
      <c r="F24" s="9"/>
      <c r="G24" s="9"/>
      <c r="H24" s="8">
        <v>219.9</v>
      </c>
      <c r="I24" s="9"/>
      <c r="J24" s="9"/>
      <c r="K24" s="8">
        <v>181.6</v>
      </c>
      <c r="L24" s="8">
        <v>121.5</v>
      </c>
      <c r="M24" s="9"/>
      <c r="N24" s="9"/>
      <c r="O24" s="9"/>
    </row>
    <row r="25" spans="1:15" x14ac:dyDescent="0.25">
      <c r="A25" s="14">
        <v>1968</v>
      </c>
      <c r="B25" s="8">
        <f>244.3+197.8+105.8</f>
        <v>547.9</v>
      </c>
      <c r="C25" s="25">
        <v>0.5</v>
      </c>
      <c r="D25" s="9"/>
      <c r="E25" s="9"/>
      <c r="F25" s="9"/>
      <c r="G25" s="9"/>
      <c r="H25" s="8">
        <v>244.3</v>
      </c>
      <c r="I25" s="9"/>
      <c r="J25" s="9"/>
      <c r="K25" s="8">
        <v>197.8</v>
      </c>
      <c r="L25" s="8">
        <v>105.8</v>
      </c>
      <c r="M25" s="9"/>
      <c r="N25" s="9"/>
      <c r="O25" s="9"/>
    </row>
    <row r="26" spans="1:15" x14ac:dyDescent="0.25">
      <c r="A26" s="14">
        <v>1969</v>
      </c>
      <c r="B26" s="8">
        <f>278.3+212.8+95.3</f>
        <v>586.4</v>
      </c>
      <c r="C26" s="8"/>
      <c r="D26" s="9"/>
      <c r="E26" s="9"/>
      <c r="F26" s="9"/>
      <c r="G26" s="9"/>
      <c r="H26" s="8">
        <v>278.3</v>
      </c>
      <c r="I26" s="9"/>
      <c r="J26" s="9"/>
      <c r="K26" s="8">
        <v>212.8</v>
      </c>
      <c r="L26" s="8">
        <v>95.3</v>
      </c>
      <c r="M26" s="9"/>
      <c r="N26" s="9"/>
      <c r="O26" s="9"/>
    </row>
    <row r="27" spans="1:15" x14ac:dyDescent="0.25">
      <c r="A27" s="14">
        <v>1970</v>
      </c>
      <c r="B27" s="8">
        <f>219.8+215.5+101.1</f>
        <v>536.4</v>
      </c>
      <c r="C27" s="8"/>
      <c r="D27" s="9"/>
      <c r="E27" s="9"/>
      <c r="F27" s="9"/>
      <c r="G27" s="9"/>
      <c r="H27" s="8">
        <v>219.8</v>
      </c>
      <c r="I27" s="9">
        <v>14654</v>
      </c>
      <c r="J27" s="9">
        <v>40200</v>
      </c>
      <c r="K27" s="8">
        <v>215.5</v>
      </c>
      <c r="L27" s="8">
        <v>101.1</v>
      </c>
      <c r="M27" s="9"/>
      <c r="N27" s="9"/>
      <c r="O27" s="9"/>
    </row>
    <row r="28" spans="1:15" x14ac:dyDescent="0.25">
      <c r="A28" s="14">
        <v>1971</v>
      </c>
      <c r="B28" s="8">
        <f>207.1+224.1+104.2</f>
        <v>535.4</v>
      </c>
      <c r="C28" s="8"/>
      <c r="D28" s="9"/>
      <c r="E28" s="9"/>
      <c r="F28" s="9"/>
      <c r="G28" s="9"/>
      <c r="H28" s="8">
        <v>207.1</v>
      </c>
      <c r="I28" s="9"/>
      <c r="J28" s="9"/>
      <c r="K28" s="8">
        <v>224.1</v>
      </c>
      <c r="L28" s="8">
        <v>104.2</v>
      </c>
      <c r="M28" s="9"/>
      <c r="N28" s="9"/>
      <c r="O28" s="9"/>
    </row>
    <row r="29" spans="1:15" x14ac:dyDescent="0.25">
      <c r="A29" s="14">
        <v>1972</v>
      </c>
      <c r="B29" s="8">
        <f>254.4+219.6+95.2</f>
        <v>569.20000000000005</v>
      </c>
      <c r="D29" s="9"/>
      <c r="E29" s="9"/>
      <c r="F29" s="9"/>
      <c r="G29" s="9"/>
      <c r="H29" s="8">
        <v>254.4</v>
      </c>
      <c r="I29" s="9"/>
      <c r="J29" s="9"/>
      <c r="K29" s="8">
        <v>219.6</v>
      </c>
      <c r="L29" s="8">
        <v>95.2</v>
      </c>
      <c r="M29" s="9"/>
      <c r="N29" s="9"/>
      <c r="O29" s="9"/>
    </row>
    <row r="30" spans="1:15" x14ac:dyDescent="0.25">
      <c r="A30" s="14">
        <v>1973</v>
      </c>
      <c r="B30" s="8">
        <f>347+226.8+98.5</f>
        <v>672.3</v>
      </c>
      <c r="C30" s="8"/>
      <c r="D30" s="9"/>
      <c r="E30" s="9"/>
      <c r="F30" s="9"/>
      <c r="G30" s="9"/>
      <c r="H30" s="8">
        <v>347</v>
      </c>
      <c r="I30" s="9"/>
      <c r="J30" s="9"/>
      <c r="K30" s="8">
        <v>226.8</v>
      </c>
      <c r="L30" s="8">
        <v>98.5</v>
      </c>
      <c r="M30" s="9"/>
      <c r="N30" s="9"/>
      <c r="O30" s="9"/>
    </row>
    <row r="31" spans="1:15" x14ac:dyDescent="0.25">
      <c r="A31" s="14">
        <v>1974</v>
      </c>
      <c r="B31" s="8">
        <f>300+261.2+93.8</f>
        <v>655</v>
      </c>
      <c r="C31" s="8"/>
      <c r="D31" s="9"/>
      <c r="E31" s="9"/>
      <c r="F31" s="9"/>
      <c r="G31" s="9"/>
      <c r="H31" s="8">
        <v>300</v>
      </c>
      <c r="I31" s="9"/>
      <c r="J31" s="9"/>
      <c r="K31" s="8">
        <v>261.2</v>
      </c>
      <c r="L31" s="8">
        <v>93.8</v>
      </c>
      <c r="M31" s="9"/>
      <c r="N31" s="9"/>
      <c r="O31" s="9"/>
    </row>
    <row r="32" spans="1:15" x14ac:dyDescent="0.25">
      <c r="A32" s="14">
        <v>1975</v>
      </c>
      <c r="B32" s="8">
        <f>251.6+185.7+73.3</f>
        <v>510.59999999999997</v>
      </c>
      <c r="C32" s="8"/>
      <c r="D32" s="9"/>
      <c r="E32" s="9"/>
      <c r="F32" s="9"/>
      <c r="G32" s="9"/>
      <c r="H32" s="8">
        <v>251.6</v>
      </c>
      <c r="I32" s="9">
        <v>16773</v>
      </c>
      <c r="J32" s="9">
        <v>34100</v>
      </c>
      <c r="K32" s="8">
        <v>185.7</v>
      </c>
      <c r="L32" s="8">
        <v>73.3</v>
      </c>
      <c r="M32" s="9"/>
      <c r="N32" s="9"/>
      <c r="O32" s="9"/>
    </row>
    <row r="33" spans="1:15" x14ac:dyDescent="0.25">
      <c r="A33" s="14">
        <v>1976</v>
      </c>
      <c r="B33" s="8">
        <f>334.3+199.3+88</f>
        <v>621.6</v>
      </c>
      <c r="C33" s="8"/>
      <c r="D33" s="9"/>
      <c r="E33" s="9"/>
      <c r="F33" s="9"/>
      <c r="G33" s="9"/>
      <c r="H33" s="8">
        <v>334.3</v>
      </c>
      <c r="I33" s="9"/>
      <c r="J33" s="9"/>
      <c r="K33" s="8">
        <v>199.3</v>
      </c>
      <c r="L33" s="8">
        <v>88</v>
      </c>
      <c r="M33" s="9"/>
      <c r="N33" s="9"/>
      <c r="O33" s="9"/>
    </row>
    <row r="34" spans="1:15" x14ac:dyDescent="0.25">
      <c r="A34" s="14">
        <v>1977</v>
      </c>
      <c r="B34" s="8">
        <f>303.4+199.1+98</f>
        <v>600.5</v>
      </c>
      <c r="D34" s="9"/>
      <c r="E34" s="9"/>
      <c r="F34" s="9"/>
      <c r="G34" s="9"/>
      <c r="H34" s="8">
        <v>303.39999999999998</v>
      </c>
      <c r="I34" s="9">
        <v>20228</v>
      </c>
      <c r="J34" s="9">
        <v>34100</v>
      </c>
      <c r="K34" s="8">
        <v>199.1</v>
      </c>
      <c r="L34" s="8">
        <v>98</v>
      </c>
      <c r="M34" s="9"/>
      <c r="N34" s="9"/>
      <c r="O34" s="9"/>
    </row>
    <row r="35" spans="1:15" x14ac:dyDescent="0.25">
      <c r="A35" s="14">
        <v>1978</v>
      </c>
      <c r="B35" s="8">
        <f>448.5+84.1</f>
        <v>532.6</v>
      </c>
      <c r="C35" s="8"/>
      <c r="D35" s="9"/>
      <c r="E35" s="9"/>
      <c r="F35" s="9"/>
      <c r="G35" s="9"/>
      <c r="H35" s="8">
        <v>448.5</v>
      </c>
      <c r="I35" s="9"/>
      <c r="J35" s="9"/>
      <c r="L35" s="8">
        <v>84.1</v>
      </c>
      <c r="M35" s="9"/>
      <c r="N35" s="9"/>
      <c r="O35" s="9"/>
    </row>
    <row r="36" spans="1:15" x14ac:dyDescent="0.25">
      <c r="A36" s="14">
        <v>1979</v>
      </c>
      <c r="B36" s="8">
        <f>620.5+54.9</f>
        <v>675.4</v>
      </c>
      <c r="C36" s="8"/>
      <c r="D36" s="9"/>
      <c r="E36" s="9"/>
      <c r="F36" s="9"/>
      <c r="G36" s="9"/>
      <c r="H36" s="8">
        <v>620.6</v>
      </c>
      <c r="I36" s="9"/>
      <c r="J36" s="9"/>
      <c r="K36" s="9"/>
      <c r="L36" s="8">
        <v>54.9</v>
      </c>
      <c r="M36" s="9"/>
      <c r="N36" s="9"/>
      <c r="O36" s="9"/>
    </row>
    <row r="37" spans="1:15" x14ac:dyDescent="0.25">
      <c r="A37" s="14">
        <v>1980</v>
      </c>
      <c r="B37" s="8">
        <v>752</v>
      </c>
      <c r="C37" s="25">
        <v>0.5</v>
      </c>
      <c r="D37" s="9"/>
      <c r="E37" s="9"/>
      <c r="F37" s="9"/>
      <c r="G37" s="9"/>
      <c r="H37" s="8">
        <v>694</v>
      </c>
      <c r="I37" s="9"/>
      <c r="J37" s="9"/>
      <c r="K37" s="9"/>
      <c r="L37" s="8">
        <v>58.2</v>
      </c>
      <c r="M37" s="9"/>
      <c r="N37" s="9"/>
      <c r="O37" s="9"/>
    </row>
    <row r="38" spans="1:15" x14ac:dyDescent="0.25">
      <c r="A38" s="14">
        <v>1981</v>
      </c>
      <c r="B38" s="8">
        <v>713</v>
      </c>
      <c r="C38" s="8"/>
      <c r="D38" s="9"/>
      <c r="E38" s="9"/>
      <c r="F38" s="9"/>
      <c r="G38" s="9"/>
      <c r="H38" s="8">
        <v>673.2</v>
      </c>
      <c r="I38" s="9"/>
      <c r="J38" s="9"/>
      <c r="K38" s="9"/>
      <c r="L38" s="8">
        <v>40.1</v>
      </c>
      <c r="M38" s="9"/>
      <c r="N38" s="9"/>
      <c r="O38" s="9"/>
    </row>
    <row r="39" spans="1:15" x14ac:dyDescent="0.25">
      <c r="A39" s="14">
        <v>1982</v>
      </c>
      <c r="B39" s="8">
        <v>755</v>
      </c>
      <c r="C39" s="8"/>
      <c r="D39" s="8">
        <v>4184</v>
      </c>
      <c r="E39" s="9"/>
      <c r="F39" s="9"/>
      <c r="G39" s="9"/>
      <c r="H39" s="8">
        <v>683.9</v>
      </c>
      <c r="I39" s="9"/>
      <c r="J39" s="9"/>
      <c r="K39" s="9"/>
      <c r="L39" s="8">
        <v>37.9</v>
      </c>
      <c r="M39" s="9"/>
      <c r="N39" s="9"/>
      <c r="O39" s="9"/>
    </row>
    <row r="40" spans="1:15" x14ac:dyDescent="0.25">
      <c r="A40" s="14">
        <v>1983</v>
      </c>
      <c r="B40" s="8">
        <v>789</v>
      </c>
      <c r="C40" s="8"/>
      <c r="D40" s="8">
        <v>4850</v>
      </c>
      <c r="E40" s="9"/>
      <c r="F40" s="9"/>
      <c r="G40" s="9">
        <v>900</v>
      </c>
      <c r="H40" s="9"/>
      <c r="I40" s="9"/>
      <c r="J40" s="9"/>
      <c r="K40" s="9"/>
      <c r="L40" s="9"/>
      <c r="M40" s="9"/>
      <c r="N40" s="9"/>
      <c r="O40" s="9"/>
    </row>
    <row r="41" spans="1:15" x14ac:dyDescent="0.25">
      <c r="A41" s="14">
        <v>1984</v>
      </c>
      <c r="B41" s="8">
        <v>771</v>
      </c>
      <c r="C41" s="8"/>
      <c r="D41" s="8">
        <v>4429</v>
      </c>
      <c r="E41" s="9"/>
      <c r="F41" s="10"/>
      <c r="G41" s="9"/>
      <c r="H41" s="9"/>
      <c r="I41" s="9"/>
      <c r="J41" s="9"/>
      <c r="K41" s="9"/>
      <c r="L41" s="9"/>
      <c r="M41" s="9"/>
      <c r="N41" s="9"/>
      <c r="O41" s="9"/>
    </row>
    <row r="42" spans="1:15" x14ac:dyDescent="0.25">
      <c r="A42" s="14">
        <v>1985</v>
      </c>
      <c r="B42" s="8">
        <v>725</v>
      </c>
      <c r="C42" s="8"/>
      <c r="D42" s="8">
        <v>4314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1:15" x14ac:dyDescent="0.25">
      <c r="A43" s="14">
        <v>1986</v>
      </c>
      <c r="B43" s="8">
        <v>685</v>
      </c>
      <c r="C43" s="8"/>
      <c r="D43" s="8">
        <v>5072</v>
      </c>
      <c r="E43" s="9"/>
      <c r="F43" s="9"/>
      <c r="G43" s="9">
        <v>1355</v>
      </c>
      <c r="H43" s="9"/>
      <c r="I43" s="9"/>
      <c r="J43" s="9"/>
      <c r="K43" s="9"/>
      <c r="L43" s="9"/>
      <c r="M43" s="9"/>
      <c r="N43" s="9"/>
      <c r="O43" s="9"/>
    </row>
    <row r="44" spans="1:15" x14ac:dyDescent="0.25">
      <c r="A44" s="14">
        <v>1987</v>
      </c>
      <c r="B44" s="8">
        <v>705</v>
      </c>
      <c r="C44" s="8"/>
      <c r="D44" s="8">
        <v>6019</v>
      </c>
      <c r="E44" s="9"/>
      <c r="F44" s="9"/>
      <c r="G44" s="9">
        <v>1556.8</v>
      </c>
      <c r="H44" s="9"/>
      <c r="I44" s="9"/>
      <c r="J44" s="9"/>
      <c r="K44" s="9"/>
      <c r="L44" s="9"/>
      <c r="M44" s="9"/>
      <c r="N44" s="9"/>
      <c r="O44" s="9"/>
    </row>
    <row r="45" spans="1:15" x14ac:dyDescent="0.25">
      <c r="A45" s="14">
        <v>1988</v>
      </c>
      <c r="B45" s="8">
        <v>780</v>
      </c>
      <c r="C45" s="8"/>
      <c r="D45" s="8">
        <v>6660</v>
      </c>
      <c r="E45" s="9"/>
      <c r="F45" s="9"/>
      <c r="G45" s="9">
        <v>1945.6</v>
      </c>
      <c r="H45" s="9"/>
      <c r="I45" s="9"/>
      <c r="J45" s="9"/>
      <c r="K45" s="9"/>
      <c r="L45" s="9"/>
      <c r="M45" s="9"/>
      <c r="N45" s="9"/>
      <c r="O45" s="9"/>
    </row>
    <row r="46" spans="1:15" x14ac:dyDescent="0.25">
      <c r="A46" s="14">
        <v>1989</v>
      </c>
      <c r="B46" s="8">
        <v>775</v>
      </c>
      <c r="C46" s="8"/>
      <c r="D46" s="8">
        <v>6760</v>
      </c>
      <c r="E46" s="9"/>
      <c r="F46" s="9">
        <v>2718</v>
      </c>
      <c r="G46" s="9">
        <v>2432</v>
      </c>
      <c r="H46" s="9"/>
      <c r="I46" s="9"/>
      <c r="J46" s="9"/>
      <c r="K46" s="9"/>
      <c r="L46" s="9"/>
      <c r="M46" s="9">
        <v>140653</v>
      </c>
      <c r="N46" s="9">
        <v>614.17899999999997</v>
      </c>
      <c r="O46" s="9"/>
    </row>
    <row r="47" spans="1:15" x14ac:dyDescent="0.25">
      <c r="A47" s="14">
        <v>1990</v>
      </c>
      <c r="B47" s="8">
        <v>875</v>
      </c>
      <c r="C47" s="8"/>
      <c r="D47" s="8">
        <v>7062</v>
      </c>
      <c r="E47" s="9"/>
      <c r="F47" s="9">
        <v>2759</v>
      </c>
      <c r="G47" s="9">
        <v>2692</v>
      </c>
      <c r="H47" s="9"/>
      <c r="I47" s="9"/>
      <c r="J47" s="9"/>
      <c r="K47" s="9"/>
      <c r="L47" s="9"/>
      <c r="M47" s="9">
        <v>154596</v>
      </c>
      <c r="N47" s="9">
        <f>25.791+853.279</f>
        <v>879.07</v>
      </c>
      <c r="O47" s="9"/>
    </row>
    <row r="48" spans="1:15" x14ac:dyDescent="0.25">
      <c r="A48" s="14">
        <v>1991</v>
      </c>
      <c r="B48" s="8">
        <v>820</v>
      </c>
      <c r="C48" s="8"/>
      <c r="D48" s="8">
        <v>8047</v>
      </c>
      <c r="E48" s="9"/>
      <c r="F48" s="9">
        <v>3162</v>
      </c>
      <c r="G48" s="9">
        <v>2577</v>
      </c>
      <c r="H48" s="9"/>
      <c r="I48" s="9"/>
      <c r="J48" s="9"/>
      <c r="K48" s="9"/>
      <c r="L48" s="9"/>
      <c r="M48" s="9">
        <f>2301+154114</f>
        <v>156415</v>
      </c>
      <c r="N48" s="9">
        <f>26.828+815.344</f>
        <v>842.17200000000003</v>
      </c>
      <c r="O48" s="9"/>
    </row>
    <row r="49" spans="1:15" x14ac:dyDescent="0.25">
      <c r="A49" s="14">
        <v>1992</v>
      </c>
      <c r="B49" s="8">
        <v>827.68499999999995</v>
      </c>
      <c r="C49" s="8"/>
      <c r="D49" s="8">
        <v>7945</v>
      </c>
      <c r="E49" s="9"/>
      <c r="F49" s="9">
        <v>3026</v>
      </c>
      <c r="G49" s="9">
        <v>2676</v>
      </c>
      <c r="H49" s="9"/>
      <c r="I49" s="9"/>
      <c r="J49" s="9"/>
      <c r="K49" s="9"/>
      <c r="L49" s="9"/>
      <c r="M49" s="9">
        <f>2332+141074</f>
        <v>143406</v>
      </c>
      <c r="N49" s="9">
        <f>21.948+810.986</f>
        <v>832.93399999999997</v>
      </c>
      <c r="O49" s="9"/>
    </row>
    <row r="50" spans="1:15" x14ac:dyDescent="0.25">
      <c r="A50" s="14">
        <v>1993</v>
      </c>
      <c r="B50" s="8">
        <v>809</v>
      </c>
      <c r="C50" s="8"/>
      <c r="D50" s="8">
        <v>8091</v>
      </c>
      <c r="E50" s="9"/>
      <c r="F50" s="9">
        <v>3079</v>
      </c>
      <c r="G50" s="9">
        <v>2844</v>
      </c>
      <c r="H50" s="9"/>
      <c r="I50" s="9"/>
      <c r="J50" s="9"/>
      <c r="K50" s="9"/>
      <c r="L50" s="9"/>
      <c r="M50" s="9">
        <f>2311+166706</f>
        <v>169017</v>
      </c>
      <c r="N50" s="9">
        <f>23.547+786.451</f>
        <v>809.99800000000005</v>
      </c>
      <c r="O50" s="9"/>
    </row>
    <row r="51" spans="1:15" x14ac:dyDescent="0.25">
      <c r="A51" s="14">
        <v>1994</v>
      </c>
      <c r="B51" s="8">
        <v>867.42</v>
      </c>
      <c r="C51" s="25">
        <v>0.5</v>
      </c>
      <c r="D51" s="8">
        <v>8998</v>
      </c>
      <c r="E51" s="8"/>
      <c r="F51" s="9">
        <v>3077</v>
      </c>
      <c r="G51" s="9">
        <v>3144</v>
      </c>
      <c r="H51" s="8"/>
      <c r="I51" s="8"/>
      <c r="J51" s="8"/>
      <c r="K51" s="8"/>
      <c r="L51" s="9"/>
      <c r="M51" s="9"/>
      <c r="N51" s="9">
        <v>868.404</v>
      </c>
      <c r="O51" s="9"/>
    </row>
    <row r="52" spans="1:15" x14ac:dyDescent="0.25">
      <c r="A52" s="14">
        <v>1995</v>
      </c>
      <c r="B52" s="8">
        <v>853</v>
      </c>
      <c r="C52" s="8"/>
      <c r="D52" s="8">
        <v>9563</v>
      </c>
      <c r="E52" s="9"/>
      <c r="F52" s="9">
        <v>3294</v>
      </c>
      <c r="G52" s="9">
        <v>3163</v>
      </c>
      <c r="H52" s="9"/>
      <c r="I52" s="9"/>
      <c r="J52" s="9"/>
      <c r="K52" s="9"/>
      <c r="N52" s="9"/>
      <c r="O52" s="9"/>
    </row>
    <row r="53" spans="1:15" x14ac:dyDescent="0.25">
      <c r="A53" s="14">
        <v>1996</v>
      </c>
      <c r="B53" s="8">
        <v>751.61</v>
      </c>
      <c r="C53" s="25"/>
      <c r="D53" s="8">
        <v>9768</v>
      </c>
      <c r="E53" s="9"/>
      <c r="F53" s="9">
        <v>3689</v>
      </c>
      <c r="G53" s="9">
        <v>3929</v>
      </c>
      <c r="H53" s="9"/>
      <c r="I53" s="9"/>
      <c r="J53" s="9"/>
      <c r="K53" s="9"/>
      <c r="N53" s="9"/>
      <c r="O53" s="9">
        <v>59712</v>
      </c>
    </row>
    <row r="54" spans="1:15" x14ac:dyDescent="0.25">
      <c r="A54" s="14">
        <v>1997</v>
      </c>
      <c r="B54" s="8">
        <v>1038</v>
      </c>
      <c r="C54" s="8"/>
      <c r="D54" s="9">
        <v>10243</v>
      </c>
      <c r="E54" s="9"/>
      <c r="F54" s="9">
        <v>4117</v>
      </c>
      <c r="G54" s="9">
        <v>3943</v>
      </c>
      <c r="H54" s="9"/>
      <c r="I54" s="9"/>
      <c r="J54" s="9"/>
      <c r="K54" s="9"/>
      <c r="N54" s="9"/>
      <c r="O54" s="9">
        <v>62865</v>
      </c>
    </row>
    <row r="55" spans="1:15" x14ac:dyDescent="0.25">
      <c r="A55" s="14">
        <v>1998</v>
      </c>
      <c r="B55" s="8">
        <v>852</v>
      </c>
      <c r="C55" s="67"/>
      <c r="D55" s="9">
        <v>10926</v>
      </c>
      <c r="E55" s="9"/>
      <c r="F55" s="9">
        <v>4103</v>
      </c>
      <c r="G55" s="9">
        <v>4410</v>
      </c>
      <c r="H55" s="9"/>
      <c r="I55" s="9"/>
      <c r="J55" s="9"/>
      <c r="K55" s="9"/>
      <c r="N55" s="6"/>
      <c r="O55" s="9">
        <v>68783</v>
      </c>
    </row>
    <row r="56" spans="1:15" x14ac:dyDescent="0.25">
      <c r="A56" s="14">
        <v>1999</v>
      </c>
      <c r="B56" s="8">
        <v>788.13499999999999</v>
      </c>
      <c r="C56" s="25"/>
      <c r="D56" s="9">
        <v>12257</v>
      </c>
      <c r="E56" s="9"/>
      <c r="F56" s="9">
        <v>4033</v>
      </c>
      <c r="G56" s="9">
        <v>4384</v>
      </c>
      <c r="H56" s="9"/>
      <c r="I56" s="9"/>
      <c r="J56" s="9"/>
      <c r="K56" s="9"/>
      <c r="N56" s="9"/>
      <c r="O56" s="9">
        <v>68268</v>
      </c>
    </row>
    <row r="57" spans="1:15" x14ac:dyDescent="0.25">
      <c r="A57" s="14">
        <v>2000</v>
      </c>
      <c r="B57" s="8">
        <v>860.58299999999997</v>
      </c>
      <c r="C57" s="8"/>
      <c r="D57" s="9">
        <v>13383</v>
      </c>
      <c r="E57" s="9"/>
      <c r="F57" s="9">
        <v>4273</v>
      </c>
      <c r="G57" s="9">
        <v>4492</v>
      </c>
      <c r="H57" s="9"/>
      <c r="I57" s="9"/>
      <c r="J57" s="9"/>
      <c r="K57" s="9"/>
      <c r="N57" s="9">
        <f>(91.993+97.083+93.111+97.314+77.789+84.047+76.404+74.775+76.435+88.061+86+86)</f>
        <v>1029.0120000000002</v>
      </c>
      <c r="O57" s="9">
        <v>72480</v>
      </c>
    </row>
    <row r="58" spans="1:15" x14ac:dyDescent="0.25">
      <c r="A58" s="14">
        <v>2001</v>
      </c>
      <c r="B58" s="8">
        <v>831.524</v>
      </c>
      <c r="C58" s="25"/>
      <c r="D58" s="9">
        <v>14400</v>
      </c>
      <c r="E58" s="9"/>
      <c r="F58" s="9"/>
      <c r="G58" s="9">
        <v>4151</v>
      </c>
      <c r="I58" s="9"/>
      <c r="J58" s="9"/>
      <c r="K58" s="9"/>
      <c r="N58" s="9"/>
      <c r="O58" s="9">
        <v>46612</v>
      </c>
    </row>
    <row r="59" spans="1:15" x14ac:dyDescent="0.25">
      <c r="A59" s="14">
        <v>2002</v>
      </c>
      <c r="B59" s="8">
        <v>887.61099999999999</v>
      </c>
      <c r="C59" s="25">
        <v>0.52</v>
      </c>
      <c r="D59" s="9">
        <v>14281</v>
      </c>
      <c r="E59" s="9"/>
      <c r="H59" s="9"/>
      <c r="I59" s="9"/>
      <c r="J59" s="9"/>
      <c r="K59" s="9"/>
      <c r="N59" s="9">
        <f>(104.928+109.499+99.674+103.432+112.944+113.511+113.899+108*5)</f>
        <v>1297.8869999999999</v>
      </c>
      <c r="O59" s="9"/>
    </row>
    <row r="60" spans="1:15" x14ac:dyDescent="0.25">
      <c r="A60" s="14">
        <v>2003</v>
      </c>
      <c r="B60" s="8">
        <v>937.14</v>
      </c>
      <c r="C60" s="25"/>
      <c r="D60" s="9">
        <v>14465</v>
      </c>
      <c r="E60" s="9"/>
      <c r="G60" s="9">
        <v>4756</v>
      </c>
      <c r="H60" s="9"/>
      <c r="I60" s="9"/>
      <c r="J60" s="9"/>
      <c r="K60" s="9"/>
      <c r="N60" s="9">
        <f>(109.183+100.755+107.827+83.681+79.097+71.42+103.109+94*5)</f>
        <v>1125.0720000000001</v>
      </c>
      <c r="O60" s="9"/>
    </row>
    <row r="61" spans="1:15" x14ac:dyDescent="0.25">
      <c r="A61" s="14">
        <v>2004</v>
      </c>
      <c r="B61" s="8">
        <v>1146.8530000000001</v>
      </c>
      <c r="C61" s="25">
        <f>0.49</f>
        <v>0.49</v>
      </c>
      <c r="D61" s="9">
        <v>15296</v>
      </c>
      <c r="E61" s="9"/>
      <c r="F61" s="9">
        <v>4751</v>
      </c>
      <c r="G61" s="9">
        <v>5267</v>
      </c>
      <c r="H61" s="9"/>
      <c r="I61" s="9"/>
      <c r="J61" s="9"/>
      <c r="K61" s="9"/>
      <c r="O61" s="9">
        <v>71327</v>
      </c>
    </row>
    <row r="62" spans="1:15" x14ac:dyDescent="0.25">
      <c r="A62" s="14">
        <v>2005</v>
      </c>
      <c r="B62" s="8">
        <v>1098.4649999999999</v>
      </c>
      <c r="C62" s="8"/>
      <c r="D62" s="9">
        <v>15318.19</v>
      </c>
      <c r="E62" s="9"/>
      <c r="F62" s="9">
        <v>4303.12</v>
      </c>
      <c r="G62" s="9">
        <v>5970.38</v>
      </c>
      <c r="H62" s="9"/>
      <c r="I62" s="9"/>
      <c r="J62" s="9"/>
      <c r="K62" s="9"/>
      <c r="O62" s="9">
        <v>66426</v>
      </c>
    </row>
    <row r="63" spans="1:15" x14ac:dyDescent="0.25">
      <c r="A63" s="14">
        <v>2006</v>
      </c>
      <c r="B63" s="9">
        <v>1151.222</v>
      </c>
      <c r="C63" s="25"/>
      <c r="D63" s="9">
        <v>16158</v>
      </c>
      <c r="E63" s="9"/>
      <c r="F63" s="9">
        <v>4661.8599999999997</v>
      </c>
      <c r="G63" s="9">
        <v>6483.56</v>
      </c>
      <c r="H63" s="9"/>
      <c r="I63" s="9"/>
      <c r="J63" s="9"/>
      <c r="K63" s="9"/>
      <c r="O63" s="9">
        <v>74052</v>
      </c>
    </row>
    <row r="64" spans="1:15" x14ac:dyDescent="0.25">
      <c r="A64" s="14">
        <v>2007</v>
      </c>
      <c r="B64" s="9">
        <v>1154.847</v>
      </c>
      <c r="D64" s="9">
        <v>16730</v>
      </c>
      <c r="E64" s="9"/>
      <c r="F64" s="9">
        <v>4636</v>
      </c>
      <c r="G64" s="9">
        <v>7238</v>
      </c>
      <c r="H64" s="9"/>
      <c r="I64" s="9"/>
      <c r="J64" s="9"/>
      <c r="K64" s="9"/>
      <c r="O64" s="9">
        <v>71526</v>
      </c>
    </row>
    <row r="65" spans="1:71" x14ac:dyDescent="0.25">
      <c r="A65" s="14">
        <v>2008</v>
      </c>
      <c r="B65" s="9">
        <v>992.96</v>
      </c>
      <c r="D65" s="9">
        <v>16382.708000000001</v>
      </c>
      <c r="E65" s="9"/>
      <c r="F65" s="9">
        <v>4098.3109999999997</v>
      </c>
      <c r="G65" s="9">
        <v>6722.7349999999997</v>
      </c>
      <c r="H65" s="9"/>
      <c r="I65" s="9"/>
      <c r="J65" s="9"/>
      <c r="K65" s="9"/>
      <c r="O65" s="9">
        <v>56310.531999999999</v>
      </c>
    </row>
    <row r="66" spans="1:71" x14ac:dyDescent="0.25">
      <c r="A66" s="14">
        <v>2009</v>
      </c>
      <c r="B66" s="9">
        <v>820</v>
      </c>
      <c r="D66" s="9">
        <v>15460.977999999999</v>
      </c>
      <c r="E66" s="9"/>
      <c r="F66" s="9">
        <v>3545.0970000000002</v>
      </c>
      <c r="G66" s="9">
        <v>7916.0360000000001</v>
      </c>
      <c r="H66" s="9"/>
      <c r="I66" s="9"/>
      <c r="J66" s="9"/>
      <c r="K66" s="9"/>
      <c r="O66" s="9"/>
    </row>
    <row r="67" spans="1:71" x14ac:dyDescent="0.25">
      <c r="A67" s="14">
        <v>2010</v>
      </c>
      <c r="B67" s="9">
        <v>890</v>
      </c>
      <c r="D67" s="9">
        <v>16209.016</v>
      </c>
      <c r="E67" s="9"/>
      <c r="F67" s="9">
        <v>3590.511</v>
      </c>
      <c r="G67" s="9">
        <v>8608.8940000000002</v>
      </c>
      <c r="H67" s="9"/>
      <c r="I67" s="9"/>
      <c r="J67" s="9"/>
      <c r="K67" s="9"/>
      <c r="O67" s="9">
        <v>26554.400000000001</v>
      </c>
    </row>
    <row r="68" spans="1:71" x14ac:dyDescent="0.25">
      <c r="A68" s="14">
        <v>2011</v>
      </c>
      <c r="B68" s="9">
        <v>1047</v>
      </c>
      <c r="D68" s="9">
        <v>16997.707999999999</v>
      </c>
      <c r="E68" s="9"/>
      <c r="F68" s="9">
        <v>3382.9360000000001</v>
      </c>
      <c r="G68" s="9">
        <v>7898.2659999999996</v>
      </c>
      <c r="H68" s="9"/>
      <c r="I68" s="9"/>
      <c r="J68" s="9"/>
      <c r="K68" s="9"/>
      <c r="O68" s="9">
        <v>22244.739000000001</v>
      </c>
    </row>
    <row r="69" spans="1:71" x14ac:dyDescent="0.25">
      <c r="A69" s="14">
        <v>2012</v>
      </c>
      <c r="B69" s="9">
        <v>855</v>
      </c>
      <c r="D69" s="9">
        <v>16424.399000000001</v>
      </c>
      <c r="E69" s="9"/>
      <c r="F69" s="9">
        <v>3165.2840000000001</v>
      </c>
      <c r="G69" s="9">
        <v>7359.2659999999996</v>
      </c>
      <c r="H69" s="9"/>
      <c r="I69" s="9"/>
      <c r="J69" s="9"/>
      <c r="K69" s="9"/>
      <c r="O69" s="9">
        <v>21980</v>
      </c>
    </row>
    <row r="70" spans="1:71" x14ac:dyDescent="0.25">
      <c r="A70" s="14">
        <v>2013</v>
      </c>
      <c r="B70" s="9">
        <v>778</v>
      </c>
      <c r="D70" s="9">
        <v>15763.493</v>
      </c>
      <c r="E70" s="9"/>
      <c r="F70" s="9">
        <v>2912.5160000000001</v>
      </c>
      <c r="G70" s="9">
        <v>7375.4610000000002</v>
      </c>
      <c r="H70" s="9"/>
      <c r="I70" s="9"/>
      <c r="J70" s="9"/>
      <c r="K70" s="9"/>
      <c r="O70" s="9">
        <v>18334</v>
      </c>
    </row>
    <row r="71" spans="1:71" x14ac:dyDescent="0.25">
      <c r="A71" s="14">
        <v>2014</v>
      </c>
      <c r="D71" s="9">
        <v>15000.332</v>
      </c>
      <c r="E71" s="9"/>
      <c r="F71" s="9">
        <v>3030.4780000000001</v>
      </c>
      <c r="G71" s="9">
        <v>7512.5110000000004</v>
      </c>
      <c r="H71" s="9"/>
      <c r="I71" s="9"/>
      <c r="J71" s="9"/>
      <c r="K71" s="9"/>
      <c r="O71" s="9">
        <v>22740.079000000002</v>
      </c>
    </row>
    <row r="72" spans="1:71" x14ac:dyDescent="0.25">
      <c r="A72" s="14">
        <v>2015</v>
      </c>
      <c r="D72" s="9">
        <v>15062.705</v>
      </c>
      <c r="E72" s="9"/>
      <c r="F72" s="9">
        <v>2946.95</v>
      </c>
      <c r="G72" s="9">
        <v>7231.2049999999999</v>
      </c>
      <c r="H72" s="9"/>
      <c r="I72" s="9"/>
      <c r="J72" s="9"/>
      <c r="K72" s="9"/>
      <c r="O72" s="9">
        <v>17104.144</v>
      </c>
    </row>
    <row r="73" spans="1:71" x14ac:dyDescent="0.25">
      <c r="A73" s="14">
        <v>2016</v>
      </c>
      <c r="D73" s="9">
        <v>15192.061</v>
      </c>
      <c r="E73" s="9"/>
      <c r="F73" s="9">
        <v>2905.9459999999999</v>
      </c>
      <c r="G73" s="9">
        <v>7396.1270000000004</v>
      </c>
      <c r="H73" s="9"/>
      <c r="I73" s="9"/>
      <c r="J73" s="9"/>
      <c r="K73" s="9"/>
      <c r="O73" s="9">
        <v>18703.665000000001</v>
      </c>
    </row>
    <row r="74" spans="1:71" x14ac:dyDescent="0.25">
      <c r="A74" s="14">
        <v>2017</v>
      </c>
      <c r="D74" s="9">
        <v>15696.879000000001</v>
      </c>
      <c r="E74" s="9"/>
      <c r="F74" s="9">
        <v>3006.424</v>
      </c>
      <c r="G74" s="9">
        <v>8425.2070000000003</v>
      </c>
      <c r="H74" s="9"/>
      <c r="I74" s="9"/>
      <c r="J74" s="9"/>
      <c r="K74" s="9"/>
      <c r="O74" s="9">
        <v>18505.227999999999</v>
      </c>
    </row>
    <row r="75" spans="1:71" x14ac:dyDescent="0.25">
      <c r="A75" s="14">
        <v>2018</v>
      </c>
      <c r="D75" s="9">
        <v>16462.59</v>
      </c>
      <c r="E75" s="9"/>
      <c r="F75" s="9">
        <v>2697.125</v>
      </c>
      <c r="G75" s="9">
        <v>8747.8580000000002</v>
      </c>
      <c r="H75" s="9"/>
      <c r="I75" s="9"/>
      <c r="J75" s="9"/>
      <c r="K75" s="9"/>
      <c r="O75" s="9">
        <v>18838.415000000001</v>
      </c>
    </row>
    <row r="76" spans="1:71" x14ac:dyDescent="0.25">
      <c r="A76" s="14">
        <v>2019</v>
      </c>
      <c r="D76" s="9">
        <v>17206.73</v>
      </c>
      <c r="E76" s="9"/>
      <c r="F76" s="9">
        <v>2783.1320000000001</v>
      </c>
      <c r="G76" s="9">
        <v>9924.3230000000003</v>
      </c>
      <c r="H76" s="9"/>
      <c r="I76" s="9"/>
      <c r="J76" s="9"/>
      <c r="K76" s="9"/>
      <c r="O76" s="9">
        <v>19234.415000000001</v>
      </c>
    </row>
    <row r="77" spans="1:71" x14ac:dyDescent="0.25">
      <c r="A77" s="14">
        <v>2020</v>
      </c>
      <c r="D77" s="9"/>
      <c r="E77" s="10"/>
      <c r="F77" s="10"/>
      <c r="H77" s="10"/>
      <c r="I77" s="10"/>
      <c r="J77" s="9"/>
      <c r="K77" s="9"/>
      <c r="L77" s="9"/>
      <c r="M77" s="9"/>
    </row>
    <row r="78" spans="1:71" s="4" customFormat="1" x14ac:dyDescent="0.25">
      <c r="A78" s="13"/>
      <c r="B78" s="9"/>
      <c r="C78" s="9"/>
      <c r="E78" s="10"/>
      <c r="F78" s="10"/>
      <c r="H78" s="10"/>
      <c r="I78" s="10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</row>
    <row r="79" spans="1:71" s="4" customFormat="1" x14ac:dyDescent="0.25">
      <c r="A79" s="13"/>
      <c r="B79" s="9"/>
      <c r="C79" s="9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</row>
    <row r="80" spans="1:71" s="4" customFormat="1" x14ac:dyDescent="0.25">
      <c r="A80" s="13"/>
      <c r="B80" s="9"/>
      <c r="C80" s="9"/>
      <c r="O80" s="9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</row>
    <row r="81" spans="1:71" x14ac:dyDescent="0.25">
      <c r="O81" s="9"/>
    </row>
    <row r="82" spans="1:71" x14ac:dyDescent="0.25">
      <c r="O82" s="9"/>
      <c r="P82" s="28"/>
    </row>
    <row r="83" spans="1:71" x14ac:dyDescent="0.25">
      <c r="O83" s="9"/>
      <c r="P83" s="28"/>
    </row>
    <row r="84" spans="1:71" x14ac:dyDescent="0.25">
      <c r="O84" s="9"/>
      <c r="P84" s="28"/>
    </row>
    <row r="85" spans="1:71" x14ac:dyDescent="0.25">
      <c r="O85" s="9"/>
      <c r="P85" s="28"/>
    </row>
    <row r="86" spans="1:71" x14ac:dyDescent="0.25">
      <c r="O86" s="9"/>
      <c r="P86" s="28"/>
    </row>
    <row r="87" spans="1:71" s="4" customFormat="1" x14ac:dyDescent="0.25">
      <c r="A87" s="13"/>
      <c r="B87" s="9"/>
      <c r="C87" s="9"/>
      <c r="M87" s="12"/>
      <c r="O87" s="9"/>
      <c r="P87" s="28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</row>
    <row r="88" spans="1:71" s="4" customFormat="1" x14ac:dyDescent="0.25">
      <c r="A88" s="13"/>
      <c r="B88" s="9"/>
      <c r="C88" s="9"/>
      <c r="M88" s="12"/>
      <c r="O88" s="9"/>
      <c r="P88" s="28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</row>
    <row r="89" spans="1:71" x14ac:dyDescent="0.25">
      <c r="O89" s="9"/>
      <c r="P89" s="28"/>
    </row>
    <row r="90" spans="1:71" x14ac:dyDescent="0.25">
      <c r="O90" s="9"/>
      <c r="P90" s="28"/>
    </row>
    <row r="91" spans="1:71" x14ac:dyDescent="0.25">
      <c r="O91" s="9"/>
      <c r="P91" s="28"/>
    </row>
    <row r="92" spans="1:71" x14ac:dyDescent="0.25">
      <c r="O92" s="9"/>
      <c r="P92" s="28"/>
    </row>
    <row r="93" spans="1:71" x14ac:dyDescent="0.25">
      <c r="O93" s="9"/>
      <c r="P93" s="28"/>
    </row>
    <row r="94" spans="1:71" x14ac:dyDescent="0.25">
      <c r="O94" s="9"/>
      <c r="P94" s="28"/>
    </row>
    <row r="95" spans="1:71" x14ac:dyDescent="0.25">
      <c r="O95" s="9"/>
      <c r="P95" s="28"/>
    </row>
    <row r="96" spans="1:71" x14ac:dyDescent="0.25">
      <c r="O96" s="9"/>
      <c r="P96" s="28"/>
    </row>
    <row r="97" spans="15:16" x14ac:dyDescent="0.25">
      <c r="O97" s="9"/>
      <c r="P97" s="28"/>
    </row>
    <row r="98" spans="15:16" x14ac:dyDescent="0.25">
      <c r="O98" s="9"/>
      <c r="P98" s="28"/>
    </row>
    <row r="99" spans="15:16" x14ac:dyDescent="0.25">
      <c r="O99" s="9"/>
      <c r="P99" s="28"/>
    </row>
    <row r="100" spans="15:16" x14ac:dyDescent="0.25">
      <c r="O100" s="9"/>
      <c r="P100" s="28"/>
    </row>
    <row r="101" spans="15:16" x14ac:dyDescent="0.25">
      <c r="O101" s="9"/>
      <c r="P101" s="28"/>
    </row>
    <row r="102" spans="15:16" x14ac:dyDescent="0.25">
      <c r="O102" s="9"/>
      <c r="P102" s="28"/>
    </row>
    <row r="103" spans="15:16" x14ac:dyDescent="0.25">
      <c r="O103" s="9"/>
      <c r="P103" s="28"/>
    </row>
    <row r="104" spans="15:16" x14ac:dyDescent="0.25">
      <c r="P104" s="28"/>
    </row>
    <row r="105" spans="15:16" x14ac:dyDescent="0.25">
      <c r="P105" s="28"/>
    </row>
    <row r="106" spans="15:16" x14ac:dyDescent="0.25">
      <c r="P106" s="28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BC36-79CC-403E-BDAB-F4ACF4DC04E2}">
  <dimension ref="A1:BR88"/>
  <sheetViews>
    <sheetView topLeftCell="A38" zoomScale="70" zoomScaleNormal="70" workbookViewId="0">
      <selection activeCell="C83" sqref="C83"/>
    </sheetView>
  </sheetViews>
  <sheetFormatPr defaultColWidth="10.7109375" defaultRowHeight="15" x14ac:dyDescent="0.25"/>
  <cols>
    <col min="1" max="1" width="10" style="2" customWidth="1"/>
    <col min="2" max="6" width="26.85546875" style="6" customWidth="1"/>
    <col min="7" max="16384" width="10.7109375" style="6"/>
  </cols>
  <sheetData>
    <row r="1" spans="1:6" s="61" customFormat="1" ht="30" x14ac:dyDescent="0.25">
      <c r="A1" s="29" t="s">
        <v>0</v>
      </c>
      <c r="B1" s="5" t="s">
        <v>5</v>
      </c>
      <c r="C1" s="60" t="s">
        <v>6</v>
      </c>
      <c r="D1" s="5" t="s">
        <v>11</v>
      </c>
      <c r="E1" s="5" t="s">
        <v>10</v>
      </c>
      <c r="F1" s="5" t="s">
        <v>35</v>
      </c>
    </row>
    <row r="2" spans="1:6" s="1" customFormat="1" x14ac:dyDescent="0.25">
      <c r="A2" s="14">
        <v>1945</v>
      </c>
    </row>
    <row r="3" spans="1:6" s="1" customFormat="1" x14ac:dyDescent="0.25">
      <c r="A3" s="14">
        <v>1946</v>
      </c>
    </row>
    <row r="4" spans="1:6" s="1" customFormat="1" x14ac:dyDescent="0.25">
      <c r="A4" s="14">
        <v>1947</v>
      </c>
      <c r="C4" s="1">
        <v>0</v>
      </c>
    </row>
    <row r="5" spans="1:6" s="1" customFormat="1" x14ac:dyDescent="0.25">
      <c r="A5" s="14">
        <v>1948</v>
      </c>
    </row>
    <row r="6" spans="1:6" s="1" customFormat="1" x14ac:dyDescent="0.25">
      <c r="A6" s="14">
        <v>1949</v>
      </c>
    </row>
    <row r="7" spans="1:6" s="1" customFormat="1" x14ac:dyDescent="0.25">
      <c r="A7" s="14">
        <v>1950</v>
      </c>
    </row>
    <row r="8" spans="1:6" s="1" customFormat="1" x14ac:dyDescent="0.25">
      <c r="A8" s="14">
        <v>1951</v>
      </c>
    </row>
    <row r="9" spans="1:6" s="1" customFormat="1" x14ac:dyDescent="0.25">
      <c r="A9" s="14">
        <v>1952</v>
      </c>
      <c r="B9" s="8">
        <v>1.1479999999999999</v>
      </c>
    </row>
    <row r="10" spans="1:6" s="1" customFormat="1" x14ac:dyDescent="0.25">
      <c r="A10" s="14">
        <v>1953</v>
      </c>
      <c r="B10" s="8">
        <v>1.133</v>
      </c>
    </row>
    <row r="11" spans="1:6" s="1" customFormat="1" x14ac:dyDescent="0.25">
      <c r="A11" s="14">
        <v>1954</v>
      </c>
      <c r="B11" s="8">
        <v>10.706</v>
      </c>
    </row>
    <row r="12" spans="1:6" s="1" customFormat="1" x14ac:dyDescent="0.25">
      <c r="A12" s="14">
        <v>1955</v>
      </c>
      <c r="B12" s="8">
        <v>12.1</v>
      </c>
    </row>
    <row r="13" spans="1:6" s="1" customFormat="1" x14ac:dyDescent="0.25">
      <c r="A13" s="14">
        <v>1956</v>
      </c>
    </row>
    <row r="14" spans="1:6" s="1" customFormat="1" x14ac:dyDescent="0.25">
      <c r="A14" s="14">
        <v>1957</v>
      </c>
    </row>
    <row r="15" spans="1:6" s="1" customFormat="1" x14ac:dyDescent="0.25">
      <c r="A15" s="14">
        <v>1958</v>
      </c>
    </row>
    <row r="16" spans="1:6" s="1" customFormat="1" x14ac:dyDescent="0.25">
      <c r="A16" s="14">
        <v>1959</v>
      </c>
    </row>
    <row r="17" spans="1:2" s="1" customFormat="1" x14ac:dyDescent="0.25">
      <c r="A17" s="14">
        <v>1960</v>
      </c>
    </row>
    <row r="18" spans="1:2" s="1" customFormat="1" x14ac:dyDescent="0.25">
      <c r="A18" s="14">
        <v>1961</v>
      </c>
    </row>
    <row r="19" spans="1:2" s="1" customFormat="1" x14ac:dyDescent="0.25">
      <c r="A19" s="14">
        <v>1962</v>
      </c>
      <c r="B19" s="8">
        <v>16.399999999999999</v>
      </c>
    </row>
    <row r="20" spans="1:2" s="1" customFormat="1" x14ac:dyDescent="0.25">
      <c r="A20" s="14">
        <v>1963</v>
      </c>
      <c r="B20" s="8"/>
    </row>
    <row r="21" spans="1:2" s="1" customFormat="1" x14ac:dyDescent="0.25">
      <c r="A21" s="14">
        <v>1964</v>
      </c>
      <c r="B21" s="8"/>
    </row>
    <row r="22" spans="1:2" s="1" customFormat="1" x14ac:dyDescent="0.25">
      <c r="A22" s="14">
        <v>1965</v>
      </c>
      <c r="B22" s="8"/>
    </row>
    <row r="23" spans="1:2" s="1" customFormat="1" x14ac:dyDescent="0.25">
      <c r="A23" s="14">
        <v>1966</v>
      </c>
      <c r="B23" s="8">
        <v>34.299999999999997</v>
      </c>
    </row>
    <row r="24" spans="1:2" s="1" customFormat="1" x14ac:dyDescent="0.25">
      <c r="A24" s="14">
        <v>1967</v>
      </c>
      <c r="B24" s="8"/>
    </row>
    <row r="25" spans="1:2" s="1" customFormat="1" x14ac:dyDescent="0.25">
      <c r="A25" s="14">
        <v>1968</v>
      </c>
      <c r="B25" s="8">
        <v>60.3</v>
      </c>
    </row>
    <row r="26" spans="1:2" s="1" customFormat="1" x14ac:dyDescent="0.25">
      <c r="A26" s="14">
        <v>1969</v>
      </c>
    </row>
    <row r="27" spans="1:2" s="1" customFormat="1" x14ac:dyDescent="0.25">
      <c r="A27" s="14">
        <v>1970</v>
      </c>
      <c r="B27" s="74">
        <v>65</v>
      </c>
    </row>
    <row r="28" spans="1:2" s="1" customFormat="1" x14ac:dyDescent="0.25">
      <c r="A28" s="14">
        <v>1971</v>
      </c>
      <c r="B28" s="74">
        <v>72</v>
      </c>
    </row>
    <row r="29" spans="1:2" s="1" customFormat="1" x14ac:dyDescent="0.25">
      <c r="A29" s="14">
        <v>1972</v>
      </c>
      <c r="B29" s="74">
        <v>98</v>
      </c>
    </row>
    <row r="30" spans="1:2" s="1" customFormat="1" x14ac:dyDescent="0.25">
      <c r="A30" s="14">
        <v>1973</v>
      </c>
      <c r="B30" s="74">
        <v>108</v>
      </c>
    </row>
    <row r="31" spans="1:2" s="1" customFormat="1" x14ac:dyDescent="0.25">
      <c r="A31" s="14">
        <v>1974</v>
      </c>
      <c r="B31" s="74">
        <v>125</v>
      </c>
    </row>
    <row r="32" spans="1:2" s="1" customFormat="1" x14ac:dyDescent="0.25">
      <c r="A32" s="14">
        <v>1975</v>
      </c>
      <c r="B32" s="74">
        <v>107</v>
      </c>
    </row>
    <row r="33" spans="1:2" s="1" customFormat="1" x14ac:dyDescent="0.25">
      <c r="A33" s="14">
        <v>1976</v>
      </c>
      <c r="B33" s="74">
        <v>152</v>
      </c>
    </row>
    <row r="34" spans="1:2" s="1" customFormat="1" x14ac:dyDescent="0.25">
      <c r="A34" s="14">
        <v>1977</v>
      </c>
      <c r="B34" s="74">
        <v>156</v>
      </c>
    </row>
    <row r="35" spans="1:2" s="1" customFormat="1" x14ac:dyDescent="0.25">
      <c r="A35" s="14">
        <v>1978</v>
      </c>
      <c r="B35" s="74">
        <v>161</v>
      </c>
    </row>
    <row r="36" spans="1:2" s="1" customFormat="1" x14ac:dyDescent="0.25">
      <c r="A36" s="14">
        <v>1979</v>
      </c>
      <c r="B36" s="74">
        <v>194</v>
      </c>
    </row>
    <row r="37" spans="1:2" s="1" customFormat="1" x14ac:dyDescent="0.25">
      <c r="A37" s="14">
        <v>1980</v>
      </c>
      <c r="B37" s="74">
        <v>211</v>
      </c>
    </row>
    <row r="38" spans="1:2" s="1" customFormat="1" x14ac:dyDescent="0.25">
      <c r="A38" s="14">
        <v>1981</v>
      </c>
      <c r="B38" s="74">
        <v>201</v>
      </c>
    </row>
    <row r="39" spans="1:2" s="1" customFormat="1" x14ac:dyDescent="0.25">
      <c r="A39" s="14">
        <v>1982</v>
      </c>
      <c r="B39" s="74">
        <v>223</v>
      </c>
    </row>
    <row r="40" spans="1:2" s="1" customFormat="1" x14ac:dyDescent="0.25">
      <c r="A40" s="14">
        <v>1983</v>
      </c>
      <c r="B40" s="74">
        <v>234</v>
      </c>
    </row>
    <row r="41" spans="1:2" s="1" customFormat="1" x14ac:dyDescent="0.25">
      <c r="A41" s="14">
        <v>1984</v>
      </c>
      <c r="B41" s="74">
        <v>244</v>
      </c>
    </row>
    <row r="42" spans="1:2" s="1" customFormat="1" x14ac:dyDescent="0.25">
      <c r="A42" s="14">
        <v>1985</v>
      </c>
      <c r="B42" s="74">
        <v>258</v>
      </c>
    </row>
    <row r="43" spans="1:2" s="1" customFormat="1" x14ac:dyDescent="0.25">
      <c r="A43" s="14">
        <v>1986</v>
      </c>
      <c r="B43" s="74">
        <v>278</v>
      </c>
    </row>
    <row r="44" spans="1:2" s="1" customFormat="1" x14ac:dyDescent="0.25">
      <c r="A44" s="14">
        <v>1987</v>
      </c>
      <c r="B44" s="74">
        <v>304</v>
      </c>
    </row>
    <row r="45" spans="1:2" s="1" customFormat="1" x14ac:dyDescent="0.25">
      <c r="A45" s="14">
        <v>1988</v>
      </c>
    </row>
    <row r="46" spans="1:2" s="1" customFormat="1" x14ac:dyDescent="0.25">
      <c r="A46" s="14">
        <v>1989</v>
      </c>
    </row>
    <row r="47" spans="1:2" s="1" customFormat="1" x14ac:dyDescent="0.25">
      <c r="A47" s="14">
        <v>1990</v>
      </c>
    </row>
    <row r="48" spans="1:2" s="1" customFormat="1" x14ac:dyDescent="0.25">
      <c r="A48" s="14">
        <v>1991</v>
      </c>
    </row>
    <row r="49" spans="1:8" s="1" customFormat="1" x14ac:dyDescent="0.25">
      <c r="A49" s="14">
        <v>1992</v>
      </c>
    </row>
    <row r="50" spans="1:8" s="1" customFormat="1" x14ac:dyDescent="0.25">
      <c r="A50" s="14">
        <v>1993</v>
      </c>
    </row>
    <row r="51" spans="1:8" s="1" customFormat="1" x14ac:dyDescent="0.25">
      <c r="A51" s="14">
        <v>1994</v>
      </c>
    </row>
    <row r="52" spans="1:8" s="1" customFormat="1" x14ac:dyDescent="0.25">
      <c r="A52" s="14">
        <v>1995</v>
      </c>
      <c r="C52" s="8"/>
      <c r="D52" s="8"/>
      <c r="E52" s="8"/>
      <c r="F52" s="8"/>
    </row>
    <row r="53" spans="1:8" s="1" customFormat="1" x14ac:dyDescent="0.25">
      <c r="A53" s="14">
        <v>1996</v>
      </c>
      <c r="B53" s="8">
        <v>257</v>
      </c>
      <c r="C53" s="8">
        <v>1260.895</v>
      </c>
      <c r="D53" s="8">
        <v>1189.998</v>
      </c>
      <c r="E53" s="8">
        <v>1004.845</v>
      </c>
      <c r="F53" s="8">
        <v>2784.5149999999999</v>
      </c>
      <c r="H53" s="66"/>
    </row>
    <row r="54" spans="1:8" s="1" customFormat="1" x14ac:dyDescent="0.25">
      <c r="A54" s="14">
        <v>1997</v>
      </c>
      <c r="B54" s="8">
        <v>274</v>
      </c>
      <c r="C54" s="8">
        <v>907.14300000000003</v>
      </c>
      <c r="D54" s="8">
        <v>1785.8679999999999</v>
      </c>
      <c r="E54" s="8">
        <v>805.77300000000002</v>
      </c>
      <c r="F54" s="8">
        <v>2963.442</v>
      </c>
      <c r="H54" s="66"/>
    </row>
    <row r="55" spans="1:8" s="1" customFormat="1" x14ac:dyDescent="0.25">
      <c r="A55" s="14">
        <v>1998</v>
      </c>
      <c r="B55" s="8">
        <v>282</v>
      </c>
      <c r="C55" s="8">
        <v>905.85</v>
      </c>
      <c r="D55" s="8">
        <v>2802.2809999999999</v>
      </c>
      <c r="E55" s="8">
        <v>921.94200000000001</v>
      </c>
      <c r="F55" s="8">
        <v>2466.5990000000002</v>
      </c>
      <c r="H55" s="66"/>
    </row>
    <row r="56" spans="1:8" s="1" customFormat="1" x14ac:dyDescent="0.25">
      <c r="A56" s="14">
        <v>1999</v>
      </c>
      <c r="B56" s="8">
        <v>313</v>
      </c>
      <c r="C56" s="8">
        <v>1316.0060000000001</v>
      </c>
      <c r="D56" s="8">
        <v>3123.2429999999999</v>
      </c>
      <c r="E56" s="8">
        <v>1182.327</v>
      </c>
      <c r="F56" s="8">
        <v>1875.9639999999999</v>
      </c>
      <c r="H56" s="66"/>
    </row>
    <row r="57" spans="1:8" s="1" customFormat="1" x14ac:dyDescent="0.25">
      <c r="A57" s="14">
        <v>2000</v>
      </c>
      <c r="B57" s="8">
        <v>305</v>
      </c>
      <c r="C57" s="8">
        <v>1522.134</v>
      </c>
      <c r="D57" s="8">
        <v>3855.817</v>
      </c>
      <c r="E57" s="8">
        <v>1221.732</v>
      </c>
      <c r="F57" s="8">
        <v>1870.4659999999999</v>
      </c>
      <c r="H57" s="66"/>
    </row>
    <row r="58" spans="1:8" s="1" customFormat="1" x14ac:dyDescent="0.25">
      <c r="A58" s="14">
        <v>2001</v>
      </c>
      <c r="B58" s="8">
        <v>315</v>
      </c>
      <c r="C58" s="8">
        <v>1334.1020000000001</v>
      </c>
      <c r="D58" s="8">
        <v>3597.0790000000002</v>
      </c>
      <c r="E58" s="8">
        <v>1316.9829999999999</v>
      </c>
      <c r="F58" s="8">
        <v>2695.3890000000001</v>
      </c>
      <c r="H58" s="66"/>
    </row>
    <row r="59" spans="1:8" s="1" customFormat="1" x14ac:dyDescent="0.25">
      <c r="A59" s="14">
        <v>2002</v>
      </c>
      <c r="B59" s="8">
        <v>347</v>
      </c>
      <c r="C59" s="8">
        <v>1448.894</v>
      </c>
      <c r="D59" s="8">
        <v>3548.6179999999999</v>
      </c>
      <c r="E59" s="8">
        <v>1368.0340000000001</v>
      </c>
      <c r="F59" s="8">
        <v>3039.223</v>
      </c>
      <c r="H59" s="66"/>
    </row>
    <row r="60" spans="1:8" s="1" customFormat="1" x14ac:dyDescent="0.25">
      <c r="A60" s="14">
        <v>2003</v>
      </c>
      <c r="B60" s="8">
        <v>327</v>
      </c>
      <c r="C60" s="8">
        <v>1797.1279999999999</v>
      </c>
      <c r="D60" s="8">
        <v>3896.3139999999999</v>
      </c>
      <c r="E60" s="8">
        <v>1194.9259999999999</v>
      </c>
      <c r="F60" s="8">
        <v>3882.6909999999998</v>
      </c>
      <c r="H60" s="66"/>
    </row>
    <row r="61" spans="1:8" s="1" customFormat="1" x14ac:dyDescent="0.25">
      <c r="A61" s="14">
        <v>2004</v>
      </c>
      <c r="B61" s="8">
        <v>347</v>
      </c>
      <c r="C61" s="8">
        <v>1249.3679999999999</v>
      </c>
      <c r="D61" s="8">
        <v>4279.7560000000003</v>
      </c>
      <c r="E61" s="8">
        <v>1320.597</v>
      </c>
      <c r="F61" s="8">
        <v>3659.049</v>
      </c>
      <c r="H61" s="66"/>
    </row>
    <row r="62" spans="1:8" s="1" customFormat="1" x14ac:dyDescent="0.25">
      <c r="A62" s="14">
        <v>2005</v>
      </c>
      <c r="B62" s="8">
        <v>345</v>
      </c>
      <c r="C62" s="8">
        <v>1161.8030000000001</v>
      </c>
      <c r="D62" s="8">
        <v>4499.4750000000004</v>
      </c>
      <c r="E62" s="8">
        <v>4045.0520000000001</v>
      </c>
      <c r="F62" s="8">
        <v>4483.7669999999998</v>
      </c>
      <c r="H62" s="66"/>
    </row>
    <row r="63" spans="1:8" s="1" customFormat="1" x14ac:dyDescent="0.25">
      <c r="A63" s="14">
        <v>2006</v>
      </c>
      <c r="B63" s="8">
        <v>356</v>
      </c>
      <c r="C63" s="8">
        <v>1276.7460000000001</v>
      </c>
      <c r="D63" s="8">
        <v>5367.95</v>
      </c>
      <c r="E63" s="8">
        <v>2544.9380000000001</v>
      </c>
      <c r="F63" s="8">
        <v>5951.0630000000001</v>
      </c>
      <c r="H63" s="66"/>
    </row>
    <row r="64" spans="1:8" s="1" customFormat="1" x14ac:dyDescent="0.25">
      <c r="A64" s="14">
        <v>2007</v>
      </c>
      <c r="B64" s="8">
        <v>402</v>
      </c>
      <c r="C64" s="8">
        <v>1605.365</v>
      </c>
      <c r="D64" s="8">
        <v>5439.1580000000004</v>
      </c>
      <c r="E64" s="8">
        <v>2970.2950000000001</v>
      </c>
      <c r="F64" s="8">
        <v>6146.1189999999997</v>
      </c>
      <c r="H64" s="66"/>
    </row>
    <row r="65" spans="1:70" s="1" customFormat="1" x14ac:dyDescent="0.25">
      <c r="A65" s="14">
        <v>2008</v>
      </c>
      <c r="B65" s="8">
        <v>402</v>
      </c>
      <c r="C65" s="8">
        <v>1534.673</v>
      </c>
      <c r="D65" s="8">
        <v>6083.4660000000003</v>
      </c>
      <c r="E65" s="8">
        <v>2929.0509999999999</v>
      </c>
      <c r="F65" s="8">
        <v>6952.1270000000004</v>
      </c>
      <c r="H65" s="66"/>
    </row>
    <row r="66" spans="1:70" s="1" customFormat="1" x14ac:dyDescent="0.25">
      <c r="A66" s="14">
        <v>2009</v>
      </c>
      <c r="B66" s="8">
        <v>425</v>
      </c>
      <c r="C66" s="8">
        <v>1130.6949999999999</v>
      </c>
      <c r="D66" s="8">
        <v>6320.268</v>
      </c>
      <c r="E66" s="8">
        <v>2827.9140000000002</v>
      </c>
      <c r="F66" s="8">
        <v>6910.9979999999996</v>
      </c>
      <c r="H66" s="66"/>
    </row>
    <row r="67" spans="1:70" s="1" customFormat="1" x14ac:dyDescent="0.25">
      <c r="A67" s="14">
        <v>2010</v>
      </c>
      <c r="B67" s="8">
        <v>359</v>
      </c>
      <c r="C67" s="8">
        <v>1329.6479999999999</v>
      </c>
      <c r="D67" s="8">
        <v>6139.7550000000001</v>
      </c>
      <c r="E67" s="8">
        <v>3815.7809999999999</v>
      </c>
      <c r="F67" s="8">
        <v>7344.2380000000003</v>
      </c>
      <c r="H67" s="66"/>
    </row>
    <row r="68" spans="1:70" s="1" customFormat="1" x14ac:dyDescent="0.25">
      <c r="A68" s="14">
        <v>2011</v>
      </c>
      <c r="B68" s="8">
        <v>389</v>
      </c>
      <c r="C68" s="8">
        <v>952.46199999999999</v>
      </c>
      <c r="D68" s="8">
        <v>6475.9620000000004</v>
      </c>
      <c r="E68" s="8">
        <v>3164.152</v>
      </c>
      <c r="F68" s="8">
        <v>7317.8469999999998</v>
      </c>
      <c r="H68" s="66"/>
    </row>
    <row r="69" spans="1:70" s="1" customFormat="1" x14ac:dyDescent="0.25">
      <c r="A69" s="14">
        <v>2012</v>
      </c>
      <c r="B69" s="8">
        <v>371</v>
      </c>
      <c r="C69" s="8">
        <v>628.72500000000002</v>
      </c>
      <c r="D69" s="8">
        <v>6033.143</v>
      </c>
      <c r="E69" s="8">
        <v>3120.951</v>
      </c>
      <c r="F69" s="8">
        <v>5640.6170000000002</v>
      </c>
      <c r="H69" s="66"/>
    </row>
    <row r="70" spans="1:70" s="1" customFormat="1" x14ac:dyDescent="0.25">
      <c r="A70" s="14">
        <v>2013</v>
      </c>
      <c r="B70" s="8">
        <v>392</v>
      </c>
      <c r="C70" s="8">
        <v>627.096</v>
      </c>
      <c r="D70" s="8">
        <v>5448.9610000000002</v>
      </c>
      <c r="E70" s="8">
        <v>4281.59</v>
      </c>
      <c r="F70" s="8">
        <v>7345.0559999999996</v>
      </c>
      <c r="H70" s="66"/>
    </row>
    <row r="71" spans="1:70" s="1" customFormat="1" x14ac:dyDescent="0.25">
      <c r="A71" s="14">
        <v>2014</v>
      </c>
      <c r="B71" s="8">
        <v>352</v>
      </c>
      <c r="C71" s="8">
        <v>555.11800000000005</v>
      </c>
      <c r="D71" s="8">
        <v>6543.2629999999999</v>
      </c>
      <c r="E71" s="8">
        <v>4083.29</v>
      </c>
      <c r="F71" s="8">
        <v>7129.8689999999997</v>
      </c>
      <c r="H71" s="66"/>
    </row>
    <row r="72" spans="1:70" s="1" customFormat="1" x14ac:dyDescent="0.25">
      <c r="A72" s="14">
        <v>2015</v>
      </c>
      <c r="B72" s="8">
        <v>372</v>
      </c>
      <c r="C72" s="8">
        <v>387.24</v>
      </c>
      <c r="D72" s="8">
        <v>6003.8149999999996</v>
      </c>
      <c r="E72" s="8">
        <v>3810.8760000000002</v>
      </c>
      <c r="F72" s="8">
        <v>5698.5159999999996</v>
      </c>
      <c r="H72" s="66"/>
    </row>
    <row r="73" spans="1:70" s="1" customFormat="1" x14ac:dyDescent="0.25">
      <c r="A73" s="14">
        <v>2016</v>
      </c>
      <c r="B73" s="8">
        <v>370</v>
      </c>
      <c r="C73" s="8">
        <v>346.61599999999999</v>
      </c>
      <c r="D73" s="8">
        <v>5906.2629999999999</v>
      </c>
      <c r="E73" s="8">
        <v>3707.34</v>
      </c>
      <c r="F73" s="8">
        <v>7545.7790000000005</v>
      </c>
      <c r="H73" s="66"/>
    </row>
    <row r="74" spans="1:70" s="1" customFormat="1" x14ac:dyDescent="0.25">
      <c r="A74" s="14">
        <v>2017</v>
      </c>
      <c r="B74" s="8">
        <v>401</v>
      </c>
      <c r="C74" s="8">
        <v>321.06</v>
      </c>
      <c r="D74" s="8">
        <v>6355.4480000000003</v>
      </c>
      <c r="E74" s="8">
        <v>5335.55</v>
      </c>
      <c r="F74" s="8">
        <v>8565.5609999999997</v>
      </c>
      <c r="H74" s="66"/>
    </row>
    <row r="75" spans="1:70" s="1" customFormat="1" x14ac:dyDescent="0.25">
      <c r="A75" s="14">
        <v>2018</v>
      </c>
      <c r="B75" s="8">
        <v>355</v>
      </c>
      <c r="C75" s="8">
        <v>437.02</v>
      </c>
      <c r="D75" s="8">
        <v>7094.33</v>
      </c>
      <c r="E75" s="8">
        <v>7508.4030000000002</v>
      </c>
      <c r="F75" s="8">
        <v>6976.6779999999999</v>
      </c>
      <c r="H75" s="66"/>
    </row>
    <row r="76" spans="1:70" s="1" customFormat="1" x14ac:dyDescent="0.25">
      <c r="A76" s="14">
        <v>2019</v>
      </c>
      <c r="B76" s="8">
        <v>352</v>
      </c>
      <c r="C76" s="8">
        <v>413.42700000000002</v>
      </c>
      <c r="D76" s="8">
        <v>10045.366</v>
      </c>
      <c r="E76" s="8">
        <v>8350.3739999999998</v>
      </c>
      <c r="F76" s="8">
        <v>5947.47</v>
      </c>
      <c r="H76" s="66"/>
    </row>
    <row r="77" spans="1:70" s="1" customFormat="1" x14ac:dyDescent="0.25">
      <c r="A77" s="14">
        <v>2020</v>
      </c>
      <c r="B77" s="8">
        <v>349</v>
      </c>
    </row>
    <row r="78" spans="1:70" s="4" customFormat="1" x14ac:dyDescent="0.25">
      <c r="A78" s="2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</row>
    <row r="79" spans="1:70" s="4" customFormat="1" x14ac:dyDescent="0.25">
      <c r="A79" s="2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</row>
    <row r="80" spans="1:70" s="4" customFormat="1" x14ac:dyDescent="0.25">
      <c r="A80" s="2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</row>
    <row r="82" spans="1:70" x14ac:dyDescent="0.25">
      <c r="B82" s="19"/>
      <c r="C82" s="8"/>
    </row>
    <row r="83" spans="1:70" x14ac:dyDescent="0.25">
      <c r="B83" s="19"/>
      <c r="C83" s="8"/>
    </row>
    <row r="84" spans="1:70" x14ac:dyDescent="0.25">
      <c r="B84" s="19"/>
      <c r="C84" s="8"/>
    </row>
    <row r="85" spans="1:70" x14ac:dyDescent="0.25">
      <c r="B85" s="19"/>
      <c r="C85" s="8"/>
    </row>
    <row r="86" spans="1:70" x14ac:dyDescent="0.25">
      <c r="B86" s="19"/>
      <c r="C86" s="8"/>
    </row>
    <row r="87" spans="1:70" s="4" customFormat="1" x14ac:dyDescent="0.25">
      <c r="A87" s="2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</row>
    <row r="88" spans="1:70" s="4" customFormat="1" x14ac:dyDescent="0.25">
      <c r="A88" s="2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29125-5F59-4D2B-B790-D44D45AA199C}">
  <dimension ref="A1:BR88"/>
  <sheetViews>
    <sheetView zoomScale="83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7" sqref="D17"/>
    </sheetView>
  </sheetViews>
  <sheetFormatPr defaultColWidth="10.7109375" defaultRowHeight="15" x14ac:dyDescent="0.25"/>
  <cols>
    <col min="1" max="1" width="9.28515625" style="13" customWidth="1"/>
    <col min="2" max="5" width="20.7109375" style="8" customWidth="1"/>
    <col min="6" max="8" width="20.7109375" style="6" customWidth="1"/>
    <col min="9" max="16384" width="10.7109375" style="6"/>
  </cols>
  <sheetData>
    <row r="1" spans="1:8" s="30" customFormat="1" ht="45" x14ac:dyDescent="0.25">
      <c r="A1" s="29" t="s">
        <v>0</v>
      </c>
      <c r="B1" s="62" t="s">
        <v>5</v>
      </c>
      <c r="C1" s="5" t="s">
        <v>9</v>
      </c>
      <c r="D1" s="60" t="s">
        <v>48</v>
      </c>
      <c r="E1" s="60" t="s">
        <v>6</v>
      </c>
      <c r="F1" s="5" t="s">
        <v>11</v>
      </c>
      <c r="G1" s="5" t="s">
        <v>10</v>
      </c>
      <c r="H1" s="5" t="s">
        <v>35</v>
      </c>
    </row>
    <row r="2" spans="1:8" x14ac:dyDescent="0.25">
      <c r="A2" s="14">
        <v>1945</v>
      </c>
      <c r="C2" s="9"/>
      <c r="D2" s="9"/>
    </row>
    <row r="3" spans="1:8" x14ac:dyDescent="0.25">
      <c r="A3" s="14">
        <v>1946</v>
      </c>
      <c r="C3" s="9"/>
      <c r="D3" s="9"/>
    </row>
    <row r="4" spans="1:8" x14ac:dyDescent="0.25">
      <c r="A4" s="14">
        <v>1947</v>
      </c>
      <c r="C4" s="9"/>
      <c r="E4" s="1">
        <v>0</v>
      </c>
    </row>
    <row r="5" spans="1:8" x14ac:dyDescent="0.25">
      <c r="A5" s="14">
        <v>1948</v>
      </c>
      <c r="C5" s="9"/>
      <c r="D5" s="9"/>
    </row>
    <row r="6" spans="1:8" x14ac:dyDescent="0.25">
      <c r="A6" s="14">
        <v>1949</v>
      </c>
      <c r="C6" s="9"/>
      <c r="D6" s="9"/>
    </row>
    <row r="7" spans="1:8" x14ac:dyDescent="0.25">
      <c r="A7" s="14">
        <v>1950</v>
      </c>
      <c r="B7" s="8">
        <f>43.23+12.37</f>
        <v>55.599999999999994</v>
      </c>
      <c r="C7" s="9"/>
      <c r="D7" s="9"/>
    </row>
    <row r="8" spans="1:8" x14ac:dyDescent="0.25">
      <c r="A8" s="14">
        <v>1951</v>
      </c>
      <c r="C8" s="9"/>
      <c r="D8" s="9"/>
    </row>
    <row r="9" spans="1:8" x14ac:dyDescent="0.25">
      <c r="A9" s="14">
        <v>1952</v>
      </c>
      <c r="B9" s="8">
        <f>27.994+23.667</f>
        <v>51.661000000000001</v>
      </c>
      <c r="C9" s="9"/>
      <c r="D9" s="9"/>
    </row>
    <row r="10" spans="1:8" x14ac:dyDescent="0.25">
      <c r="A10" s="14">
        <v>1953</v>
      </c>
      <c r="B10" s="8">
        <f>29.552+25.651</f>
        <v>55.203000000000003</v>
      </c>
      <c r="C10" s="9"/>
      <c r="D10" s="9"/>
    </row>
    <row r="11" spans="1:8" x14ac:dyDescent="0.25">
      <c r="A11" s="14">
        <v>1954</v>
      </c>
      <c r="B11" s="8">
        <f>28.502+23.427</f>
        <v>51.929000000000002</v>
      </c>
      <c r="C11" s="9"/>
      <c r="D11" s="9"/>
    </row>
    <row r="12" spans="1:8" x14ac:dyDescent="0.25">
      <c r="A12" s="14">
        <v>1955</v>
      </c>
      <c r="B12" s="8">
        <v>51.9</v>
      </c>
      <c r="C12" s="9"/>
      <c r="D12" s="9"/>
    </row>
    <row r="13" spans="1:8" x14ac:dyDescent="0.25">
      <c r="A13" s="14">
        <v>1956</v>
      </c>
      <c r="B13" s="9"/>
      <c r="C13" s="9"/>
      <c r="D13" s="9"/>
    </row>
    <row r="14" spans="1:8" x14ac:dyDescent="0.25">
      <c r="A14" s="14">
        <v>1957</v>
      </c>
      <c r="B14" s="8">
        <f>13.5/100*356.245</f>
        <v>48.093075000000006</v>
      </c>
      <c r="C14" s="9"/>
      <c r="D14" s="9"/>
    </row>
    <row r="15" spans="1:8" x14ac:dyDescent="0.25">
      <c r="A15" s="14">
        <v>1958</v>
      </c>
      <c r="C15" s="9"/>
      <c r="D15" s="9"/>
    </row>
    <row r="16" spans="1:8" x14ac:dyDescent="0.25">
      <c r="A16" s="14">
        <v>1959</v>
      </c>
      <c r="C16" s="9"/>
      <c r="D16" s="9"/>
    </row>
    <row r="17" spans="1:4" x14ac:dyDescent="0.25">
      <c r="A17" s="14">
        <v>1960</v>
      </c>
      <c r="C17" s="9"/>
      <c r="D17" s="9"/>
    </row>
    <row r="18" spans="1:4" x14ac:dyDescent="0.25">
      <c r="A18" s="14">
        <v>1961</v>
      </c>
      <c r="C18" s="9"/>
      <c r="D18" s="9"/>
    </row>
    <row r="19" spans="1:4" x14ac:dyDescent="0.25">
      <c r="A19" s="14">
        <v>1962</v>
      </c>
      <c r="B19" s="8">
        <v>142.80000000000001</v>
      </c>
      <c r="C19" s="9"/>
      <c r="D19" s="9"/>
    </row>
    <row r="20" spans="1:4" x14ac:dyDescent="0.25">
      <c r="A20" s="14">
        <v>1963</v>
      </c>
      <c r="C20" s="9"/>
      <c r="D20" s="9"/>
    </row>
    <row r="21" spans="1:4" x14ac:dyDescent="0.25">
      <c r="A21" s="14">
        <v>1964</v>
      </c>
      <c r="C21" s="9"/>
      <c r="D21" s="9"/>
    </row>
    <row r="22" spans="1:4" x14ac:dyDescent="0.25">
      <c r="A22" s="14">
        <v>1965</v>
      </c>
      <c r="C22" s="9"/>
      <c r="D22" s="9"/>
    </row>
    <row r="23" spans="1:4" x14ac:dyDescent="0.25">
      <c r="A23" s="14">
        <v>1966</v>
      </c>
      <c r="B23" s="8">
        <v>137.1</v>
      </c>
      <c r="C23" s="9"/>
      <c r="D23" s="9"/>
    </row>
    <row r="24" spans="1:4" x14ac:dyDescent="0.25">
      <c r="A24" s="14">
        <v>1967</v>
      </c>
      <c r="C24" s="9"/>
      <c r="D24" s="9"/>
    </row>
    <row r="25" spans="1:4" x14ac:dyDescent="0.25">
      <c r="A25" s="14">
        <v>1968</v>
      </c>
      <c r="B25" s="8">
        <v>159</v>
      </c>
      <c r="C25" s="9"/>
      <c r="D25" s="9"/>
    </row>
    <row r="26" spans="1:4" x14ac:dyDescent="0.25">
      <c r="A26" s="14">
        <v>1969</v>
      </c>
      <c r="C26" s="9"/>
      <c r="D26" s="9"/>
    </row>
    <row r="27" spans="1:4" x14ac:dyDescent="0.25">
      <c r="A27" s="14">
        <v>1970</v>
      </c>
      <c r="B27" s="74">
        <v>150</v>
      </c>
      <c r="D27" s="9"/>
    </row>
    <row r="28" spans="1:4" x14ac:dyDescent="0.25">
      <c r="A28" s="14">
        <v>1971</v>
      </c>
      <c r="B28" s="74">
        <v>159.85</v>
      </c>
      <c r="C28" s="1"/>
      <c r="D28" s="9"/>
    </row>
    <row r="29" spans="1:4" x14ac:dyDescent="0.25">
      <c r="A29" s="14">
        <v>1972</v>
      </c>
      <c r="B29" s="74">
        <v>179.55</v>
      </c>
      <c r="C29" s="1"/>
      <c r="D29" s="9"/>
    </row>
    <row r="30" spans="1:4" x14ac:dyDescent="0.25">
      <c r="A30" s="14">
        <v>1973</v>
      </c>
      <c r="B30" s="74">
        <v>208.79</v>
      </c>
      <c r="C30" s="1"/>
      <c r="D30" s="9"/>
    </row>
    <row r="31" spans="1:4" x14ac:dyDescent="0.25">
      <c r="A31" s="14">
        <v>1974</v>
      </c>
      <c r="B31" s="74">
        <v>233.89</v>
      </c>
      <c r="C31" s="1"/>
      <c r="D31" s="9"/>
    </row>
    <row r="32" spans="1:4" x14ac:dyDescent="0.25">
      <c r="A32" s="14">
        <v>1975</v>
      </c>
      <c r="B32" s="74">
        <v>204.02</v>
      </c>
      <c r="C32" s="1"/>
      <c r="D32" s="9"/>
    </row>
    <row r="33" spans="1:5" x14ac:dyDescent="0.25">
      <c r="A33" s="14">
        <v>1976</v>
      </c>
      <c r="B33" s="74">
        <v>225.31</v>
      </c>
      <c r="C33" s="1"/>
      <c r="D33" s="9"/>
    </row>
    <row r="34" spans="1:5" x14ac:dyDescent="0.25">
      <c r="A34" s="14">
        <v>1977</v>
      </c>
      <c r="B34" s="74">
        <v>248.19</v>
      </c>
      <c r="C34" s="1"/>
      <c r="D34" s="9"/>
    </row>
    <row r="35" spans="1:5" x14ac:dyDescent="0.25">
      <c r="A35" s="14">
        <v>1978</v>
      </c>
      <c r="B35" s="74">
        <v>263.45</v>
      </c>
      <c r="C35" s="1"/>
      <c r="D35" s="9"/>
    </row>
    <row r="36" spans="1:5" x14ac:dyDescent="0.25">
      <c r="A36" s="14">
        <v>1979</v>
      </c>
      <c r="B36" s="74">
        <v>300.63</v>
      </c>
      <c r="C36" s="1"/>
      <c r="D36" s="9"/>
    </row>
    <row r="37" spans="1:5" x14ac:dyDescent="0.25">
      <c r="A37" s="14">
        <v>1980</v>
      </c>
      <c r="B37" s="74">
        <v>317.79000000000002</v>
      </c>
      <c r="C37" s="1"/>
      <c r="D37" s="9"/>
    </row>
    <row r="38" spans="1:5" x14ac:dyDescent="0.25">
      <c r="A38" s="14">
        <v>1981</v>
      </c>
      <c r="B38" s="74">
        <v>333.36</v>
      </c>
      <c r="C38" s="1"/>
      <c r="D38" s="9"/>
    </row>
    <row r="39" spans="1:5" x14ac:dyDescent="0.25">
      <c r="A39" s="14">
        <v>1982</v>
      </c>
      <c r="B39" s="74">
        <v>332.41</v>
      </c>
      <c r="C39" s="1"/>
      <c r="D39" s="9"/>
    </row>
    <row r="40" spans="1:5" x14ac:dyDescent="0.25">
      <c r="A40" s="14">
        <v>1983</v>
      </c>
      <c r="B40" s="74">
        <v>358.47</v>
      </c>
      <c r="C40" s="1"/>
      <c r="D40" s="9"/>
    </row>
    <row r="41" spans="1:5" x14ac:dyDescent="0.25">
      <c r="A41" s="14">
        <v>1984</v>
      </c>
      <c r="B41" s="74">
        <v>381.67</v>
      </c>
      <c r="C41" s="1"/>
    </row>
    <row r="42" spans="1:5" x14ac:dyDescent="0.25">
      <c r="A42" s="14">
        <v>1985</v>
      </c>
      <c r="B42" s="74">
        <v>395.65</v>
      </c>
      <c r="C42" s="1"/>
    </row>
    <row r="43" spans="1:5" x14ac:dyDescent="0.25">
      <c r="A43" s="14">
        <v>1986</v>
      </c>
      <c r="B43" s="74">
        <v>360.69</v>
      </c>
      <c r="C43" s="1"/>
    </row>
    <row r="44" spans="1:5" x14ac:dyDescent="0.25">
      <c r="A44" s="14">
        <v>1987</v>
      </c>
      <c r="B44" s="74">
        <v>382.94</v>
      </c>
      <c r="C44" s="1"/>
    </row>
    <row r="45" spans="1:5" x14ac:dyDescent="0.25">
      <c r="A45" s="14">
        <v>1988</v>
      </c>
    </row>
    <row r="46" spans="1:5" x14ac:dyDescent="0.25">
      <c r="A46" s="14">
        <v>1989</v>
      </c>
      <c r="B46" s="8">
        <f>2500*0.002*C46/1000</f>
        <v>223.53</v>
      </c>
      <c r="C46" s="8">
        <v>44706</v>
      </c>
      <c r="D46" s="8">
        <v>1665</v>
      </c>
      <c r="E46" s="8">
        <f>D46/3</f>
        <v>555</v>
      </c>
    </row>
    <row r="47" spans="1:5" x14ac:dyDescent="0.25">
      <c r="A47" s="14">
        <v>1990</v>
      </c>
      <c r="B47" s="8">
        <f t="shared" ref="B47:B50" si="0">2500*0.002*C47/1000</f>
        <v>317.02499999999998</v>
      </c>
      <c r="C47" s="8">
        <v>63405</v>
      </c>
      <c r="D47" s="8">
        <v>2020</v>
      </c>
      <c r="E47" s="8">
        <f t="shared" ref="E47:E50" si="1">D47/3</f>
        <v>673.33333333333337</v>
      </c>
    </row>
    <row r="48" spans="1:5" x14ac:dyDescent="0.25">
      <c r="A48" s="14">
        <v>1991</v>
      </c>
      <c r="B48" s="8">
        <f t="shared" si="0"/>
        <v>267.315</v>
      </c>
      <c r="C48" s="8">
        <f>524+52939</f>
        <v>53463</v>
      </c>
      <c r="D48" s="8">
        <v>1528</v>
      </c>
      <c r="E48" s="8">
        <f t="shared" si="1"/>
        <v>509.33333333333331</v>
      </c>
    </row>
    <row r="49" spans="1:8" x14ac:dyDescent="0.25">
      <c r="A49" s="14">
        <v>1992</v>
      </c>
      <c r="B49" s="8">
        <f t="shared" si="0"/>
        <v>296.16500000000002</v>
      </c>
      <c r="C49" s="8">
        <f>678+58555</f>
        <v>59233</v>
      </c>
      <c r="D49" s="8">
        <v>1518</v>
      </c>
      <c r="E49" s="8">
        <f t="shared" si="1"/>
        <v>506</v>
      </c>
    </row>
    <row r="50" spans="1:8" x14ac:dyDescent="0.25">
      <c r="A50" s="14">
        <v>1993</v>
      </c>
      <c r="B50" s="8">
        <f t="shared" si="0"/>
        <v>313.42500000000001</v>
      </c>
      <c r="C50" s="8">
        <f>590+62095</f>
        <v>62685</v>
      </c>
      <c r="D50" s="8">
        <v>1844</v>
      </c>
      <c r="E50" s="8">
        <f t="shared" si="1"/>
        <v>614.66666666666663</v>
      </c>
    </row>
    <row r="51" spans="1:8" x14ac:dyDescent="0.25">
      <c r="A51" s="14">
        <v>1994</v>
      </c>
      <c r="B51" s="8">
        <f>0.191*1900</f>
        <v>362.90000000000003</v>
      </c>
    </row>
    <row r="52" spans="1:8" x14ac:dyDescent="0.25">
      <c r="A52" s="14">
        <v>1995</v>
      </c>
      <c r="B52" s="8">
        <v>263.60715000000005</v>
      </c>
      <c r="D52" s="68"/>
      <c r="E52" s="9">
        <v>685.298</v>
      </c>
      <c r="F52" s="9">
        <v>320.93</v>
      </c>
      <c r="G52" s="9">
        <v>1162.2539999999999</v>
      </c>
    </row>
    <row r="53" spans="1:8" x14ac:dyDescent="0.25">
      <c r="A53" s="14">
        <v>1996</v>
      </c>
      <c r="B53" s="8">
        <v>297.09339499999999</v>
      </c>
      <c r="E53" s="9">
        <v>765.65300000000002</v>
      </c>
      <c r="F53" s="9">
        <v>469.85300000000001</v>
      </c>
      <c r="G53" s="9">
        <v>1171.4590000000001</v>
      </c>
      <c r="H53" s="9">
        <v>8358.1959999999999</v>
      </c>
    </row>
    <row r="54" spans="1:8" x14ac:dyDescent="0.25">
      <c r="A54" s="14">
        <v>1997</v>
      </c>
      <c r="B54" s="8">
        <v>335.95051499999994</v>
      </c>
      <c r="E54" s="9">
        <v>654.58600000000001</v>
      </c>
      <c r="F54" s="9">
        <v>719.23299999999995</v>
      </c>
      <c r="G54" s="9">
        <v>1348.1369999999999</v>
      </c>
      <c r="H54" s="9">
        <v>8556.0049999999992</v>
      </c>
    </row>
    <row r="55" spans="1:8" x14ac:dyDescent="0.25">
      <c r="A55" s="14">
        <v>1998</v>
      </c>
      <c r="B55" s="8">
        <v>322.95862500000004</v>
      </c>
      <c r="E55" s="9">
        <v>469.65499999999997</v>
      </c>
      <c r="F55" s="9">
        <v>1594.3130000000001</v>
      </c>
      <c r="G55" s="9">
        <v>1201.1310000000001</v>
      </c>
      <c r="H55" s="9">
        <v>8184.0649999999996</v>
      </c>
    </row>
    <row r="56" spans="1:8" x14ac:dyDescent="0.25">
      <c r="A56" s="14">
        <v>1999</v>
      </c>
      <c r="B56" s="8">
        <v>303.11563000000001</v>
      </c>
      <c r="E56" s="9">
        <v>281.13200000000001</v>
      </c>
      <c r="F56" s="9">
        <v>1488.356</v>
      </c>
      <c r="G56" s="9">
        <v>1173.105</v>
      </c>
      <c r="H56" s="9">
        <v>4940.4719999999998</v>
      </c>
    </row>
    <row r="57" spans="1:8" x14ac:dyDescent="0.25">
      <c r="A57" s="14">
        <v>2000</v>
      </c>
      <c r="B57" s="8">
        <v>305.002365</v>
      </c>
      <c r="E57" s="9">
        <v>268.596</v>
      </c>
      <c r="F57" s="9">
        <v>949.30399999999997</v>
      </c>
      <c r="G57" s="9">
        <v>1237.885</v>
      </c>
      <c r="H57" s="9">
        <v>4888.8850000000002</v>
      </c>
    </row>
    <row r="58" spans="1:8" x14ac:dyDescent="0.25">
      <c r="A58" s="14">
        <v>2001</v>
      </c>
      <c r="B58" s="8">
        <v>288.50876499999993</v>
      </c>
      <c r="E58" s="9">
        <v>169.071</v>
      </c>
      <c r="F58" s="9">
        <v>470.435</v>
      </c>
      <c r="G58" s="9">
        <v>1432.3889999999999</v>
      </c>
      <c r="H58" s="9">
        <v>4584.5640000000003</v>
      </c>
    </row>
    <row r="59" spans="1:8" x14ac:dyDescent="0.25">
      <c r="A59" s="14">
        <v>2002</v>
      </c>
      <c r="B59" s="8">
        <v>382.51540500000004</v>
      </c>
      <c r="E59" s="9">
        <v>284.79199999999997</v>
      </c>
      <c r="F59" s="9">
        <v>822.06100000000004</v>
      </c>
      <c r="G59" s="9">
        <v>1613.0530000000001</v>
      </c>
      <c r="H59" s="9">
        <v>7137.2579999999998</v>
      </c>
    </row>
    <row r="60" spans="1:8" x14ac:dyDescent="0.25">
      <c r="A60" s="14">
        <v>2003</v>
      </c>
      <c r="B60" s="8">
        <f>0.32*937.14</f>
        <v>299.88479999999998</v>
      </c>
      <c r="E60" s="9">
        <v>317.03800000000001</v>
      </c>
      <c r="F60" s="9">
        <v>642.14</v>
      </c>
      <c r="G60" s="9">
        <v>1662.3869999999999</v>
      </c>
      <c r="H60" s="9">
        <v>8209.3819999999996</v>
      </c>
    </row>
    <row r="61" spans="1:8" x14ac:dyDescent="0.25">
      <c r="A61" s="14">
        <v>2004</v>
      </c>
      <c r="B61" s="8">
        <v>370</v>
      </c>
      <c r="E61" s="9">
        <v>320.613</v>
      </c>
      <c r="F61" s="9">
        <v>688.61400000000003</v>
      </c>
      <c r="G61" s="9">
        <v>1574.7950000000001</v>
      </c>
      <c r="H61" s="9">
        <v>6358.19</v>
      </c>
    </row>
    <row r="62" spans="1:8" x14ac:dyDescent="0.25">
      <c r="A62" s="14">
        <v>2005</v>
      </c>
      <c r="B62" s="8">
        <v>371.43020500000006</v>
      </c>
      <c r="E62" s="9">
        <v>459.02699999999999</v>
      </c>
      <c r="F62" s="9">
        <v>996.48199999999997</v>
      </c>
      <c r="G62" s="9">
        <v>1585.972</v>
      </c>
      <c r="H62" s="9">
        <v>7072.6540000000005</v>
      </c>
    </row>
    <row r="63" spans="1:8" x14ac:dyDescent="0.25">
      <c r="A63" s="14">
        <v>2006</v>
      </c>
      <c r="B63" s="8">
        <f>0.32*1151.222</f>
        <v>368.39103999999998</v>
      </c>
      <c r="E63" s="9">
        <v>497.476</v>
      </c>
      <c r="F63" s="9">
        <v>1451.921</v>
      </c>
      <c r="G63" s="9">
        <v>1912.742</v>
      </c>
      <c r="H63" s="9">
        <v>10086.553</v>
      </c>
    </row>
    <row r="64" spans="1:8" x14ac:dyDescent="0.25">
      <c r="A64" s="14">
        <v>2007</v>
      </c>
      <c r="B64" s="8">
        <f>0.28*1154.847</f>
        <v>323.35716000000002</v>
      </c>
      <c r="E64" s="9">
        <v>459.43</v>
      </c>
      <c r="F64" s="9">
        <v>2011.7090000000001</v>
      </c>
      <c r="G64" s="9">
        <v>2279.8539999999998</v>
      </c>
      <c r="H64" s="9">
        <v>11111.138000000001</v>
      </c>
    </row>
    <row r="65" spans="1:70" x14ac:dyDescent="0.25">
      <c r="A65" s="14">
        <v>2008</v>
      </c>
      <c r="B65" s="8">
        <f>0.36*992.96</f>
        <v>357.46559999999999</v>
      </c>
      <c r="E65" s="9">
        <v>482.06700000000001</v>
      </c>
      <c r="F65" s="9">
        <v>2247.4259999999999</v>
      </c>
      <c r="G65" s="9">
        <v>1850.7639999999999</v>
      </c>
      <c r="H65" s="9">
        <v>11390.635</v>
      </c>
    </row>
    <row r="66" spans="1:70" x14ac:dyDescent="0.25">
      <c r="A66" s="14">
        <v>2009</v>
      </c>
      <c r="B66" s="8">
        <v>290.88218999999998</v>
      </c>
      <c r="E66" s="9">
        <v>415.94900000000001</v>
      </c>
      <c r="F66" s="9">
        <v>2851.9110000000001</v>
      </c>
      <c r="G66" s="9">
        <v>1634.904</v>
      </c>
      <c r="H66" s="9">
        <v>10575.946</v>
      </c>
    </row>
    <row r="67" spans="1:70" x14ac:dyDescent="0.25">
      <c r="A67" s="14">
        <v>2010</v>
      </c>
      <c r="B67" s="8">
        <v>302.57254499999993</v>
      </c>
      <c r="E67" s="9">
        <v>492.572</v>
      </c>
      <c r="F67" s="9">
        <v>3346.4029999999998</v>
      </c>
      <c r="G67" s="9">
        <v>1666.403</v>
      </c>
      <c r="H67" s="9">
        <v>9127.5490000000009</v>
      </c>
    </row>
    <row r="68" spans="1:70" x14ac:dyDescent="0.25">
      <c r="A68" s="14">
        <v>2011</v>
      </c>
      <c r="B68" s="8">
        <v>362.22924499999993</v>
      </c>
      <c r="E68" s="9">
        <v>405.72899999999998</v>
      </c>
      <c r="F68" s="9">
        <v>3783.5909999999999</v>
      </c>
      <c r="G68" s="9">
        <v>1713.635</v>
      </c>
      <c r="H68" s="9">
        <v>14093.241</v>
      </c>
    </row>
    <row r="69" spans="1:70" x14ac:dyDescent="0.25">
      <c r="A69" s="14">
        <v>2012</v>
      </c>
      <c r="B69" s="8">
        <v>297.21083499999997</v>
      </c>
      <c r="E69" s="9">
        <v>429.05399999999997</v>
      </c>
      <c r="F69" s="9">
        <v>2384.326</v>
      </c>
      <c r="G69" s="9">
        <v>2062.5659999999998</v>
      </c>
      <c r="H69" s="9">
        <v>10293.34</v>
      </c>
    </row>
    <row r="70" spans="1:70" x14ac:dyDescent="0.25">
      <c r="A70" s="14">
        <v>2013</v>
      </c>
      <c r="B70" s="8">
        <v>296.03326999999996</v>
      </c>
      <c r="E70" s="9">
        <v>462.90199999999999</v>
      </c>
      <c r="F70" s="9">
        <v>2389.482</v>
      </c>
      <c r="G70" s="9">
        <v>1346.424</v>
      </c>
      <c r="H70" s="9">
        <v>8659.35</v>
      </c>
    </row>
    <row r="71" spans="1:70" x14ac:dyDescent="0.25">
      <c r="A71" s="14">
        <v>2014</v>
      </c>
      <c r="B71" s="8">
        <v>283.83809999999994</v>
      </c>
      <c r="E71" s="9">
        <v>498.60500000000002</v>
      </c>
      <c r="F71" s="9">
        <v>3164.163</v>
      </c>
      <c r="G71" s="9">
        <v>1557.3989999999999</v>
      </c>
      <c r="H71" s="9">
        <v>7399.1779999999999</v>
      </c>
    </row>
    <row r="72" spans="1:70" x14ac:dyDescent="0.25">
      <c r="A72" s="14">
        <v>2015</v>
      </c>
      <c r="B72" s="8">
        <v>291.22283499999998</v>
      </c>
      <c r="E72" s="9">
        <v>476.73</v>
      </c>
      <c r="F72" s="9">
        <v>3996.3409999999999</v>
      </c>
      <c r="G72" s="9">
        <v>1356.471</v>
      </c>
      <c r="H72" s="9">
        <v>6387.3689999999997</v>
      </c>
    </row>
    <row r="73" spans="1:70" x14ac:dyDescent="0.25">
      <c r="A73" s="14">
        <v>2016</v>
      </c>
      <c r="B73" s="8">
        <v>300.83696999999989</v>
      </c>
      <c r="E73" s="9">
        <v>507.42700000000002</v>
      </c>
      <c r="F73" s="9">
        <v>3935.7730000000001</v>
      </c>
      <c r="G73" s="9">
        <v>1874.9659999999999</v>
      </c>
      <c r="H73" s="9">
        <v>6282.6149999999998</v>
      </c>
    </row>
    <row r="74" spans="1:70" x14ac:dyDescent="0.25">
      <c r="A74" s="14">
        <v>2017</v>
      </c>
      <c r="B74" s="8">
        <v>333.30807000000004</v>
      </c>
      <c r="E74" s="9">
        <v>630.41999999999996</v>
      </c>
      <c r="F74" s="9">
        <v>4064.4549999999999</v>
      </c>
      <c r="G74" s="9">
        <v>1724.53</v>
      </c>
      <c r="H74" s="9">
        <v>6541.6959999999999</v>
      </c>
    </row>
    <row r="75" spans="1:70" x14ac:dyDescent="0.25">
      <c r="A75" s="14">
        <v>2018</v>
      </c>
      <c r="B75" s="8">
        <v>349.18344500000001</v>
      </c>
      <c r="E75" s="9">
        <v>651.88099999999997</v>
      </c>
      <c r="F75" s="9">
        <v>4240.027</v>
      </c>
      <c r="G75" s="9">
        <v>2437.5100000000002</v>
      </c>
      <c r="H75" s="9">
        <v>5952.5780000000004</v>
      </c>
    </row>
    <row r="76" spans="1:70" x14ac:dyDescent="0.25">
      <c r="A76" s="14">
        <v>2019</v>
      </c>
      <c r="B76" s="8">
        <v>451.41748000000001</v>
      </c>
      <c r="E76" s="9">
        <v>820.09100000000001</v>
      </c>
      <c r="F76" s="9">
        <v>4533.4740000000002</v>
      </c>
      <c r="G76" s="9">
        <v>1895.3720000000001</v>
      </c>
      <c r="H76" s="9">
        <v>6887.3760000000002</v>
      </c>
    </row>
    <row r="77" spans="1:70" x14ac:dyDescent="0.25">
      <c r="A77" s="14">
        <v>2020</v>
      </c>
    </row>
    <row r="78" spans="1:70" s="4" customFormat="1" x14ac:dyDescent="0.25">
      <c r="A78" s="13"/>
      <c r="B78" s="8"/>
      <c r="C78" s="8"/>
      <c r="D78" s="8"/>
      <c r="E78" s="8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</row>
    <row r="79" spans="1:70" s="4" customFormat="1" x14ac:dyDescent="0.25">
      <c r="A79" s="13"/>
      <c r="B79" s="8"/>
      <c r="C79" s="8"/>
      <c r="D79" s="8"/>
      <c r="E79" s="8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</row>
    <row r="80" spans="1:70" s="4" customFormat="1" x14ac:dyDescent="0.25">
      <c r="A80" s="13"/>
      <c r="B80" s="8"/>
      <c r="C80" s="8"/>
      <c r="D80" s="8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</row>
    <row r="87" spans="1:70" s="4" customFormat="1" x14ac:dyDescent="0.25">
      <c r="A87" s="13"/>
      <c r="B87" s="8"/>
      <c r="C87" s="8"/>
      <c r="D87" s="8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</row>
    <row r="88" spans="1:70" s="4" customFormat="1" x14ac:dyDescent="0.25">
      <c r="A88" s="13"/>
      <c r="B88" s="8"/>
      <c r="C88" s="8"/>
      <c r="D88" s="8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C249D-CB63-4815-A44D-2958DA1F3320}">
  <dimension ref="A1:BS88"/>
  <sheetViews>
    <sheetView topLeftCell="A10" zoomScale="61" zoomScaleNormal="100" workbookViewId="0">
      <selection activeCell="D11" sqref="D11"/>
    </sheetView>
  </sheetViews>
  <sheetFormatPr defaultColWidth="10.7109375" defaultRowHeight="15" x14ac:dyDescent="0.25"/>
  <cols>
    <col min="1" max="1" width="9.42578125" style="13" customWidth="1"/>
    <col min="2" max="2" width="17.85546875" style="8" bestFit="1" customWidth="1"/>
    <col min="3" max="3" width="24.28515625" style="8" bestFit="1" customWidth="1"/>
    <col min="4" max="4" width="27.28515625" style="6" bestFit="1" customWidth="1"/>
    <col min="5" max="16384" width="10.7109375" style="6"/>
  </cols>
  <sheetData>
    <row r="1" spans="1:9" s="18" customFormat="1" ht="30" x14ac:dyDescent="0.25">
      <c r="A1" s="20" t="s">
        <v>0</v>
      </c>
      <c r="B1" s="5" t="s">
        <v>12</v>
      </c>
      <c r="C1" s="5" t="s">
        <v>31</v>
      </c>
      <c r="D1" s="5" t="s">
        <v>32</v>
      </c>
      <c r="E1" s="6"/>
      <c r="F1" s="6"/>
      <c r="G1" s="6"/>
      <c r="H1" s="6"/>
      <c r="I1" s="6"/>
    </row>
    <row r="2" spans="1:9" x14ac:dyDescent="0.25">
      <c r="A2" s="14">
        <v>1945</v>
      </c>
    </row>
    <row r="3" spans="1:9" x14ac:dyDescent="0.25">
      <c r="A3" s="14">
        <v>1946</v>
      </c>
      <c r="B3" s="9">
        <v>6600</v>
      </c>
    </row>
    <row r="4" spans="1:9" x14ac:dyDescent="0.25">
      <c r="A4" s="14">
        <v>1947</v>
      </c>
      <c r="B4" s="9">
        <v>6700</v>
      </c>
    </row>
    <row r="5" spans="1:9" x14ac:dyDescent="0.25">
      <c r="A5" s="14">
        <v>1948</v>
      </c>
      <c r="B5" s="9">
        <v>6800</v>
      </c>
    </row>
    <row r="6" spans="1:9" x14ac:dyDescent="0.25">
      <c r="A6" s="14">
        <v>1949</v>
      </c>
      <c r="B6" s="9">
        <v>5600</v>
      </c>
    </row>
    <row r="7" spans="1:9" x14ac:dyDescent="0.25">
      <c r="A7" s="14">
        <v>1950</v>
      </c>
      <c r="B7" s="9">
        <v>5500</v>
      </c>
    </row>
    <row r="8" spans="1:9" x14ac:dyDescent="0.25">
      <c r="A8" s="14">
        <v>1951</v>
      </c>
      <c r="B8" s="9">
        <v>6200</v>
      </c>
    </row>
    <row r="9" spans="1:9" x14ac:dyDescent="0.25">
      <c r="A9" s="14">
        <v>1952</v>
      </c>
      <c r="B9" s="9">
        <v>5500</v>
      </c>
    </row>
    <row r="10" spans="1:9" x14ac:dyDescent="0.25">
      <c r="A10" s="14">
        <v>1953</v>
      </c>
      <c r="B10" s="8">
        <v>6542</v>
      </c>
    </row>
    <row r="11" spans="1:9" x14ac:dyDescent="0.25">
      <c r="A11" s="14">
        <v>1954</v>
      </c>
      <c r="B11" s="8">
        <v>6858</v>
      </c>
    </row>
    <row r="12" spans="1:9" x14ac:dyDescent="0.25">
      <c r="A12" s="14">
        <v>1955</v>
      </c>
      <c r="B12" s="8">
        <v>7575</v>
      </c>
    </row>
    <row r="13" spans="1:9" x14ac:dyDescent="0.25">
      <c r="A13" s="14">
        <v>1956</v>
      </c>
      <c r="B13" s="8">
        <v>8232</v>
      </c>
    </row>
    <row r="14" spans="1:9" x14ac:dyDescent="0.25">
      <c r="A14" s="14">
        <v>1957</v>
      </c>
      <c r="B14" s="8">
        <v>8705</v>
      </c>
    </row>
    <row r="15" spans="1:9" x14ac:dyDescent="0.25">
      <c r="A15" s="14">
        <v>1958</v>
      </c>
      <c r="B15" s="8">
        <v>9314</v>
      </c>
    </row>
    <row r="16" spans="1:9" x14ac:dyDescent="0.25">
      <c r="A16" s="14">
        <v>1959</v>
      </c>
      <c r="B16" s="8">
        <v>10086</v>
      </c>
    </row>
    <row r="17" spans="1:2" x14ac:dyDescent="0.25">
      <c r="A17" s="14">
        <v>1960</v>
      </c>
      <c r="B17" s="8">
        <v>10572</v>
      </c>
    </row>
    <row r="18" spans="1:2" x14ac:dyDescent="0.25">
      <c r="A18" s="14">
        <v>1961</v>
      </c>
      <c r="B18" s="8">
        <v>10817</v>
      </c>
    </row>
    <row r="19" spans="1:2" x14ac:dyDescent="0.25">
      <c r="A19" s="14">
        <v>1962</v>
      </c>
      <c r="B19" s="8">
        <v>11402</v>
      </c>
    </row>
    <row r="20" spans="1:2" x14ac:dyDescent="0.25">
      <c r="A20" s="14">
        <v>1963</v>
      </c>
      <c r="B20" s="8">
        <v>11705</v>
      </c>
    </row>
    <row r="21" spans="1:2" x14ac:dyDescent="0.25">
      <c r="A21" s="14">
        <v>1964</v>
      </c>
      <c r="B21" s="8">
        <v>11883</v>
      </c>
    </row>
    <row r="22" spans="1:2" x14ac:dyDescent="0.25">
      <c r="A22" s="14">
        <v>1965</v>
      </c>
      <c r="B22" s="8">
        <v>12288</v>
      </c>
    </row>
    <row r="23" spans="1:2" x14ac:dyDescent="0.25">
      <c r="A23" s="14">
        <v>1966</v>
      </c>
      <c r="B23" s="8">
        <v>12214</v>
      </c>
    </row>
    <row r="24" spans="1:2" x14ac:dyDescent="0.25">
      <c r="A24" s="14">
        <v>1967</v>
      </c>
    </row>
    <row r="25" spans="1:2" x14ac:dyDescent="0.25">
      <c r="A25" s="14">
        <v>1968</v>
      </c>
    </row>
    <row r="26" spans="1:2" x14ac:dyDescent="0.25">
      <c r="A26" s="14">
        <v>1969</v>
      </c>
      <c r="B26" s="8">
        <v>12785</v>
      </c>
    </row>
    <row r="27" spans="1:2" x14ac:dyDescent="0.25">
      <c r="A27" s="14">
        <v>1970</v>
      </c>
      <c r="B27" s="8">
        <v>13401</v>
      </c>
    </row>
    <row r="28" spans="1:2" x14ac:dyDescent="0.25">
      <c r="A28" s="14">
        <v>1971</v>
      </c>
      <c r="B28" s="8">
        <v>14282</v>
      </c>
    </row>
    <row r="29" spans="1:2" x14ac:dyDescent="0.25">
      <c r="A29" s="14">
        <v>1972</v>
      </c>
      <c r="B29" s="8">
        <v>15109</v>
      </c>
    </row>
    <row r="30" spans="1:2" x14ac:dyDescent="0.25">
      <c r="A30" s="14">
        <v>1973</v>
      </c>
      <c r="B30" s="8">
        <v>14989</v>
      </c>
    </row>
    <row r="31" spans="1:2" x14ac:dyDescent="0.25">
      <c r="A31" s="14">
        <v>1974</v>
      </c>
    </row>
    <row r="32" spans="1:2" x14ac:dyDescent="0.25">
      <c r="A32" s="14">
        <v>1975</v>
      </c>
    </row>
    <row r="33" spans="1:2" x14ac:dyDescent="0.25">
      <c r="A33" s="14">
        <v>1976</v>
      </c>
    </row>
    <row r="34" spans="1:2" x14ac:dyDescent="0.25">
      <c r="A34" s="14">
        <v>1977</v>
      </c>
    </row>
    <row r="35" spans="1:2" x14ac:dyDescent="0.25">
      <c r="A35" s="14">
        <v>1978</v>
      </c>
    </row>
    <row r="36" spans="1:2" x14ac:dyDescent="0.25">
      <c r="A36" s="14">
        <v>1979</v>
      </c>
    </row>
    <row r="37" spans="1:2" x14ac:dyDescent="0.25">
      <c r="A37" s="14">
        <v>1980</v>
      </c>
    </row>
    <row r="38" spans="1:2" x14ac:dyDescent="0.25">
      <c r="A38" s="14">
        <v>1981</v>
      </c>
    </row>
    <row r="39" spans="1:2" x14ac:dyDescent="0.25">
      <c r="A39" s="14">
        <v>1982</v>
      </c>
    </row>
    <row r="40" spans="1:2" x14ac:dyDescent="0.25">
      <c r="A40" s="14">
        <v>1983</v>
      </c>
    </row>
    <row r="41" spans="1:2" x14ac:dyDescent="0.25">
      <c r="A41" s="14">
        <v>1984</v>
      </c>
      <c r="B41" s="8">
        <v>14550</v>
      </c>
    </row>
    <row r="42" spans="1:2" x14ac:dyDescent="0.25">
      <c r="A42" s="14">
        <v>1985</v>
      </c>
    </row>
    <row r="43" spans="1:2" x14ac:dyDescent="0.25">
      <c r="A43" s="14">
        <v>1986</v>
      </c>
    </row>
    <row r="44" spans="1:2" x14ac:dyDescent="0.25">
      <c r="A44" s="14">
        <v>1987</v>
      </c>
    </row>
    <row r="45" spans="1:2" x14ac:dyDescent="0.25">
      <c r="A45" s="14">
        <v>1988</v>
      </c>
      <c r="B45" s="8">
        <v>12225</v>
      </c>
    </row>
    <row r="46" spans="1:2" x14ac:dyDescent="0.25">
      <c r="A46" s="14">
        <v>1989</v>
      </c>
    </row>
    <row r="47" spans="1:2" x14ac:dyDescent="0.25">
      <c r="A47" s="14">
        <v>1990</v>
      </c>
    </row>
    <row r="48" spans="1:2" x14ac:dyDescent="0.25">
      <c r="A48" s="14">
        <v>1991</v>
      </c>
    </row>
    <row r="49" spans="1:4" x14ac:dyDescent="0.25">
      <c r="A49" s="14">
        <v>1992</v>
      </c>
    </row>
    <row r="50" spans="1:4" x14ac:dyDescent="0.25">
      <c r="A50" s="14">
        <v>1993</v>
      </c>
    </row>
    <row r="51" spans="1:4" x14ac:dyDescent="0.25">
      <c r="A51" s="14">
        <v>1994</v>
      </c>
    </row>
    <row r="52" spans="1:4" x14ac:dyDescent="0.25">
      <c r="A52" s="14">
        <v>1995</v>
      </c>
      <c r="C52" s="8">
        <v>2334</v>
      </c>
      <c r="D52" s="8">
        <v>8866</v>
      </c>
    </row>
    <row r="53" spans="1:4" x14ac:dyDescent="0.25">
      <c r="A53" s="14">
        <v>1996</v>
      </c>
      <c r="C53" s="8">
        <v>4454</v>
      </c>
    </row>
    <row r="54" spans="1:4" x14ac:dyDescent="0.25">
      <c r="A54" s="14">
        <v>1997</v>
      </c>
    </row>
    <row r="55" spans="1:4" x14ac:dyDescent="0.25">
      <c r="A55" s="14">
        <v>1998</v>
      </c>
    </row>
    <row r="56" spans="1:4" x14ac:dyDescent="0.25">
      <c r="A56" s="14">
        <v>1999</v>
      </c>
    </row>
    <row r="57" spans="1:4" x14ac:dyDescent="0.25">
      <c r="A57" s="14">
        <v>2000</v>
      </c>
      <c r="C57" s="8">
        <v>2971</v>
      </c>
      <c r="D57" s="8">
        <v>10222</v>
      </c>
    </row>
    <row r="58" spans="1:4" x14ac:dyDescent="0.25">
      <c r="A58" s="14">
        <v>2001</v>
      </c>
      <c r="C58" s="8">
        <v>2902</v>
      </c>
      <c r="D58" s="8">
        <v>10006</v>
      </c>
    </row>
    <row r="59" spans="1:4" x14ac:dyDescent="0.25">
      <c r="A59" s="14">
        <v>2002</v>
      </c>
    </row>
    <row r="60" spans="1:4" x14ac:dyDescent="0.25">
      <c r="A60" s="14">
        <v>2003</v>
      </c>
    </row>
    <row r="61" spans="1:4" x14ac:dyDescent="0.25">
      <c r="A61" s="14">
        <v>2004</v>
      </c>
    </row>
    <row r="62" spans="1:4" x14ac:dyDescent="0.25">
      <c r="A62" s="14">
        <v>2005</v>
      </c>
      <c r="C62" s="8">
        <v>2996</v>
      </c>
    </row>
    <row r="63" spans="1:4" x14ac:dyDescent="0.25">
      <c r="A63" s="14">
        <v>2006</v>
      </c>
    </row>
    <row r="64" spans="1:4" x14ac:dyDescent="0.25">
      <c r="A64" s="14">
        <v>2007</v>
      </c>
      <c r="C64" s="8">
        <v>2792</v>
      </c>
      <c r="D64" s="8">
        <v>9526</v>
      </c>
    </row>
    <row r="65" spans="1:71" x14ac:dyDescent="0.25">
      <c r="A65" s="14">
        <v>2008</v>
      </c>
      <c r="C65" s="8">
        <v>3258</v>
      </c>
    </row>
    <row r="66" spans="1:71" x14ac:dyDescent="0.25">
      <c r="A66" s="14">
        <v>2009</v>
      </c>
    </row>
    <row r="67" spans="1:71" x14ac:dyDescent="0.25">
      <c r="A67" s="14">
        <v>2010</v>
      </c>
    </row>
    <row r="68" spans="1:71" x14ac:dyDescent="0.25">
      <c r="A68" s="14">
        <v>2011</v>
      </c>
    </row>
    <row r="69" spans="1:71" x14ac:dyDescent="0.25">
      <c r="A69" s="14">
        <v>2012</v>
      </c>
    </row>
    <row r="70" spans="1:71" x14ac:dyDescent="0.25">
      <c r="A70" s="14">
        <v>2013</v>
      </c>
      <c r="C70" s="8">
        <v>2890</v>
      </c>
    </row>
    <row r="71" spans="1:71" x14ac:dyDescent="0.25">
      <c r="A71" s="14">
        <v>2014</v>
      </c>
    </row>
    <row r="72" spans="1:71" x14ac:dyDescent="0.25">
      <c r="A72" s="14">
        <v>2015</v>
      </c>
    </row>
    <row r="73" spans="1:71" x14ac:dyDescent="0.25">
      <c r="A73" s="14">
        <v>2016</v>
      </c>
    </row>
    <row r="74" spans="1:71" x14ac:dyDescent="0.25">
      <c r="A74" s="14">
        <v>2017</v>
      </c>
    </row>
    <row r="75" spans="1:71" x14ac:dyDescent="0.25">
      <c r="A75" s="14">
        <v>2018</v>
      </c>
    </row>
    <row r="76" spans="1:71" x14ac:dyDescent="0.25">
      <c r="A76" s="14">
        <v>2019</v>
      </c>
    </row>
    <row r="77" spans="1:71" x14ac:dyDescent="0.25">
      <c r="A77" s="14">
        <v>2020</v>
      </c>
    </row>
    <row r="78" spans="1:71" s="4" customFormat="1" x14ac:dyDescent="0.25">
      <c r="A78" s="13"/>
      <c r="B78" s="8"/>
      <c r="C78" s="8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</row>
    <row r="79" spans="1:71" s="4" customFormat="1" x14ac:dyDescent="0.25">
      <c r="A79" s="13"/>
      <c r="B79" s="8"/>
      <c r="C79" s="8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</row>
    <row r="80" spans="1:71" s="4" customFormat="1" x14ac:dyDescent="0.25">
      <c r="A80" s="13"/>
      <c r="B80" s="8"/>
      <c r="C80" s="8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</row>
    <row r="87" spans="1:71" s="4" customFormat="1" x14ac:dyDescent="0.25">
      <c r="A87" s="13"/>
      <c r="B87" s="8"/>
      <c r="C87" s="8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</row>
    <row r="88" spans="1:71" s="4" customFormat="1" x14ac:dyDescent="0.25">
      <c r="A88" s="13"/>
      <c r="B88" s="8"/>
      <c r="C88" s="8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D97B3-9416-45F1-8919-6CB0D3F82407}">
  <dimension ref="A1:BX88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ColWidth="10.7109375" defaultRowHeight="15" x14ac:dyDescent="0.25"/>
  <cols>
    <col min="1" max="1" width="8" style="49" bestFit="1" customWidth="1"/>
    <col min="2" max="9" width="15.140625" style="46" customWidth="1"/>
    <col min="10" max="10" width="2.140625" style="56" customWidth="1"/>
    <col min="11" max="14" width="15.140625" style="46" customWidth="1"/>
    <col min="15" max="16384" width="10.7109375" style="46"/>
  </cols>
  <sheetData>
    <row r="1" spans="1:15" s="59" customFormat="1" ht="45" x14ac:dyDescent="0.25">
      <c r="A1" s="58" t="s">
        <v>0</v>
      </c>
      <c r="B1" s="44" t="s">
        <v>16</v>
      </c>
      <c r="C1" s="44" t="s">
        <v>17</v>
      </c>
      <c r="D1" s="44" t="s">
        <v>18</v>
      </c>
      <c r="E1" s="44" t="s">
        <v>13</v>
      </c>
      <c r="F1" s="44" t="s">
        <v>46</v>
      </c>
      <c r="G1" s="44" t="s">
        <v>14</v>
      </c>
      <c r="H1" s="44" t="s">
        <v>15</v>
      </c>
      <c r="I1" s="44" t="s">
        <v>19</v>
      </c>
      <c r="J1" s="51"/>
      <c r="K1" s="44" t="s">
        <v>33</v>
      </c>
      <c r="L1" s="44" t="s">
        <v>59</v>
      </c>
      <c r="M1" s="44" t="s">
        <v>60</v>
      </c>
      <c r="N1" s="44" t="s">
        <v>61</v>
      </c>
      <c r="O1" s="59" t="s">
        <v>58</v>
      </c>
    </row>
    <row r="2" spans="1:15" x14ac:dyDescent="0.25">
      <c r="A2" s="21">
        <v>1945</v>
      </c>
      <c r="B2" s="47">
        <v>0.22</v>
      </c>
      <c r="C2" s="47">
        <v>0.19</v>
      </c>
      <c r="D2" s="47">
        <v>0.61</v>
      </c>
      <c r="E2" s="47">
        <v>0.19</v>
      </c>
      <c r="F2" s="47">
        <v>0.03</v>
      </c>
      <c r="G2" s="47">
        <v>0.08</v>
      </c>
      <c r="H2" s="47">
        <v>0.12</v>
      </c>
      <c r="I2" s="47">
        <v>0.02</v>
      </c>
      <c r="J2" s="52"/>
      <c r="K2" s="47"/>
      <c r="L2" s="47"/>
      <c r="M2" s="47"/>
    </row>
    <row r="3" spans="1:15" x14ac:dyDescent="0.25">
      <c r="A3" s="21">
        <v>1946</v>
      </c>
      <c r="B3" s="47"/>
      <c r="C3" s="47"/>
      <c r="D3" s="47"/>
      <c r="E3" s="47"/>
      <c r="F3" s="47"/>
      <c r="G3" s="47"/>
      <c r="H3" s="47"/>
      <c r="I3" s="47"/>
      <c r="J3" s="52"/>
      <c r="K3" s="47"/>
      <c r="L3" s="47"/>
      <c r="M3" s="47"/>
    </row>
    <row r="4" spans="1:15" x14ac:dyDescent="0.25">
      <c r="A4" s="21">
        <v>1947</v>
      </c>
      <c r="B4" s="47"/>
      <c r="C4" s="47"/>
      <c r="D4" s="47"/>
      <c r="E4" s="47"/>
      <c r="F4" s="47"/>
      <c r="G4" s="47"/>
      <c r="H4" s="47"/>
      <c r="I4" s="47"/>
      <c r="J4" s="52"/>
      <c r="K4" s="47">
        <v>0</v>
      </c>
      <c r="L4" s="71">
        <v>0.95761725891699634</v>
      </c>
      <c r="M4" s="71">
        <v>4.2382741083003661E-2</v>
      </c>
      <c r="N4" s="71">
        <v>0</v>
      </c>
      <c r="O4" s="71">
        <v>42</v>
      </c>
    </row>
    <row r="5" spans="1:15" x14ac:dyDescent="0.25">
      <c r="A5" s="21">
        <v>1948</v>
      </c>
      <c r="B5" s="47"/>
      <c r="C5" s="47"/>
      <c r="D5" s="47"/>
      <c r="E5" s="47"/>
      <c r="F5" s="47"/>
      <c r="G5" s="47"/>
      <c r="H5" s="47"/>
      <c r="I5" s="47"/>
      <c r="J5" s="53"/>
      <c r="K5" s="45"/>
      <c r="L5" s="45"/>
      <c r="M5" s="45"/>
    </row>
    <row r="6" spans="1:15" x14ac:dyDescent="0.25">
      <c r="A6" s="21">
        <v>1949</v>
      </c>
      <c r="B6" s="47"/>
      <c r="C6" s="47"/>
      <c r="D6" s="47"/>
      <c r="E6" s="47"/>
      <c r="F6" s="47"/>
      <c r="G6" s="47"/>
      <c r="H6" s="47"/>
      <c r="I6" s="47"/>
      <c r="J6" s="53"/>
      <c r="K6" s="45"/>
      <c r="L6" s="45"/>
      <c r="M6" s="45"/>
    </row>
    <row r="7" spans="1:15" x14ac:dyDescent="0.25">
      <c r="A7" s="21">
        <v>1950</v>
      </c>
      <c r="B7" s="47"/>
      <c r="C7" s="47"/>
      <c r="D7" s="47"/>
      <c r="E7" s="47"/>
      <c r="F7" s="47"/>
      <c r="G7" s="47"/>
      <c r="H7" s="47"/>
      <c r="I7" s="47"/>
      <c r="J7" s="53"/>
      <c r="K7" s="45"/>
      <c r="L7" s="45"/>
      <c r="M7" s="45"/>
    </row>
    <row r="8" spans="1:15" x14ac:dyDescent="0.25">
      <c r="A8" s="21">
        <v>1951</v>
      </c>
      <c r="B8" s="47"/>
      <c r="C8" s="47"/>
      <c r="D8" s="47"/>
      <c r="E8" s="47"/>
      <c r="F8" s="47"/>
      <c r="G8" s="47"/>
      <c r="H8" s="47"/>
      <c r="I8" s="47"/>
      <c r="J8" s="53"/>
      <c r="K8" s="45"/>
      <c r="L8" s="45"/>
      <c r="M8" s="45"/>
      <c r="N8" s="45"/>
    </row>
    <row r="9" spans="1:15" x14ac:dyDescent="0.25">
      <c r="A9" s="21">
        <v>1952</v>
      </c>
      <c r="B9" s="47"/>
      <c r="C9" s="47"/>
      <c r="D9" s="47"/>
      <c r="E9" s="47"/>
      <c r="F9" s="47"/>
      <c r="G9" s="47"/>
      <c r="H9" s="47"/>
      <c r="I9" s="47"/>
      <c r="J9" s="53"/>
      <c r="K9" s="45"/>
      <c r="L9" s="45"/>
      <c r="M9" s="45"/>
      <c r="N9" s="45"/>
    </row>
    <row r="10" spans="1:15" x14ac:dyDescent="0.25">
      <c r="A10" s="21">
        <v>1953</v>
      </c>
      <c r="B10" s="47"/>
      <c r="C10" s="47"/>
      <c r="D10" s="47"/>
      <c r="E10" s="47"/>
      <c r="F10" s="47"/>
      <c r="G10" s="47"/>
      <c r="H10" s="47"/>
      <c r="I10" s="47"/>
      <c r="J10" s="53"/>
      <c r="K10" s="45"/>
      <c r="L10" s="45"/>
      <c r="M10" s="45"/>
      <c r="N10" s="45"/>
    </row>
    <row r="11" spans="1:15" x14ac:dyDescent="0.25">
      <c r="A11" s="21">
        <v>1954</v>
      </c>
      <c r="B11" s="47"/>
      <c r="C11" s="47"/>
      <c r="D11" s="47"/>
      <c r="E11" s="47"/>
      <c r="F11" s="47"/>
      <c r="G11" s="47"/>
      <c r="H11" s="47"/>
      <c r="I11" s="47"/>
      <c r="J11" s="53"/>
      <c r="K11" s="45"/>
      <c r="L11" s="45"/>
      <c r="M11" s="45"/>
    </row>
    <row r="12" spans="1:15" x14ac:dyDescent="0.25">
      <c r="A12" s="21">
        <v>1955</v>
      </c>
      <c r="B12" s="47"/>
      <c r="C12" s="47"/>
      <c r="D12" s="47"/>
      <c r="E12" s="47"/>
      <c r="F12" s="47"/>
      <c r="G12" s="47"/>
      <c r="H12" s="47"/>
      <c r="I12" s="47"/>
      <c r="J12" s="53"/>
      <c r="K12" s="45"/>
      <c r="L12" s="71">
        <v>0.96</v>
      </c>
      <c r="M12" s="71">
        <v>0.04</v>
      </c>
      <c r="N12" s="71">
        <v>0</v>
      </c>
      <c r="O12" s="46">
        <v>35</v>
      </c>
    </row>
    <row r="13" spans="1:15" x14ac:dyDescent="0.25">
      <c r="A13" s="21">
        <v>1956</v>
      </c>
      <c r="B13" s="47"/>
      <c r="C13" s="47"/>
      <c r="D13" s="47"/>
      <c r="E13" s="47"/>
      <c r="F13" s="47"/>
      <c r="G13" s="47"/>
      <c r="H13" s="47"/>
      <c r="I13" s="47"/>
      <c r="J13" s="53"/>
      <c r="K13" s="45"/>
      <c r="L13" s="45"/>
      <c r="M13" s="45"/>
    </row>
    <row r="14" spans="1:15" x14ac:dyDescent="0.25">
      <c r="A14" s="21">
        <v>1957</v>
      </c>
      <c r="B14" s="47"/>
      <c r="C14" s="47"/>
      <c r="D14" s="47"/>
      <c r="E14" s="47"/>
      <c r="F14" s="47"/>
      <c r="G14" s="47"/>
      <c r="H14" s="47"/>
      <c r="I14" s="47"/>
      <c r="J14" s="53"/>
      <c r="K14" s="45"/>
      <c r="L14" s="45"/>
      <c r="M14" s="45"/>
    </row>
    <row r="15" spans="1:15" x14ac:dyDescent="0.25">
      <c r="A15" s="21">
        <v>1958</v>
      </c>
      <c r="B15" s="47"/>
      <c r="C15" s="47"/>
      <c r="D15" s="47"/>
      <c r="E15" s="47"/>
      <c r="F15" s="47"/>
      <c r="G15" s="47"/>
      <c r="H15" s="47"/>
      <c r="I15" s="47"/>
      <c r="J15" s="53"/>
      <c r="K15" s="45"/>
      <c r="L15" s="45"/>
      <c r="M15" s="45"/>
    </row>
    <row r="16" spans="1:15" x14ac:dyDescent="0.25">
      <c r="A16" s="21">
        <v>1959</v>
      </c>
      <c r="B16" s="47"/>
      <c r="C16" s="47"/>
      <c r="D16" s="47"/>
      <c r="E16" s="47"/>
      <c r="F16" s="47"/>
      <c r="G16" s="47"/>
      <c r="H16" s="47"/>
      <c r="I16" s="47"/>
      <c r="J16" s="53"/>
      <c r="K16" s="45"/>
      <c r="L16" s="45"/>
      <c r="M16" s="45"/>
    </row>
    <row r="17" spans="1:15" x14ac:dyDescent="0.25">
      <c r="A17" s="21">
        <v>1960</v>
      </c>
      <c r="B17" s="47"/>
      <c r="C17" s="47"/>
      <c r="D17" s="47"/>
      <c r="E17" s="47"/>
      <c r="F17" s="47"/>
      <c r="G17" s="47"/>
      <c r="H17" s="47"/>
      <c r="I17" s="47"/>
      <c r="J17" s="53"/>
      <c r="K17" s="45"/>
      <c r="L17" s="45"/>
      <c r="M17" s="45"/>
    </row>
    <row r="18" spans="1:15" x14ac:dyDescent="0.25">
      <c r="A18" s="21">
        <v>1961</v>
      </c>
      <c r="B18" s="47"/>
      <c r="C18" s="47"/>
      <c r="D18" s="47"/>
      <c r="E18" s="47"/>
      <c r="F18" s="47"/>
      <c r="G18" s="47"/>
      <c r="H18" s="47"/>
      <c r="I18" s="47"/>
      <c r="J18" s="53"/>
      <c r="K18" s="45"/>
      <c r="L18" s="45"/>
      <c r="M18" s="45"/>
    </row>
    <row r="19" spans="1:15" x14ac:dyDescent="0.25">
      <c r="A19" s="21">
        <v>1962</v>
      </c>
      <c r="B19" s="47"/>
      <c r="C19" s="47"/>
      <c r="D19" s="47"/>
      <c r="E19" s="47"/>
      <c r="F19" s="47"/>
      <c r="G19" s="47"/>
      <c r="H19" s="47"/>
      <c r="I19" s="47"/>
      <c r="J19" s="53"/>
      <c r="K19" s="45"/>
      <c r="L19" s="45"/>
      <c r="M19" s="45"/>
    </row>
    <row r="20" spans="1:15" x14ac:dyDescent="0.25">
      <c r="A20" s="21">
        <v>1963</v>
      </c>
      <c r="B20" s="47"/>
      <c r="C20" s="47"/>
      <c r="D20" s="47"/>
      <c r="E20" s="47"/>
      <c r="F20" s="47"/>
      <c r="G20" s="47"/>
      <c r="H20" s="47"/>
      <c r="I20" s="47"/>
      <c r="J20" s="53"/>
      <c r="K20" s="45"/>
      <c r="L20" s="45"/>
      <c r="M20" s="45"/>
    </row>
    <row r="21" spans="1:15" x14ac:dyDescent="0.25">
      <c r="A21" s="21">
        <v>1964</v>
      </c>
      <c r="B21" s="47"/>
      <c r="C21" s="47"/>
      <c r="D21" s="47"/>
      <c r="E21" s="47"/>
      <c r="F21" s="47"/>
      <c r="G21" s="47"/>
      <c r="H21" s="47"/>
      <c r="I21" s="47"/>
      <c r="J21" s="53"/>
      <c r="K21" s="45"/>
      <c r="L21" s="45"/>
      <c r="M21" s="45"/>
    </row>
    <row r="22" spans="1:15" x14ac:dyDescent="0.25">
      <c r="A22" s="21">
        <v>1965</v>
      </c>
      <c r="B22" s="47">
        <v>0.22</v>
      </c>
      <c r="C22" s="47">
        <v>0.19</v>
      </c>
      <c r="D22" s="47">
        <v>0.61</v>
      </c>
      <c r="E22" s="47">
        <v>0.19</v>
      </c>
      <c r="F22" s="47">
        <v>0.03</v>
      </c>
      <c r="G22" s="47">
        <v>0.08</v>
      </c>
      <c r="H22" s="47">
        <v>0.12</v>
      </c>
      <c r="I22" s="47">
        <v>0.02</v>
      </c>
      <c r="J22" s="53"/>
      <c r="K22" s="71"/>
      <c r="L22" s="71"/>
      <c r="M22" s="71"/>
      <c r="N22" s="71"/>
      <c r="O22" s="73"/>
    </row>
    <row r="23" spans="1:15" x14ac:dyDescent="0.25">
      <c r="A23" s="21">
        <v>1966</v>
      </c>
      <c r="B23" s="47"/>
      <c r="C23" s="47"/>
      <c r="D23" s="47"/>
      <c r="E23" s="47"/>
      <c r="F23" s="47"/>
      <c r="G23" s="47"/>
      <c r="H23" s="47"/>
      <c r="I23" s="47"/>
      <c r="J23" s="53"/>
      <c r="K23" s="71"/>
      <c r="L23" s="71"/>
      <c r="M23" s="71"/>
      <c r="N23" s="71"/>
      <c r="O23" s="73"/>
    </row>
    <row r="24" spans="1:15" x14ac:dyDescent="0.25">
      <c r="A24" s="21">
        <v>1967</v>
      </c>
      <c r="B24" s="47"/>
      <c r="C24" s="47"/>
      <c r="D24" s="47"/>
      <c r="E24" s="47"/>
      <c r="F24" s="47"/>
      <c r="G24" s="47"/>
      <c r="H24" s="47"/>
      <c r="I24" s="47"/>
      <c r="J24" s="53"/>
      <c r="K24" s="71"/>
      <c r="L24" s="71"/>
      <c r="M24" s="71"/>
      <c r="N24" s="71"/>
      <c r="O24" s="73"/>
    </row>
    <row r="25" spans="1:15" x14ac:dyDescent="0.25">
      <c r="A25" s="21">
        <v>1968</v>
      </c>
      <c r="B25" s="47"/>
      <c r="C25" s="47"/>
      <c r="D25" s="47"/>
      <c r="E25" s="47"/>
      <c r="F25" s="47"/>
      <c r="G25" s="47"/>
      <c r="H25" s="47"/>
      <c r="I25" s="47"/>
      <c r="J25" s="53"/>
      <c r="K25" s="71"/>
      <c r="L25" s="71"/>
      <c r="M25" s="71"/>
      <c r="N25" s="71"/>
      <c r="O25" s="73"/>
    </row>
    <row r="26" spans="1:15" x14ac:dyDescent="0.25">
      <c r="A26" s="21">
        <v>1969</v>
      </c>
      <c r="J26" s="53"/>
      <c r="K26" s="71"/>
      <c r="L26" s="71"/>
      <c r="M26" s="71"/>
      <c r="N26" s="71"/>
      <c r="O26" s="73"/>
    </row>
    <row r="27" spans="1:15" x14ac:dyDescent="0.25">
      <c r="A27" s="21">
        <v>1970</v>
      </c>
      <c r="J27" s="53"/>
      <c r="K27" s="71">
        <v>0</v>
      </c>
      <c r="L27" s="71">
        <v>0.78500000000000003</v>
      </c>
      <c r="M27" s="71">
        <v>7.0999999999999994E-2</v>
      </c>
      <c r="N27" s="71">
        <v>0.14399999999999999</v>
      </c>
      <c r="O27" s="73">
        <v>15.1</v>
      </c>
    </row>
    <row r="28" spans="1:15" x14ac:dyDescent="0.25">
      <c r="A28" s="21">
        <v>1971</v>
      </c>
      <c r="B28" s="47"/>
      <c r="C28" s="47"/>
      <c r="D28" s="47"/>
      <c r="E28" s="47"/>
      <c r="F28" s="47"/>
      <c r="G28" s="47"/>
      <c r="H28" s="47"/>
      <c r="I28" s="47"/>
      <c r="J28" s="53"/>
      <c r="K28" s="71"/>
      <c r="L28" s="72"/>
      <c r="M28" s="72"/>
      <c r="N28" s="71"/>
      <c r="O28" s="73"/>
    </row>
    <row r="29" spans="1:15" x14ac:dyDescent="0.25">
      <c r="A29" s="21">
        <v>1972</v>
      </c>
      <c r="B29" s="47"/>
      <c r="C29" s="47"/>
      <c r="D29" s="47"/>
      <c r="E29" s="47"/>
      <c r="F29" s="47"/>
      <c r="G29" s="47"/>
      <c r="H29" s="47"/>
      <c r="I29" s="47"/>
      <c r="J29" s="53"/>
      <c r="K29" s="71"/>
      <c r="L29" s="71"/>
      <c r="M29" s="71"/>
      <c r="N29" s="71"/>
      <c r="O29" s="73"/>
    </row>
    <row r="30" spans="1:15" x14ac:dyDescent="0.25">
      <c r="A30" s="21">
        <v>1973</v>
      </c>
      <c r="B30" s="47"/>
      <c r="C30" s="47"/>
      <c r="D30" s="47"/>
      <c r="E30" s="47"/>
      <c r="F30" s="47"/>
      <c r="G30" s="47"/>
      <c r="H30" s="47"/>
      <c r="I30" s="47"/>
      <c r="J30" s="53"/>
      <c r="K30" s="71"/>
      <c r="L30" s="71"/>
      <c r="M30" s="71"/>
      <c r="N30" s="71"/>
      <c r="O30" s="73"/>
    </row>
    <row r="31" spans="1:15" x14ac:dyDescent="0.25">
      <c r="A31" s="21">
        <v>1974</v>
      </c>
      <c r="J31" s="53"/>
      <c r="K31" s="71"/>
      <c r="L31" s="71"/>
      <c r="M31" s="71"/>
      <c r="N31" s="71"/>
      <c r="O31" s="73"/>
    </row>
    <row r="32" spans="1:15" x14ac:dyDescent="0.25">
      <c r="A32" s="21">
        <v>1975</v>
      </c>
      <c r="B32" s="47">
        <v>0.16</v>
      </c>
      <c r="C32" s="47">
        <v>0.21</v>
      </c>
      <c r="D32" s="47">
        <v>0.53</v>
      </c>
      <c r="E32" s="47">
        <v>0.16</v>
      </c>
      <c r="F32" s="47">
        <v>0.01</v>
      </c>
      <c r="G32" s="47">
        <v>0.06</v>
      </c>
      <c r="H32" s="47">
        <v>0.12</v>
      </c>
      <c r="I32" s="47">
        <v>0.04</v>
      </c>
      <c r="J32" s="53"/>
      <c r="K32" s="71"/>
      <c r="L32" s="71"/>
      <c r="M32" s="71"/>
      <c r="N32" s="71"/>
      <c r="O32" s="73"/>
    </row>
    <row r="33" spans="1:15" x14ac:dyDescent="0.25">
      <c r="A33" s="21">
        <v>1976</v>
      </c>
      <c r="B33" s="47"/>
      <c r="C33" s="47"/>
      <c r="D33" s="47"/>
      <c r="E33" s="47"/>
      <c r="F33" s="47"/>
      <c r="G33" s="47"/>
      <c r="H33" s="47"/>
      <c r="I33" s="47"/>
      <c r="J33" s="53"/>
      <c r="K33" s="71"/>
      <c r="L33" s="71"/>
      <c r="M33" s="71"/>
      <c r="N33" s="71"/>
      <c r="O33" s="73"/>
    </row>
    <row r="34" spans="1:15" x14ac:dyDescent="0.25">
      <c r="A34" s="21">
        <v>1977</v>
      </c>
      <c r="B34" s="47"/>
      <c r="C34" s="47"/>
      <c r="D34" s="47"/>
      <c r="E34" s="47"/>
      <c r="F34" s="47"/>
      <c r="G34" s="47"/>
      <c r="H34" s="47"/>
      <c r="I34" s="47"/>
      <c r="J34" s="53"/>
      <c r="K34" s="71"/>
      <c r="L34" s="71"/>
      <c r="M34" s="71"/>
      <c r="N34" s="71"/>
      <c r="O34" s="73"/>
    </row>
    <row r="35" spans="1:15" x14ac:dyDescent="0.25">
      <c r="A35" s="21">
        <v>1978</v>
      </c>
      <c r="B35" s="47"/>
      <c r="C35" s="47"/>
      <c r="D35" s="47"/>
      <c r="E35" s="47"/>
      <c r="F35" s="47"/>
      <c r="G35" s="47"/>
      <c r="H35" s="47"/>
      <c r="I35" s="47"/>
      <c r="J35" s="53"/>
      <c r="K35" s="71">
        <v>0</v>
      </c>
      <c r="L35" s="71">
        <v>0.50800000000000001</v>
      </c>
      <c r="M35" s="71">
        <v>9.7000000000000003E-2</v>
      </c>
      <c r="N35" s="71">
        <v>0.39400000000000002</v>
      </c>
      <c r="O35" s="73">
        <v>13</v>
      </c>
    </row>
    <row r="36" spans="1:15" x14ac:dyDescent="0.25">
      <c r="A36" s="21">
        <v>1979</v>
      </c>
      <c r="B36" s="47"/>
      <c r="C36" s="47"/>
      <c r="D36" s="47"/>
      <c r="E36" s="47"/>
      <c r="F36" s="47"/>
      <c r="G36" s="47"/>
      <c r="H36" s="47"/>
      <c r="I36" s="47"/>
      <c r="J36" s="53"/>
      <c r="K36" s="71"/>
      <c r="L36" s="71"/>
      <c r="M36" s="71"/>
      <c r="N36" s="71"/>
      <c r="O36" s="73"/>
    </row>
    <row r="37" spans="1:15" x14ac:dyDescent="0.25">
      <c r="A37" s="21">
        <v>1980</v>
      </c>
      <c r="B37" s="47"/>
      <c r="C37" s="47"/>
      <c r="D37" s="47"/>
      <c r="E37" s="47"/>
      <c r="F37" s="47"/>
      <c r="G37" s="47"/>
      <c r="H37" s="47"/>
      <c r="I37" s="47"/>
      <c r="J37" s="53"/>
      <c r="K37" s="71"/>
      <c r="L37" s="71"/>
      <c r="M37" s="71"/>
      <c r="N37" s="71"/>
      <c r="O37" s="73"/>
    </row>
    <row r="38" spans="1:15" x14ac:dyDescent="0.25">
      <c r="A38" s="21">
        <v>1981</v>
      </c>
      <c r="B38" s="47"/>
      <c r="C38" s="47"/>
      <c r="D38" s="47"/>
      <c r="E38" s="47"/>
      <c r="F38" s="47"/>
      <c r="G38" s="47"/>
      <c r="H38" s="47"/>
      <c r="I38" s="47"/>
      <c r="J38" s="53"/>
      <c r="K38" s="71">
        <v>0</v>
      </c>
      <c r="L38" s="71">
        <v>0.52100000000000002</v>
      </c>
      <c r="M38" s="71">
        <v>9.2999999999999999E-2</v>
      </c>
      <c r="N38" s="71">
        <v>0.38600000000000001</v>
      </c>
      <c r="O38" s="73">
        <v>12.3</v>
      </c>
    </row>
    <row r="39" spans="1:15" x14ac:dyDescent="0.25">
      <c r="A39" s="21">
        <v>1982</v>
      </c>
      <c r="B39" s="47"/>
      <c r="C39" s="47"/>
      <c r="D39" s="47"/>
      <c r="E39" s="47"/>
      <c r="F39" s="47"/>
      <c r="G39" s="47"/>
      <c r="H39" s="47"/>
      <c r="I39" s="47"/>
      <c r="J39" s="53"/>
      <c r="K39" s="71"/>
      <c r="L39" s="71"/>
      <c r="M39" s="71"/>
      <c r="N39" s="71"/>
      <c r="O39" s="73"/>
    </row>
    <row r="40" spans="1:15" x14ac:dyDescent="0.25">
      <c r="A40" s="21">
        <v>1983</v>
      </c>
      <c r="B40" s="47"/>
      <c r="C40" s="47"/>
      <c r="D40" s="47"/>
      <c r="E40" s="47"/>
      <c r="F40" s="47"/>
      <c r="G40" s="47"/>
      <c r="H40" s="47"/>
      <c r="I40" s="47"/>
      <c r="J40" s="53"/>
      <c r="K40" s="71"/>
      <c r="L40" s="71"/>
      <c r="M40" s="71"/>
      <c r="N40" s="71"/>
      <c r="O40" s="73"/>
    </row>
    <row r="41" spans="1:15" x14ac:dyDescent="0.25">
      <c r="A41" s="21">
        <v>1984</v>
      </c>
      <c r="B41" s="47"/>
      <c r="C41" s="47"/>
      <c r="D41" s="47"/>
      <c r="E41" s="47"/>
      <c r="F41" s="47"/>
      <c r="G41" s="47"/>
      <c r="H41" s="47"/>
      <c r="I41" s="47"/>
      <c r="J41" s="53"/>
      <c r="K41" s="71"/>
      <c r="L41" s="71"/>
      <c r="M41" s="71"/>
      <c r="N41" s="71"/>
      <c r="O41" s="73"/>
    </row>
    <row r="42" spans="1:15" x14ac:dyDescent="0.25">
      <c r="A42" s="21">
        <v>1985</v>
      </c>
      <c r="B42" s="78">
        <v>0.05</v>
      </c>
      <c r="C42" s="78">
        <v>0.31</v>
      </c>
      <c r="D42" s="78">
        <v>0.46</v>
      </c>
      <c r="E42" s="78">
        <v>0.14000000000000001</v>
      </c>
      <c r="F42" s="78">
        <v>0.01</v>
      </c>
      <c r="G42" s="78">
        <v>0.06</v>
      </c>
      <c r="H42" s="78">
        <v>0.11</v>
      </c>
      <c r="I42" s="78">
        <v>0.05</v>
      </c>
      <c r="J42" s="53"/>
      <c r="K42" s="71"/>
      <c r="L42" s="71"/>
      <c r="M42" s="71"/>
      <c r="N42" s="71"/>
      <c r="O42" s="73"/>
    </row>
    <row r="43" spans="1:15" x14ac:dyDescent="0.25">
      <c r="A43" s="21">
        <v>1986</v>
      </c>
      <c r="B43" s="47"/>
      <c r="C43" s="47"/>
      <c r="D43" s="47"/>
      <c r="E43" s="47"/>
      <c r="F43" s="47"/>
      <c r="G43" s="47"/>
      <c r="H43" s="47"/>
      <c r="I43" s="47"/>
      <c r="J43" s="53"/>
      <c r="K43" s="71"/>
      <c r="L43" s="71"/>
      <c r="M43" s="71"/>
      <c r="N43" s="71"/>
      <c r="O43" s="73"/>
    </row>
    <row r="44" spans="1:15" x14ac:dyDescent="0.25">
      <c r="A44" s="21">
        <v>1987</v>
      </c>
      <c r="J44" s="53"/>
      <c r="K44" s="71"/>
      <c r="L44" s="71"/>
      <c r="M44" s="71"/>
      <c r="N44" s="71"/>
      <c r="O44" s="73"/>
    </row>
    <row r="45" spans="1:15" x14ac:dyDescent="0.25">
      <c r="A45" s="21">
        <v>1988</v>
      </c>
      <c r="J45" s="53"/>
      <c r="K45" s="71"/>
      <c r="L45" s="71"/>
      <c r="M45" s="71"/>
      <c r="N45" s="71"/>
      <c r="O45" s="73"/>
    </row>
    <row r="46" spans="1:15" x14ac:dyDescent="0.25">
      <c r="A46" s="21">
        <v>1989</v>
      </c>
      <c r="B46" s="47"/>
      <c r="C46" s="47"/>
      <c r="D46" s="47"/>
      <c r="E46" s="47"/>
      <c r="F46" s="47"/>
      <c r="G46" s="47"/>
      <c r="H46" s="47"/>
      <c r="I46" s="47"/>
      <c r="J46" s="53"/>
      <c r="K46" s="71"/>
      <c r="L46" s="71"/>
      <c r="M46" s="71"/>
      <c r="N46" s="71"/>
      <c r="O46" s="73"/>
    </row>
    <row r="47" spans="1:15" x14ac:dyDescent="0.25">
      <c r="A47" s="21">
        <v>1990</v>
      </c>
      <c r="B47" s="47"/>
      <c r="C47" s="47"/>
      <c r="D47" s="47"/>
      <c r="E47" s="47"/>
      <c r="F47" s="47"/>
      <c r="G47" s="47"/>
      <c r="H47" s="47"/>
      <c r="I47" s="47"/>
      <c r="J47" s="53"/>
      <c r="K47" s="71"/>
      <c r="L47" s="71"/>
      <c r="M47" s="71"/>
      <c r="N47" s="71"/>
      <c r="O47" s="73"/>
    </row>
    <row r="48" spans="1:15" x14ac:dyDescent="0.25">
      <c r="A48" s="21">
        <v>1991</v>
      </c>
      <c r="B48" s="47"/>
      <c r="C48" s="47"/>
      <c r="D48" s="47"/>
      <c r="E48" s="47"/>
      <c r="F48" s="47"/>
      <c r="G48" s="47"/>
      <c r="H48" s="47"/>
      <c r="I48" s="47"/>
      <c r="J48" s="54"/>
      <c r="K48" s="71"/>
      <c r="L48" s="71"/>
      <c r="M48" s="71"/>
      <c r="N48" s="71"/>
      <c r="O48" s="73"/>
    </row>
    <row r="49" spans="1:15" x14ac:dyDescent="0.25">
      <c r="A49" s="21">
        <v>1992</v>
      </c>
      <c r="B49" s="47"/>
      <c r="C49" s="47"/>
      <c r="D49" s="47"/>
      <c r="E49" s="47"/>
      <c r="F49" s="47"/>
      <c r="G49" s="47"/>
      <c r="H49" s="47"/>
      <c r="I49" s="47"/>
      <c r="J49" s="52"/>
      <c r="K49" s="71"/>
      <c r="L49" s="71"/>
      <c r="M49" s="71"/>
      <c r="N49" s="71"/>
      <c r="O49" s="73"/>
    </row>
    <row r="50" spans="1:15" x14ac:dyDescent="0.25">
      <c r="A50" s="21">
        <v>1993</v>
      </c>
      <c r="B50" s="47"/>
      <c r="C50" s="47"/>
      <c r="D50" s="47"/>
      <c r="E50" s="47"/>
      <c r="F50" s="47"/>
      <c r="G50" s="47"/>
      <c r="H50" s="47"/>
      <c r="I50" s="47"/>
      <c r="J50" s="52"/>
      <c r="K50" s="71"/>
      <c r="L50" s="71"/>
      <c r="M50" s="71"/>
      <c r="N50" s="71"/>
      <c r="O50" s="73"/>
    </row>
    <row r="51" spans="1:15" x14ac:dyDescent="0.25">
      <c r="A51" s="21">
        <v>1994</v>
      </c>
      <c r="B51" s="47"/>
      <c r="C51" s="47"/>
      <c r="D51" s="47"/>
      <c r="E51" s="47"/>
      <c r="F51" s="47"/>
      <c r="G51" s="47"/>
      <c r="H51" s="47"/>
      <c r="I51" s="47"/>
      <c r="J51" s="52"/>
      <c r="K51" s="71"/>
      <c r="L51" s="71"/>
      <c r="M51" s="71"/>
      <c r="N51" s="71"/>
      <c r="O51" s="73"/>
    </row>
    <row r="52" spans="1:15" x14ac:dyDescent="0.25">
      <c r="A52" s="21">
        <v>1995</v>
      </c>
      <c r="B52" s="47"/>
      <c r="C52" s="47"/>
      <c r="D52" s="47"/>
      <c r="E52" s="47"/>
      <c r="F52" s="47"/>
      <c r="G52" s="47"/>
      <c r="H52" s="47"/>
      <c r="I52" s="47"/>
      <c r="J52" s="52"/>
      <c r="K52" s="71"/>
      <c r="L52" s="71"/>
      <c r="M52" s="71"/>
      <c r="N52" s="71"/>
      <c r="O52" s="73"/>
    </row>
    <row r="53" spans="1:15" x14ac:dyDescent="0.25">
      <c r="A53" s="21">
        <v>1996</v>
      </c>
      <c r="B53" s="47"/>
      <c r="C53" s="47"/>
      <c r="D53" s="47"/>
      <c r="E53" s="47"/>
      <c r="F53" s="47"/>
      <c r="G53" s="47"/>
      <c r="H53" s="47"/>
      <c r="I53" s="47"/>
      <c r="J53" s="52"/>
      <c r="K53" s="71"/>
      <c r="L53" s="71"/>
      <c r="M53" s="71"/>
      <c r="N53" s="71"/>
      <c r="O53" s="73"/>
    </row>
    <row r="54" spans="1:15" x14ac:dyDescent="0.25">
      <c r="A54" s="21">
        <v>1997</v>
      </c>
      <c r="B54" s="47"/>
      <c r="C54" s="47"/>
      <c r="D54" s="47"/>
      <c r="E54" s="47"/>
      <c r="F54" s="47"/>
      <c r="G54" s="47"/>
      <c r="H54" s="47"/>
      <c r="I54" s="47"/>
      <c r="J54" s="55"/>
      <c r="K54" s="71"/>
      <c r="L54" s="71"/>
      <c r="M54" s="71"/>
      <c r="N54" s="71"/>
      <c r="O54" s="73"/>
    </row>
    <row r="55" spans="1:15" x14ac:dyDescent="0.25">
      <c r="A55" s="21">
        <v>1998</v>
      </c>
      <c r="B55" s="47"/>
      <c r="C55" s="47"/>
      <c r="D55" s="47"/>
      <c r="E55" s="47"/>
      <c r="F55" s="47"/>
      <c r="G55" s="47"/>
      <c r="H55" s="47"/>
      <c r="I55" s="47"/>
      <c r="J55" s="55"/>
      <c r="K55" s="71"/>
      <c r="L55" s="71"/>
      <c r="M55" s="71"/>
      <c r="N55" s="71"/>
      <c r="O55" s="73"/>
    </row>
    <row r="56" spans="1:15" x14ac:dyDescent="0.25">
      <c r="A56" s="21">
        <v>1999</v>
      </c>
      <c r="B56" s="47"/>
      <c r="C56" s="47"/>
      <c r="D56" s="47"/>
      <c r="E56" s="47"/>
      <c r="F56" s="47"/>
      <c r="G56" s="47"/>
      <c r="H56" s="47"/>
      <c r="I56" s="47"/>
      <c r="J56" s="55"/>
      <c r="K56" s="71"/>
      <c r="L56" s="71"/>
      <c r="M56" s="71"/>
      <c r="N56" s="71"/>
      <c r="O56" s="73"/>
    </row>
    <row r="57" spans="1:15" x14ac:dyDescent="0.25">
      <c r="A57" s="21">
        <v>2000</v>
      </c>
      <c r="B57" s="47"/>
      <c r="C57" s="47"/>
      <c r="D57" s="47"/>
      <c r="E57" s="47"/>
      <c r="F57" s="47"/>
      <c r="G57" s="47"/>
      <c r="H57" s="47"/>
      <c r="I57" s="47"/>
      <c r="J57" s="55"/>
      <c r="K57" s="71"/>
      <c r="L57" s="71"/>
      <c r="M57" s="71"/>
      <c r="N57" s="71"/>
      <c r="O57" s="73"/>
    </row>
    <row r="58" spans="1:15" x14ac:dyDescent="0.25">
      <c r="A58" s="21">
        <v>2001</v>
      </c>
      <c r="B58" s="47"/>
      <c r="C58" s="47"/>
      <c r="D58" s="47"/>
      <c r="E58" s="47"/>
      <c r="F58" s="47"/>
      <c r="G58" s="47"/>
      <c r="H58" s="47"/>
      <c r="I58" s="47"/>
      <c r="J58" s="55"/>
      <c r="K58" s="71"/>
      <c r="L58" s="71"/>
      <c r="M58" s="71"/>
      <c r="N58" s="71"/>
      <c r="O58" s="73"/>
    </row>
    <row r="59" spans="1:15" x14ac:dyDescent="0.25">
      <c r="A59" s="21">
        <v>2002</v>
      </c>
      <c r="B59" s="47"/>
      <c r="C59" s="47"/>
      <c r="D59" s="47"/>
      <c r="E59" s="47"/>
      <c r="F59" s="47"/>
      <c r="G59" s="47"/>
      <c r="H59" s="47"/>
      <c r="I59" s="47"/>
      <c r="J59" s="55"/>
      <c r="K59" s="71"/>
      <c r="L59" s="71"/>
      <c r="M59" s="71"/>
      <c r="N59" s="71"/>
      <c r="O59" s="73"/>
    </row>
    <row r="60" spans="1:15" x14ac:dyDescent="0.25">
      <c r="A60" s="21">
        <v>2003</v>
      </c>
      <c r="B60" s="47"/>
      <c r="C60" s="47"/>
      <c r="D60" s="47"/>
      <c r="E60" s="47"/>
      <c r="F60" s="47"/>
      <c r="G60" s="47"/>
      <c r="H60" s="47"/>
      <c r="I60" s="47"/>
      <c r="J60" s="55"/>
      <c r="K60" s="71"/>
      <c r="L60" s="71"/>
      <c r="M60" s="71"/>
      <c r="N60" s="71"/>
      <c r="O60" s="73"/>
    </row>
    <row r="61" spans="1:15" x14ac:dyDescent="0.25">
      <c r="A61" s="21">
        <v>2004</v>
      </c>
      <c r="B61" s="47"/>
      <c r="C61" s="47"/>
      <c r="D61" s="47"/>
      <c r="E61" s="47"/>
      <c r="F61" s="47"/>
      <c r="G61" s="47"/>
      <c r="H61" s="47"/>
      <c r="I61" s="47"/>
      <c r="J61" s="55"/>
      <c r="K61" s="71"/>
      <c r="L61" s="71"/>
      <c r="M61" s="71"/>
      <c r="N61" s="71"/>
      <c r="O61" s="73"/>
    </row>
    <row r="62" spans="1:15" x14ac:dyDescent="0.25">
      <c r="A62" s="21">
        <v>2005</v>
      </c>
      <c r="B62" s="47"/>
      <c r="C62" s="47"/>
      <c r="D62" s="47"/>
      <c r="E62" s="47"/>
      <c r="F62" s="47"/>
      <c r="G62" s="47"/>
      <c r="H62" s="47"/>
      <c r="I62" s="47"/>
      <c r="J62" s="55"/>
      <c r="K62" s="71"/>
      <c r="L62" s="71"/>
      <c r="M62" s="71"/>
      <c r="N62" s="71"/>
      <c r="O62" s="73"/>
    </row>
    <row r="63" spans="1:15" x14ac:dyDescent="0.25">
      <c r="A63" s="21">
        <v>2006</v>
      </c>
      <c r="B63" s="47"/>
      <c r="C63" s="47"/>
      <c r="D63" s="47"/>
      <c r="E63" s="47"/>
      <c r="F63" s="47"/>
      <c r="G63" s="47"/>
      <c r="H63" s="47"/>
      <c r="I63" s="47"/>
      <c r="J63" s="55"/>
      <c r="K63" s="71"/>
      <c r="L63" s="71"/>
      <c r="M63" s="71"/>
      <c r="N63" s="71"/>
      <c r="O63" s="73"/>
    </row>
    <row r="64" spans="1:15" x14ac:dyDescent="0.25">
      <c r="A64" s="21">
        <v>2007</v>
      </c>
      <c r="B64" s="47"/>
      <c r="C64" s="47"/>
      <c r="D64" s="47"/>
      <c r="E64" s="47"/>
      <c r="F64" s="47"/>
      <c r="G64" s="47"/>
      <c r="H64" s="47"/>
      <c r="I64" s="47"/>
      <c r="J64" s="55"/>
      <c r="K64" s="71"/>
      <c r="L64" s="71"/>
      <c r="M64" s="71"/>
      <c r="N64" s="71"/>
      <c r="O64" s="73"/>
    </row>
    <row r="65" spans="1:76" x14ac:dyDescent="0.25">
      <c r="A65" s="21">
        <v>2008</v>
      </c>
      <c r="B65" s="47"/>
      <c r="C65" s="47"/>
      <c r="D65" s="47"/>
      <c r="E65" s="47"/>
      <c r="F65" s="47"/>
      <c r="G65" s="47"/>
      <c r="H65" s="47"/>
      <c r="I65" s="47"/>
      <c r="K65" s="71"/>
      <c r="L65" s="71"/>
      <c r="M65" s="71"/>
      <c r="N65" s="71"/>
      <c r="O65" s="73"/>
    </row>
    <row r="66" spans="1:76" x14ac:dyDescent="0.25">
      <c r="A66" s="21">
        <v>2009</v>
      </c>
      <c r="K66" s="71"/>
      <c r="L66" s="71"/>
      <c r="M66" s="71"/>
      <c r="N66" s="71"/>
      <c r="O66" s="73"/>
    </row>
    <row r="67" spans="1:76" x14ac:dyDescent="0.25">
      <c r="A67" s="21">
        <v>2010</v>
      </c>
      <c r="B67" s="47">
        <v>0.05</v>
      </c>
      <c r="C67" s="47">
        <v>0.04</v>
      </c>
      <c r="D67" s="47">
        <v>0.65</v>
      </c>
      <c r="E67" s="47">
        <v>0.2</v>
      </c>
      <c r="F67" s="47">
        <v>0.01</v>
      </c>
      <c r="G67" s="47">
        <v>0.04</v>
      </c>
      <c r="H67" s="47">
        <v>0.17</v>
      </c>
      <c r="I67" s="77">
        <v>4.3800000000000002E-3</v>
      </c>
      <c r="J67" s="52"/>
      <c r="K67" s="71"/>
      <c r="L67" s="71"/>
      <c r="M67" s="71"/>
      <c r="N67" s="71"/>
      <c r="O67" s="73"/>
    </row>
    <row r="68" spans="1:76" x14ac:dyDescent="0.25">
      <c r="A68" s="21">
        <v>2011</v>
      </c>
      <c r="J68" s="55"/>
      <c r="K68" s="71"/>
      <c r="L68" s="71">
        <f>2.1/O68</f>
        <v>0.23333333333333334</v>
      </c>
      <c r="M68" s="71">
        <f>0.8/O68</f>
        <v>8.8888888888888892E-2</v>
      </c>
      <c r="N68" s="71">
        <f>6.1/O68</f>
        <v>0.6777777777777777</v>
      </c>
      <c r="O68" s="73">
        <f>6.1+0.8+2.1</f>
        <v>9</v>
      </c>
    </row>
    <row r="69" spans="1:76" x14ac:dyDescent="0.25">
      <c r="A69" s="21">
        <v>2012</v>
      </c>
      <c r="B69" s="47"/>
      <c r="C69" s="47"/>
      <c r="D69" s="47"/>
      <c r="E69" s="47"/>
      <c r="F69" s="47"/>
      <c r="G69" s="47"/>
      <c r="H69" s="47"/>
      <c r="I69" s="47"/>
      <c r="J69" s="55"/>
      <c r="K69" s="71"/>
      <c r="L69" s="71"/>
      <c r="M69" s="71"/>
      <c r="N69" s="71"/>
      <c r="O69" s="73"/>
    </row>
    <row r="70" spans="1:76" x14ac:dyDescent="0.25">
      <c r="A70" s="21">
        <v>2013</v>
      </c>
      <c r="B70" s="47"/>
      <c r="C70" s="47"/>
      <c r="D70" s="47"/>
      <c r="E70" s="47"/>
      <c r="F70" s="47"/>
      <c r="G70" s="47"/>
      <c r="H70" s="47"/>
      <c r="I70" s="47"/>
      <c r="J70" s="55"/>
      <c r="K70" s="71"/>
      <c r="L70" s="71"/>
      <c r="M70" s="71"/>
      <c r="N70" s="71"/>
    </row>
    <row r="71" spans="1:76" x14ac:dyDescent="0.25">
      <c r="A71" s="21">
        <v>2014</v>
      </c>
      <c r="B71" s="47"/>
      <c r="C71" s="47"/>
      <c r="D71" s="47"/>
      <c r="E71" s="47"/>
      <c r="F71" s="47"/>
      <c r="G71" s="47"/>
      <c r="H71" s="47"/>
      <c r="I71" s="47"/>
      <c r="J71" s="55"/>
      <c r="K71" s="71"/>
      <c r="L71" s="71"/>
      <c r="M71" s="71"/>
      <c r="N71" s="71"/>
    </row>
    <row r="72" spans="1:76" x14ac:dyDescent="0.25">
      <c r="A72" s="21">
        <v>2015</v>
      </c>
      <c r="B72" s="47"/>
      <c r="C72" s="47"/>
      <c r="D72" s="47"/>
      <c r="E72" s="47"/>
      <c r="F72" s="47"/>
      <c r="G72" s="47"/>
      <c r="H72" s="47"/>
      <c r="I72" s="47"/>
      <c r="J72" s="55"/>
      <c r="K72" s="71"/>
      <c r="L72" s="71"/>
      <c r="M72" s="71"/>
      <c r="N72" s="71"/>
    </row>
    <row r="73" spans="1:76" x14ac:dyDescent="0.25">
      <c r="A73" s="21">
        <v>2016</v>
      </c>
      <c r="B73" s="47"/>
      <c r="C73" s="47"/>
      <c r="D73" s="47"/>
      <c r="E73" s="47"/>
      <c r="F73" s="47"/>
      <c r="G73" s="47"/>
      <c r="H73" s="47"/>
      <c r="I73" s="47"/>
      <c r="J73" s="55"/>
      <c r="K73" s="71"/>
      <c r="L73" s="71"/>
      <c r="M73" s="71"/>
      <c r="N73" s="71"/>
    </row>
    <row r="74" spans="1:76" x14ac:dyDescent="0.25">
      <c r="A74" s="21">
        <v>2017</v>
      </c>
      <c r="B74" s="47"/>
      <c r="C74" s="47"/>
      <c r="D74" s="47"/>
      <c r="E74" s="47"/>
      <c r="F74" s="47"/>
      <c r="G74" s="47"/>
      <c r="H74" s="47"/>
      <c r="I74" s="47"/>
      <c r="J74" s="55"/>
    </row>
    <row r="75" spans="1:76" x14ac:dyDescent="0.25">
      <c r="A75" s="21">
        <v>2018</v>
      </c>
      <c r="B75" s="47"/>
      <c r="C75" s="47"/>
      <c r="D75" s="47"/>
      <c r="E75" s="47"/>
      <c r="F75" s="47"/>
      <c r="G75" s="47"/>
      <c r="H75" s="47"/>
      <c r="I75" s="47"/>
      <c r="J75" s="55"/>
    </row>
    <row r="76" spans="1:76" x14ac:dyDescent="0.25">
      <c r="A76" s="21">
        <v>2019</v>
      </c>
      <c r="B76" s="47">
        <v>0.05</v>
      </c>
      <c r="C76" s="47">
        <v>0.04</v>
      </c>
      <c r="D76" s="47">
        <v>0.65</v>
      </c>
      <c r="E76" s="47">
        <v>0.2</v>
      </c>
      <c r="F76" s="47">
        <v>0.01</v>
      </c>
      <c r="G76" s="47">
        <v>0.04</v>
      </c>
      <c r="H76" s="47">
        <v>0.17</v>
      </c>
      <c r="I76" s="77">
        <v>4.3800000000000002E-3</v>
      </c>
      <c r="J76" s="55"/>
    </row>
    <row r="77" spans="1:76" x14ac:dyDescent="0.25">
      <c r="A77" s="21">
        <v>2020</v>
      </c>
      <c r="B77" s="47"/>
      <c r="C77" s="47"/>
      <c r="D77" s="47"/>
      <c r="E77" s="47"/>
      <c r="F77" s="47"/>
      <c r="G77" s="47"/>
      <c r="H77" s="47"/>
      <c r="I77" s="47"/>
      <c r="J77" s="55"/>
    </row>
    <row r="78" spans="1:76" s="50" customFormat="1" x14ac:dyDescent="0.25">
      <c r="A78" s="49"/>
      <c r="B78" s="48"/>
      <c r="C78" s="48"/>
      <c r="D78" s="48"/>
      <c r="E78" s="48"/>
      <c r="F78" s="48"/>
      <c r="G78" s="48"/>
      <c r="H78" s="48"/>
      <c r="I78" s="48"/>
      <c r="J78" s="55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</row>
    <row r="79" spans="1:76" s="50" customFormat="1" x14ac:dyDescent="0.25">
      <c r="A79" s="49"/>
      <c r="B79" s="46"/>
      <c r="C79" s="46"/>
      <c r="D79" s="46"/>
      <c r="E79" s="46"/>
      <c r="F79" s="46"/>
      <c r="G79" s="46"/>
      <c r="H79" s="46"/>
      <c r="I79" s="46"/>
      <c r="J79" s="5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</row>
    <row r="80" spans="1:76" s="50" customFormat="1" x14ac:dyDescent="0.25">
      <c r="A80" s="49"/>
      <c r="B80" s="46"/>
      <c r="C80" s="46"/>
      <c r="D80" s="46"/>
      <c r="E80" s="46"/>
      <c r="F80" s="46"/>
      <c r="G80" s="46"/>
      <c r="H80" s="46"/>
      <c r="I80" s="46"/>
      <c r="J80" s="5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</row>
    <row r="87" spans="1:76" s="50" customFormat="1" x14ac:dyDescent="0.25">
      <c r="A87" s="49"/>
      <c r="B87" s="46"/>
      <c r="C87" s="46"/>
      <c r="D87" s="46"/>
      <c r="E87" s="46"/>
      <c r="F87" s="46"/>
      <c r="G87" s="46"/>
      <c r="H87" s="46"/>
      <c r="I87" s="46"/>
      <c r="J87" s="5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</row>
    <row r="88" spans="1:76" s="50" customFormat="1" x14ac:dyDescent="0.25">
      <c r="A88" s="49"/>
      <c r="B88" s="46"/>
      <c r="C88" s="46"/>
      <c r="D88" s="46"/>
      <c r="E88" s="46"/>
      <c r="F88" s="46"/>
      <c r="G88" s="46"/>
      <c r="H88" s="46"/>
      <c r="I88" s="46"/>
      <c r="J88" s="5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0B8CD-6AA5-40B6-AA6C-E8CEE02EEB20}">
  <dimension ref="A1:BW88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0.7109375" defaultRowHeight="15" x14ac:dyDescent="0.25"/>
  <cols>
    <col min="1" max="1" width="7.28515625" style="32" customWidth="1"/>
    <col min="2" max="2" width="19.28515625" style="32" customWidth="1"/>
    <col min="3" max="10" width="19.28515625" style="35" customWidth="1"/>
    <col min="11" max="13" width="20" style="35" customWidth="1"/>
    <col min="14" max="16384" width="10.7109375" style="35"/>
  </cols>
  <sheetData>
    <row r="1" spans="1:12" s="30" customFormat="1" ht="30" x14ac:dyDescent="0.25">
      <c r="A1" s="29" t="s">
        <v>0</v>
      </c>
      <c r="B1" s="5" t="s">
        <v>23</v>
      </c>
      <c r="C1" s="5" t="s">
        <v>34</v>
      </c>
      <c r="D1" s="5" t="s">
        <v>24</v>
      </c>
      <c r="E1" s="5" t="s">
        <v>25</v>
      </c>
      <c r="F1" s="5" t="s">
        <v>26</v>
      </c>
      <c r="G1" s="5" t="s">
        <v>27</v>
      </c>
      <c r="H1" s="5" t="s">
        <v>28</v>
      </c>
      <c r="I1" s="5" t="s">
        <v>29</v>
      </c>
      <c r="J1" s="5" t="s">
        <v>30</v>
      </c>
    </row>
    <row r="2" spans="1:12" x14ac:dyDescent="0.25">
      <c r="A2" s="31">
        <v>1945</v>
      </c>
      <c r="C2" s="33"/>
      <c r="D2" s="33"/>
      <c r="E2" s="33"/>
      <c r="F2" s="33"/>
      <c r="G2" s="33"/>
      <c r="H2" s="34"/>
      <c r="J2" s="34"/>
      <c r="K2" s="36"/>
      <c r="L2" s="36"/>
    </row>
    <row r="3" spans="1:12" x14ac:dyDescent="0.25">
      <c r="A3" s="31">
        <v>1946</v>
      </c>
      <c r="C3" s="33"/>
      <c r="D3" s="33"/>
      <c r="E3" s="33"/>
      <c r="F3" s="33"/>
      <c r="G3" s="33"/>
      <c r="H3" s="34"/>
      <c r="J3" s="34"/>
      <c r="K3" s="36"/>
      <c r="L3" s="36"/>
    </row>
    <row r="4" spans="1:12" x14ac:dyDescent="0.25">
      <c r="A4" s="31">
        <v>1947</v>
      </c>
      <c r="C4" s="33"/>
      <c r="D4" s="33"/>
      <c r="E4" s="33"/>
      <c r="F4" s="33"/>
      <c r="G4" s="33"/>
      <c r="H4" s="34"/>
      <c r="J4" s="34"/>
      <c r="K4" s="36"/>
      <c r="L4" s="36"/>
    </row>
    <row r="5" spans="1:12" x14ac:dyDescent="0.25">
      <c r="A5" s="31">
        <v>1948</v>
      </c>
      <c r="C5" s="33"/>
      <c r="D5" s="33"/>
      <c r="E5" s="33"/>
      <c r="F5" s="33"/>
      <c r="G5" s="33"/>
      <c r="H5" s="34"/>
      <c r="J5" s="34"/>
      <c r="K5" s="36"/>
      <c r="L5" s="36"/>
    </row>
    <row r="6" spans="1:12" x14ac:dyDescent="0.25">
      <c r="A6" s="31">
        <v>1949</v>
      </c>
      <c r="C6" s="33"/>
      <c r="D6" s="33"/>
      <c r="E6" s="33"/>
      <c r="F6" s="33"/>
      <c r="G6" s="33"/>
      <c r="H6" s="34"/>
      <c r="J6" s="34"/>
      <c r="K6" s="36"/>
      <c r="L6" s="36"/>
    </row>
    <row r="7" spans="1:12" x14ac:dyDescent="0.25">
      <c r="A7" s="31">
        <v>1950</v>
      </c>
      <c r="C7" s="33"/>
      <c r="D7" s="33"/>
      <c r="E7" s="33"/>
      <c r="F7" s="33"/>
      <c r="G7" s="33"/>
      <c r="H7" s="34"/>
      <c r="J7" s="34"/>
      <c r="K7" s="36"/>
      <c r="L7" s="36"/>
    </row>
    <row r="8" spans="1:12" x14ac:dyDescent="0.25">
      <c r="A8" s="31">
        <v>1951</v>
      </c>
      <c r="C8" s="33"/>
      <c r="D8" s="33"/>
      <c r="E8" s="33"/>
      <c r="F8" s="33"/>
      <c r="G8" s="33"/>
      <c r="H8" s="34"/>
      <c r="J8" s="34"/>
      <c r="K8" s="36"/>
      <c r="L8" s="36"/>
    </row>
    <row r="9" spans="1:12" x14ac:dyDescent="0.25">
      <c r="A9" s="31">
        <v>1952</v>
      </c>
      <c r="C9" s="37">
        <v>27800</v>
      </c>
      <c r="D9" s="37">
        <v>37.200000000000003</v>
      </c>
      <c r="E9" s="37">
        <v>103.7</v>
      </c>
      <c r="F9" s="37">
        <v>52800</v>
      </c>
      <c r="G9" s="33"/>
      <c r="H9" s="34"/>
      <c r="J9" s="34"/>
      <c r="K9" s="36"/>
      <c r="L9" s="36"/>
    </row>
    <row r="10" spans="1:12" x14ac:dyDescent="0.25">
      <c r="A10" s="31">
        <v>1953</v>
      </c>
      <c r="B10" s="37">
        <v>45</v>
      </c>
      <c r="C10" s="37">
        <v>25800</v>
      </c>
      <c r="D10" s="37">
        <v>31.3</v>
      </c>
      <c r="E10" s="37">
        <v>113.3</v>
      </c>
      <c r="F10" s="37">
        <v>52100</v>
      </c>
      <c r="G10" s="37">
        <v>113</v>
      </c>
      <c r="H10" s="38">
        <v>0.13</v>
      </c>
      <c r="I10" s="38">
        <v>0.49</v>
      </c>
      <c r="J10" s="37">
        <v>228</v>
      </c>
      <c r="K10" s="36"/>
      <c r="L10" s="36"/>
    </row>
    <row r="11" spans="1:12" x14ac:dyDescent="0.25">
      <c r="A11" s="31">
        <v>1954</v>
      </c>
      <c r="B11" s="37">
        <v>47.235999999999997</v>
      </c>
      <c r="C11" s="37">
        <v>25500</v>
      </c>
      <c r="D11" s="37">
        <v>32.1</v>
      </c>
      <c r="E11" s="37">
        <v>115.7</v>
      </c>
      <c r="F11" s="37">
        <v>59000</v>
      </c>
      <c r="G11" s="33"/>
      <c r="H11" s="34"/>
      <c r="J11" s="34"/>
      <c r="K11" s="36"/>
      <c r="L11" s="36"/>
    </row>
    <row r="12" spans="1:12" x14ac:dyDescent="0.25">
      <c r="A12" s="31">
        <v>1955</v>
      </c>
      <c r="B12" s="37">
        <v>55.337000000000003</v>
      </c>
      <c r="C12" s="37">
        <v>22700</v>
      </c>
      <c r="D12" s="37">
        <v>42.9</v>
      </c>
      <c r="E12" s="37">
        <v>138.69999999999999</v>
      </c>
      <c r="F12" s="37">
        <v>68700</v>
      </c>
      <c r="G12" s="33"/>
      <c r="H12" s="34"/>
      <c r="J12" s="34"/>
      <c r="K12" s="36"/>
      <c r="L12" s="36"/>
    </row>
    <row r="13" spans="1:12" x14ac:dyDescent="0.25">
      <c r="A13" s="31">
        <v>1956</v>
      </c>
      <c r="B13" s="37">
        <v>61.127000000000002</v>
      </c>
      <c r="C13" s="37">
        <v>26700</v>
      </c>
      <c r="D13" s="37">
        <v>31.9</v>
      </c>
      <c r="E13" s="37">
        <v>157.6</v>
      </c>
      <c r="F13" s="37">
        <v>94900</v>
      </c>
      <c r="G13" s="33"/>
      <c r="H13" s="34"/>
      <c r="J13" s="34"/>
      <c r="K13" s="36"/>
      <c r="L13" s="36"/>
    </row>
    <row r="14" spans="1:12" x14ac:dyDescent="0.25">
      <c r="A14" s="31">
        <v>1957</v>
      </c>
      <c r="B14" s="37">
        <v>66.206000000000003</v>
      </c>
      <c r="C14" s="37">
        <v>26951</v>
      </c>
      <c r="D14" s="37">
        <v>23.164999999999999</v>
      </c>
      <c r="E14" s="37">
        <v>159.5</v>
      </c>
      <c r="F14" s="37">
        <v>128900</v>
      </c>
      <c r="G14" s="33"/>
      <c r="H14" s="34"/>
      <c r="J14" s="34"/>
      <c r="K14" s="36"/>
      <c r="L14" s="36"/>
    </row>
    <row r="15" spans="1:12" x14ac:dyDescent="0.25">
      <c r="A15" s="31">
        <v>1958</v>
      </c>
      <c r="B15" s="37">
        <v>71.2</v>
      </c>
      <c r="C15" s="37">
        <v>30365</v>
      </c>
      <c r="D15" s="37">
        <v>10.842000000000001</v>
      </c>
      <c r="E15" s="37">
        <v>177</v>
      </c>
      <c r="F15" s="37">
        <v>162900</v>
      </c>
      <c r="G15" s="33"/>
      <c r="H15" s="34"/>
      <c r="J15" s="34"/>
      <c r="K15" s="36"/>
      <c r="L15" s="36"/>
    </row>
    <row r="16" spans="1:12" x14ac:dyDescent="0.25">
      <c r="A16" s="31">
        <v>1959</v>
      </c>
      <c r="B16" s="37">
        <v>83.5</v>
      </c>
      <c r="C16" s="37">
        <v>31500</v>
      </c>
      <c r="D16" s="37">
        <v>5.8140000000000001</v>
      </c>
      <c r="E16" s="37">
        <v>203.3</v>
      </c>
      <c r="F16" s="37">
        <v>186700</v>
      </c>
      <c r="G16" s="33"/>
      <c r="H16" s="34"/>
      <c r="J16" s="34"/>
      <c r="K16" s="36"/>
      <c r="L16" s="36"/>
    </row>
    <row r="17" spans="1:12" x14ac:dyDescent="0.25">
      <c r="A17" s="31">
        <v>1960</v>
      </c>
      <c r="B17" s="37">
        <v>82.6</v>
      </c>
      <c r="C17" s="33"/>
      <c r="D17" s="37">
        <v>6.8550000000000004</v>
      </c>
      <c r="E17" s="37">
        <v>222.5</v>
      </c>
      <c r="F17" s="37">
        <v>222900</v>
      </c>
      <c r="G17" s="33"/>
      <c r="H17" s="34"/>
      <c r="J17" s="34"/>
      <c r="K17" s="36"/>
      <c r="L17" s="36"/>
    </row>
    <row r="18" spans="1:12" x14ac:dyDescent="0.25">
      <c r="A18" s="31">
        <v>1961</v>
      </c>
      <c r="B18" s="37">
        <v>84</v>
      </c>
      <c r="C18" s="37">
        <f>144200/8.94+2600</f>
        <v>18729.753914988814</v>
      </c>
      <c r="D18" s="37">
        <v>4.5670000000000002</v>
      </c>
      <c r="E18" s="37">
        <v>220</v>
      </c>
      <c r="F18" s="37">
        <v>222300</v>
      </c>
      <c r="G18" s="33"/>
      <c r="H18" s="34"/>
      <c r="J18" s="34"/>
      <c r="K18" s="36"/>
      <c r="L18" s="36"/>
    </row>
    <row r="19" spans="1:12" x14ac:dyDescent="0.25">
      <c r="A19" s="31">
        <v>1962</v>
      </c>
      <c r="B19" s="37">
        <v>97.3</v>
      </c>
      <c r="C19" s="37">
        <f>121200/8.94+1600</f>
        <v>15157.046979865772</v>
      </c>
      <c r="D19" s="37">
        <v>4.0999999999999996</v>
      </c>
      <c r="E19" s="37">
        <v>255.6</v>
      </c>
      <c r="F19" s="37">
        <v>242100</v>
      </c>
      <c r="G19" s="33"/>
      <c r="H19" s="34"/>
      <c r="J19" s="34"/>
      <c r="K19" s="36"/>
      <c r="L19" s="36"/>
    </row>
    <row r="20" spans="1:12" x14ac:dyDescent="0.25">
      <c r="A20" s="31">
        <v>1963</v>
      </c>
      <c r="B20" s="37">
        <v>100.2</v>
      </c>
      <c r="C20" s="37">
        <f>110400/8.94+1800</f>
        <v>14148.993288590606</v>
      </c>
      <c r="D20" s="37">
        <v>3.3</v>
      </c>
      <c r="E20" s="37">
        <v>269.39999999999998</v>
      </c>
      <c r="F20" s="37">
        <v>268100</v>
      </c>
      <c r="G20" s="33"/>
      <c r="H20" s="34"/>
      <c r="J20" s="34"/>
      <c r="K20" s="36"/>
      <c r="L20" s="36"/>
    </row>
    <row r="21" spans="1:12" x14ac:dyDescent="0.25">
      <c r="A21" s="31">
        <v>1964</v>
      </c>
      <c r="B21" s="37">
        <v>114.1</v>
      </c>
      <c r="C21" s="37">
        <f>107300/8.94+1600</f>
        <v>13602.237136465325</v>
      </c>
      <c r="D21" s="37">
        <v>2.4</v>
      </c>
      <c r="E21" s="37">
        <v>283.7</v>
      </c>
      <c r="F21" s="37">
        <v>271600</v>
      </c>
      <c r="G21" s="33"/>
      <c r="H21" s="34"/>
      <c r="J21" s="34"/>
      <c r="K21" s="36"/>
      <c r="L21" s="36"/>
    </row>
    <row r="22" spans="1:12" x14ac:dyDescent="0.25">
      <c r="A22" s="31">
        <v>1965</v>
      </c>
      <c r="B22" s="37">
        <v>118.6</v>
      </c>
      <c r="C22" s="37">
        <f>112300/8.94+5400</f>
        <v>17961.521252796421</v>
      </c>
      <c r="D22" s="37">
        <v>1.7</v>
      </c>
      <c r="E22" s="37">
        <v>291.3</v>
      </c>
      <c r="F22" s="37">
        <v>295100</v>
      </c>
      <c r="G22" s="33"/>
      <c r="H22" s="34"/>
      <c r="J22" s="34"/>
      <c r="K22" s="36"/>
      <c r="L22" s="36"/>
    </row>
    <row r="23" spans="1:12" x14ac:dyDescent="0.25">
      <c r="A23" s="31">
        <v>1966</v>
      </c>
      <c r="B23" s="37">
        <v>123.2</v>
      </c>
      <c r="C23" s="37">
        <f>128300/8.94+6100</f>
        <v>20451.230425055932</v>
      </c>
      <c r="D23" s="37">
        <v>1.2</v>
      </c>
      <c r="E23" s="37">
        <v>305.8</v>
      </c>
      <c r="F23" s="37">
        <v>303000</v>
      </c>
      <c r="G23" s="33"/>
      <c r="H23" s="34"/>
      <c r="I23" s="34"/>
      <c r="J23" s="34"/>
      <c r="K23" s="36"/>
      <c r="L23" s="36"/>
    </row>
    <row r="24" spans="1:12" x14ac:dyDescent="0.25">
      <c r="A24" s="31">
        <v>1967</v>
      </c>
      <c r="C24" s="33"/>
      <c r="D24" s="33"/>
      <c r="E24" s="33"/>
      <c r="G24" s="33"/>
      <c r="H24" s="34"/>
      <c r="I24" s="34"/>
      <c r="J24" s="34"/>
      <c r="K24" s="36"/>
      <c r="L24" s="36"/>
    </row>
    <row r="25" spans="1:12" x14ac:dyDescent="0.25">
      <c r="A25" s="31">
        <v>1968</v>
      </c>
      <c r="C25" s="37">
        <v>21170.686991869919</v>
      </c>
      <c r="D25" s="37">
        <v>0.95699999999999996</v>
      </c>
      <c r="E25" s="37">
        <v>264.06599999999997</v>
      </c>
      <c r="F25" s="37">
        <v>294949</v>
      </c>
      <c r="G25" s="33"/>
      <c r="H25" s="34"/>
      <c r="I25" s="34"/>
      <c r="J25" s="34"/>
      <c r="K25" s="36"/>
      <c r="L25" s="36"/>
    </row>
    <row r="26" spans="1:12" x14ac:dyDescent="0.25">
      <c r="A26" s="31">
        <v>1969</v>
      </c>
      <c r="C26" s="33"/>
      <c r="D26" s="33"/>
      <c r="E26" s="33"/>
      <c r="F26" s="33"/>
      <c r="G26" s="33"/>
      <c r="H26" s="34"/>
      <c r="I26" s="34"/>
      <c r="J26" s="34"/>
      <c r="K26" s="36"/>
      <c r="L26" s="36"/>
    </row>
    <row r="27" spans="1:12" x14ac:dyDescent="0.25">
      <c r="A27" s="31">
        <v>1970</v>
      </c>
      <c r="C27" s="33"/>
      <c r="D27" s="33"/>
      <c r="E27" s="33"/>
      <c r="F27" s="33"/>
      <c r="G27" s="33"/>
      <c r="H27" s="34"/>
      <c r="I27" s="34"/>
      <c r="J27" s="34"/>
      <c r="K27" s="36"/>
      <c r="L27" s="36"/>
    </row>
    <row r="28" spans="1:12" x14ac:dyDescent="0.25">
      <c r="A28" s="31">
        <v>1971</v>
      </c>
      <c r="C28" s="33"/>
      <c r="D28" s="33"/>
      <c r="E28" s="33"/>
      <c r="F28" s="33"/>
      <c r="G28" s="33"/>
      <c r="H28" s="34"/>
      <c r="I28" s="34"/>
      <c r="J28" s="34"/>
      <c r="K28" s="36"/>
      <c r="L28" s="36"/>
    </row>
    <row r="29" spans="1:12" x14ac:dyDescent="0.25">
      <c r="A29" s="31">
        <v>1972</v>
      </c>
      <c r="C29" s="33"/>
      <c r="D29" s="33"/>
      <c r="E29" s="33"/>
      <c r="F29" s="33"/>
      <c r="G29" s="33"/>
      <c r="H29" s="34"/>
      <c r="I29" s="34"/>
      <c r="J29" s="34"/>
      <c r="K29" s="36"/>
      <c r="L29" s="36"/>
    </row>
    <row r="30" spans="1:12" x14ac:dyDescent="0.25">
      <c r="A30" s="31">
        <v>1973</v>
      </c>
      <c r="C30" s="33"/>
      <c r="D30" s="33"/>
      <c r="E30" s="33"/>
      <c r="F30" s="33"/>
      <c r="G30" s="33"/>
      <c r="H30" s="34"/>
      <c r="I30" s="34"/>
      <c r="J30" s="34"/>
      <c r="K30" s="36"/>
      <c r="L30" s="36"/>
    </row>
    <row r="31" spans="1:12" x14ac:dyDescent="0.25">
      <c r="A31" s="31">
        <v>1974</v>
      </c>
      <c r="C31" s="33"/>
      <c r="D31" s="33"/>
      <c r="E31" s="33"/>
      <c r="F31" s="33"/>
      <c r="G31" s="33"/>
      <c r="H31" s="34"/>
      <c r="I31" s="34"/>
      <c r="J31" s="34"/>
      <c r="K31" s="36"/>
      <c r="L31" s="36"/>
    </row>
    <row r="32" spans="1:12" x14ac:dyDescent="0.25">
      <c r="A32" s="31">
        <v>1975</v>
      </c>
      <c r="C32" s="33"/>
      <c r="D32" s="33"/>
      <c r="E32" s="33"/>
      <c r="F32" s="33"/>
      <c r="G32" s="33"/>
      <c r="H32" s="34"/>
      <c r="I32" s="34"/>
      <c r="J32" s="34"/>
      <c r="K32" s="33"/>
      <c r="L32" s="36"/>
    </row>
    <row r="33" spans="1:10" x14ac:dyDescent="0.25">
      <c r="A33" s="31">
        <v>1976</v>
      </c>
      <c r="C33" s="39"/>
      <c r="D33" s="39"/>
      <c r="E33" s="39"/>
      <c r="F33" s="39"/>
      <c r="G33" s="39"/>
      <c r="H33" s="39"/>
      <c r="I33" s="39"/>
      <c r="J33" s="39"/>
    </row>
    <row r="34" spans="1:10" x14ac:dyDescent="0.25">
      <c r="A34" s="31">
        <v>1977</v>
      </c>
      <c r="C34" s="39"/>
      <c r="D34" s="39"/>
      <c r="E34" s="39"/>
      <c r="F34" s="39"/>
      <c r="G34" s="39"/>
      <c r="H34" s="39"/>
      <c r="I34" s="39"/>
      <c r="J34" s="39"/>
    </row>
    <row r="35" spans="1:10" x14ac:dyDescent="0.25">
      <c r="A35" s="31">
        <v>1978</v>
      </c>
      <c r="B35" s="37">
        <v>123.2</v>
      </c>
      <c r="C35" s="39"/>
    </row>
    <row r="36" spans="1:10" x14ac:dyDescent="0.25">
      <c r="A36" s="31">
        <v>1979</v>
      </c>
    </row>
    <row r="37" spans="1:10" x14ac:dyDescent="0.25">
      <c r="A37" s="31">
        <v>1980</v>
      </c>
    </row>
    <row r="38" spans="1:10" x14ac:dyDescent="0.25">
      <c r="A38" s="31">
        <v>1981</v>
      </c>
    </row>
    <row r="39" spans="1:10" x14ac:dyDescent="0.25">
      <c r="A39" s="31">
        <v>1982</v>
      </c>
    </row>
    <row r="40" spans="1:10" x14ac:dyDescent="0.25">
      <c r="A40" s="31">
        <v>1983</v>
      </c>
    </row>
    <row r="41" spans="1:10" x14ac:dyDescent="0.25">
      <c r="A41" s="31">
        <v>1984</v>
      </c>
    </row>
    <row r="42" spans="1:10" x14ac:dyDescent="0.25">
      <c r="A42" s="31">
        <v>1985</v>
      </c>
    </row>
    <row r="43" spans="1:10" x14ac:dyDescent="0.25">
      <c r="A43" s="31">
        <v>1986</v>
      </c>
    </row>
    <row r="44" spans="1:10" x14ac:dyDescent="0.25">
      <c r="A44" s="31">
        <v>1987</v>
      </c>
    </row>
    <row r="45" spans="1:10" x14ac:dyDescent="0.25">
      <c r="A45" s="31">
        <v>1988</v>
      </c>
    </row>
    <row r="46" spans="1:10" x14ac:dyDescent="0.25">
      <c r="A46" s="31">
        <v>1989</v>
      </c>
    </row>
    <row r="47" spans="1:10" x14ac:dyDescent="0.25">
      <c r="A47" s="31">
        <v>1990</v>
      </c>
    </row>
    <row r="48" spans="1:10" x14ac:dyDescent="0.25">
      <c r="A48" s="31">
        <v>1991</v>
      </c>
    </row>
    <row r="49" spans="1:11" x14ac:dyDescent="0.25">
      <c r="A49" s="31">
        <v>1992</v>
      </c>
      <c r="C49" s="40"/>
      <c r="D49" s="40"/>
      <c r="E49" s="40"/>
      <c r="F49" s="40"/>
      <c r="G49" s="40"/>
      <c r="H49" s="40"/>
      <c r="I49" s="40"/>
      <c r="J49" s="40"/>
      <c r="K49" s="40"/>
    </row>
    <row r="50" spans="1:11" x14ac:dyDescent="0.25">
      <c r="A50" s="31">
        <v>1993</v>
      </c>
      <c r="C50" s="41"/>
      <c r="D50" s="41"/>
      <c r="E50" s="41"/>
      <c r="F50" s="41"/>
      <c r="G50" s="41"/>
      <c r="H50" s="41"/>
      <c r="I50" s="41"/>
      <c r="J50" s="41"/>
    </row>
    <row r="51" spans="1:11" x14ac:dyDescent="0.25">
      <c r="A51" s="31">
        <v>1994</v>
      </c>
      <c r="B51" s="37">
        <v>115.29600000000001</v>
      </c>
      <c r="C51" s="41"/>
      <c r="D51" s="41"/>
      <c r="E51" s="41"/>
      <c r="F51" s="41"/>
      <c r="G51" s="41"/>
      <c r="H51" s="41"/>
      <c r="I51" s="41"/>
      <c r="J51" s="41"/>
    </row>
    <row r="52" spans="1:11" x14ac:dyDescent="0.25">
      <c r="A52" s="31">
        <v>1995</v>
      </c>
      <c r="B52" s="37">
        <v>202</v>
      </c>
      <c r="C52" s="41"/>
      <c r="D52" s="41"/>
      <c r="E52" s="41"/>
      <c r="F52" s="41"/>
      <c r="G52" s="41"/>
      <c r="H52" s="41"/>
      <c r="I52" s="41"/>
      <c r="J52" s="41"/>
    </row>
    <row r="53" spans="1:11" x14ac:dyDescent="0.25">
      <c r="A53" s="31">
        <v>1996</v>
      </c>
      <c r="B53" s="37">
        <v>211.72192513368987</v>
      </c>
      <c r="C53" s="41"/>
      <c r="D53" s="41"/>
      <c r="E53" s="41"/>
      <c r="F53" s="41"/>
      <c r="G53" s="41"/>
      <c r="H53" s="41"/>
      <c r="I53" s="41"/>
      <c r="J53" s="41"/>
    </row>
    <row r="54" spans="1:11" x14ac:dyDescent="0.25">
      <c r="A54" s="31">
        <v>1997</v>
      </c>
      <c r="B54" s="42">
        <v>114</v>
      </c>
      <c r="C54" s="41"/>
      <c r="D54" s="41"/>
      <c r="E54" s="41"/>
      <c r="F54" s="41"/>
      <c r="G54" s="41"/>
      <c r="H54" s="41"/>
      <c r="I54" s="41"/>
      <c r="J54" s="41"/>
    </row>
    <row r="55" spans="1:11" x14ac:dyDescent="0.25">
      <c r="A55" s="31">
        <v>1998</v>
      </c>
      <c r="B55" s="41"/>
      <c r="C55" s="41"/>
      <c r="D55" s="41"/>
      <c r="E55" s="41"/>
      <c r="F55" s="41"/>
      <c r="G55" s="41"/>
      <c r="H55" s="41"/>
      <c r="I55" s="41"/>
      <c r="J55" s="41"/>
    </row>
    <row r="56" spans="1:11" x14ac:dyDescent="0.25">
      <c r="A56" s="31">
        <v>1999</v>
      </c>
      <c r="C56" s="41"/>
      <c r="D56" s="41"/>
      <c r="E56" s="41"/>
      <c r="F56" s="41"/>
      <c r="G56" s="41"/>
      <c r="H56" s="41"/>
      <c r="I56" s="41"/>
      <c r="J56" s="41"/>
    </row>
    <row r="57" spans="1:11" x14ac:dyDescent="0.25">
      <c r="A57" s="31">
        <v>2000</v>
      </c>
      <c r="C57" s="41"/>
      <c r="D57" s="41"/>
      <c r="E57" s="41"/>
      <c r="F57" s="41"/>
      <c r="G57" s="41"/>
      <c r="H57" s="41"/>
      <c r="I57" s="41"/>
      <c r="J57" s="41"/>
    </row>
    <row r="58" spans="1:11" x14ac:dyDescent="0.25">
      <c r="A58" s="31">
        <v>2001</v>
      </c>
      <c r="C58" s="41"/>
      <c r="D58" s="41"/>
      <c r="E58" s="41"/>
      <c r="F58" s="41"/>
      <c r="G58" s="41"/>
      <c r="H58" s="41"/>
      <c r="I58" s="41"/>
      <c r="J58" s="41"/>
    </row>
    <row r="59" spans="1:11" x14ac:dyDescent="0.25">
      <c r="A59" s="31">
        <v>2002</v>
      </c>
      <c r="C59" s="41"/>
      <c r="D59" s="41"/>
      <c r="E59" s="41"/>
      <c r="F59" s="41"/>
      <c r="G59" s="41"/>
      <c r="H59" s="41"/>
      <c r="I59" s="41"/>
      <c r="J59" s="41"/>
    </row>
    <row r="60" spans="1:11" x14ac:dyDescent="0.25">
      <c r="A60" s="31">
        <v>2003</v>
      </c>
      <c r="C60" s="41"/>
      <c r="D60" s="41"/>
      <c r="E60" s="41"/>
      <c r="F60" s="41"/>
      <c r="G60" s="41"/>
      <c r="H60" s="41"/>
      <c r="I60" s="41"/>
      <c r="J60" s="41"/>
    </row>
    <row r="61" spans="1:11" x14ac:dyDescent="0.25">
      <c r="A61" s="31">
        <v>2004</v>
      </c>
      <c r="C61" s="41"/>
      <c r="D61" s="41"/>
      <c r="E61" s="41"/>
      <c r="F61" s="41"/>
      <c r="G61" s="41"/>
      <c r="H61" s="41"/>
      <c r="I61" s="41"/>
      <c r="J61" s="41"/>
    </row>
    <row r="62" spans="1:11" x14ac:dyDescent="0.25">
      <c r="A62" s="31">
        <v>2005</v>
      </c>
      <c r="C62" s="41"/>
      <c r="D62" s="41"/>
      <c r="E62" s="41"/>
      <c r="F62" s="41"/>
      <c r="G62" s="41"/>
      <c r="H62" s="41"/>
      <c r="I62" s="41"/>
      <c r="J62" s="41"/>
    </row>
    <row r="63" spans="1:11" x14ac:dyDescent="0.25">
      <c r="A63" s="31">
        <v>2006</v>
      </c>
      <c r="C63" s="41"/>
      <c r="D63" s="41"/>
      <c r="E63" s="41"/>
      <c r="F63" s="41"/>
      <c r="G63" s="41"/>
      <c r="H63" s="41"/>
      <c r="I63" s="41"/>
      <c r="J63" s="41"/>
    </row>
    <row r="64" spans="1:11" x14ac:dyDescent="0.25">
      <c r="A64" s="31">
        <v>2007</v>
      </c>
      <c r="C64" s="41"/>
      <c r="D64" s="41"/>
      <c r="E64" s="41"/>
      <c r="F64" s="41"/>
      <c r="G64" s="41"/>
      <c r="H64" s="41"/>
      <c r="I64" s="41"/>
      <c r="J64" s="41"/>
    </row>
    <row r="65" spans="1:75" x14ac:dyDescent="0.25">
      <c r="A65" s="31">
        <v>2008</v>
      </c>
    </row>
    <row r="66" spans="1:75" x14ac:dyDescent="0.25">
      <c r="A66" s="31">
        <v>2009</v>
      </c>
    </row>
    <row r="67" spans="1:75" x14ac:dyDescent="0.25">
      <c r="A67" s="31">
        <v>2010</v>
      </c>
    </row>
    <row r="68" spans="1:75" x14ac:dyDescent="0.25">
      <c r="A68" s="31">
        <v>2011</v>
      </c>
    </row>
    <row r="69" spans="1:75" x14ac:dyDescent="0.25">
      <c r="A69" s="31">
        <v>2012</v>
      </c>
    </row>
    <row r="70" spans="1:75" x14ac:dyDescent="0.25">
      <c r="A70" s="31">
        <v>2013</v>
      </c>
    </row>
    <row r="71" spans="1:75" x14ac:dyDescent="0.25">
      <c r="A71" s="31">
        <v>2014</v>
      </c>
    </row>
    <row r="72" spans="1:75" x14ac:dyDescent="0.25">
      <c r="A72" s="31">
        <v>2015</v>
      </c>
    </row>
    <row r="73" spans="1:75" x14ac:dyDescent="0.25">
      <c r="A73" s="31">
        <v>2016</v>
      </c>
    </row>
    <row r="74" spans="1:75" x14ac:dyDescent="0.25">
      <c r="A74" s="31">
        <v>2017</v>
      </c>
    </row>
    <row r="75" spans="1:75" x14ac:dyDescent="0.25">
      <c r="A75" s="31">
        <v>2018</v>
      </c>
    </row>
    <row r="76" spans="1:75" x14ac:dyDescent="0.25">
      <c r="A76" s="31">
        <v>2019</v>
      </c>
    </row>
    <row r="77" spans="1:75" x14ac:dyDescent="0.25">
      <c r="A77" s="31">
        <v>2020</v>
      </c>
    </row>
    <row r="78" spans="1:75" s="43" customFormat="1" x14ac:dyDescent="0.25">
      <c r="A78" s="32"/>
      <c r="B78" s="32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  <c r="BK78" s="35"/>
      <c r="BL78" s="35"/>
      <c r="BM78" s="35"/>
      <c r="BN78" s="35"/>
      <c r="BO78" s="35"/>
      <c r="BP78" s="35"/>
      <c r="BQ78" s="35"/>
      <c r="BR78" s="35"/>
      <c r="BS78" s="35"/>
      <c r="BT78" s="35"/>
      <c r="BU78" s="35"/>
      <c r="BV78" s="35"/>
      <c r="BW78" s="35"/>
    </row>
    <row r="79" spans="1:75" s="43" customFormat="1" x14ac:dyDescent="0.25">
      <c r="A79" s="32"/>
      <c r="B79" s="32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  <c r="BV79" s="35"/>
      <c r="BW79" s="35"/>
    </row>
    <row r="80" spans="1:75" s="43" customFormat="1" x14ac:dyDescent="0.25">
      <c r="A80" s="32"/>
      <c r="B80" s="32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  <c r="BP80" s="35"/>
      <c r="BQ80" s="35"/>
      <c r="BR80" s="35"/>
      <c r="BS80" s="35"/>
      <c r="BT80" s="35"/>
      <c r="BU80" s="35"/>
      <c r="BV80" s="35"/>
      <c r="BW80" s="35"/>
    </row>
    <row r="87" spans="1:75" s="43" customFormat="1" x14ac:dyDescent="0.25">
      <c r="A87" s="32"/>
      <c r="B87" s="32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35"/>
      <c r="BM87" s="35"/>
      <c r="BN87" s="35"/>
      <c r="BO87" s="35"/>
      <c r="BP87" s="35"/>
      <c r="BQ87" s="35"/>
      <c r="BR87" s="35"/>
      <c r="BS87" s="35"/>
      <c r="BT87" s="35"/>
      <c r="BU87" s="35"/>
      <c r="BV87" s="35"/>
      <c r="BW87" s="35"/>
    </row>
    <row r="88" spans="1:75" s="43" customFormat="1" x14ac:dyDescent="0.25">
      <c r="A88" s="32"/>
      <c r="B88" s="32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  <c r="BK88" s="35"/>
      <c r="BL88" s="35"/>
      <c r="BM88" s="35"/>
      <c r="BN88" s="35"/>
      <c r="BO88" s="35"/>
      <c r="BP88" s="35"/>
      <c r="BQ88" s="35"/>
      <c r="BR88" s="35"/>
      <c r="BS88" s="35"/>
      <c r="BT88" s="35"/>
      <c r="BU88" s="35"/>
      <c r="BV88" s="35"/>
      <c r="BW88" s="35"/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DF96-AA57-46CE-950B-FAE3AC3D5FD3}">
  <dimension ref="A1:CB88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E25" sqref="E25"/>
    </sheetView>
  </sheetViews>
  <sheetFormatPr defaultColWidth="10.7109375" defaultRowHeight="15" x14ac:dyDescent="0.25"/>
  <cols>
    <col min="1" max="1" width="7.42578125" style="2" customWidth="1"/>
    <col min="2" max="17" width="21.28515625" style="6" customWidth="1"/>
    <col min="18" max="16384" width="10.7109375" style="6"/>
  </cols>
  <sheetData>
    <row r="1" spans="1:17" s="3" customFormat="1" ht="30" x14ac:dyDescent="0.25">
      <c r="A1" s="20" t="s">
        <v>0</v>
      </c>
      <c r="B1" s="5" t="s">
        <v>36</v>
      </c>
      <c r="C1" s="5" t="s">
        <v>54</v>
      </c>
      <c r="D1" s="5" t="s">
        <v>57</v>
      </c>
      <c r="E1" s="5" t="s">
        <v>55</v>
      </c>
      <c r="F1" s="5" t="s">
        <v>52</v>
      </c>
      <c r="G1" s="5" t="s">
        <v>56</v>
      </c>
      <c r="H1" s="5" t="s">
        <v>53</v>
      </c>
      <c r="I1" s="5" t="s">
        <v>37</v>
      </c>
      <c r="J1" s="57" t="s">
        <v>38</v>
      </c>
      <c r="K1" s="57" t="s">
        <v>39</v>
      </c>
      <c r="L1" s="57" t="s">
        <v>40</v>
      </c>
      <c r="M1" s="57" t="s">
        <v>41</v>
      </c>
      <c r="N1" s="57" t="s">
        <v>42</v>
      </c>
      <c r="O1" s="57" t="s">
        <v>43</v>
      </c>
      <c r="P1" s="57" t="s">
        <v>44</v>
      </c>
      <c r="Q1" s="57" t="s">
        <v>45</v>
      </c>
    </row>
    <row r="2" spans="1:17" s="1" customFormat="1" x14ac:dyDescent="0.25">
      <c r="A2" s="14">
        <v>1945</v>
      </c>
      <c r="J2" s="6"/>
    </row>
    <row r="3" spans="1:17" s="1" customFormat="1" x14ac:dyDescent="0.25">
      <c r="A3" s="14">
        <v>1946</v>
      </c>
      <c r="J3" s="6"/>
    </row>
    <row r="4" spans="1:17" s="1" customFormat="1" x14ac:dyDescent="0.25">
      <c r="A4" s="14">
        <v>1947</v>
      </c>
      <c r="B4" s="1">
        <v>2100</v>
      </c>
      <c r="J4" s="6"/>
    </row>
    <row r="5" spans="1:17" s="1" customFormat="1" x14ac:dyDescent="0.25">
      <c r="A5" s="14">
        <v>1948</v>
      </c>
      <c r="J5" s="6"/>
    </row>
    <row r="6" spans="1:17" s="1" customFormat="1" x14ac:dyDescent="0.25">
      <c r="A6" s="14">
        <v>1949</v>
      </c>
      <c r="J6" s="6"/>
    </row>
    <row r="7" spans="1:17" s="1" customFormat="1" x14ac:dyDescent="0.25">
      <c r="A7" s="14">
        <v>1950</v>
      </c>
      <c r="B7" s="1">
        <v>2050</v>
      </c>
      <c r="J7" s="6"/>
    </row>
    <row r="8" spans="1:17" s="1" customFormat="1" x14ac:dyDescent="0.25">
      <c r="A8" s="14">
        <v>1951</v>
      </c>
      <c r="J8" s="6"/>
    </row>
    <row r="9" spans="1:17" s="1" customFormat="1" x14ac:dyDescent="0.25">
      <c r="A9" s="14">
        <v>1952</v>
      </c>
      <c r="J9" s="6"/>
    </row>
    <row r="10" spans="1:17" s="1" customFormat="1" x14ac:dyDescent="0.25">
      <c r="A10" s="14">
        <v>1953</v>
      </c>
      <c r="J10" s="6"/>
    </row>
    <row r="11" spans="1:17" s="1" customFormat="1" x14ac:dyDescent="0.25">
      <c r="A11" s="14">
        <v>1954</v>
      </c>
      <c r="J11" s="6"/>
    </row>
    <row r="12" spans="1:17" s="1" customFormat="1" x14ac:dyDescent="0.25">
      <c r="A12" s="14">
        <v>1955</v>
      </c>
      <c r="J12" s="6"/>
    </row>
    <row r="13" spans="1:17" s="1" customFormat="1" x14ac:dyDescent="0.25">
      <c r="A13" s="14">
        <v>1956</v>
      </c>
      <c r="J13" s="6"/>
      <c r="K13" s="15"/>
      <c r="L13" s="15"/>
    </row>
    <row r="14" spans="1:17" s="1" customFormat="1" x14ac:dyDescent="0.25">
      <c r="A14" s="14">
        <v>1957</v>
      </c>
      <c r="J14" s="6"/>
      <c r="K14" s="15"/>
      <c r="L14" s="15"/>
    </row>
    <row r="15" spans="1:17" s="1" customFormat="1" x14ac:dyDescent="0.25">
      <c r="A15" s="14">
        <v>1958</v>
      </c>
      <c r="J15" s="6"/>
      <c r="K15" s="15"/>
      <c r="L15" s="15"/>
    </row>
    <row r="16" spans="1:17" s="1" customFormat="1" x14ac:dyDescent="0.25">
      <c r="A16" s="14">
        <v>1959</v>
      </c>
      <c r="J16" s="6"/>
      <c r="K16" s="15"/>
      <c r="L16" s="15"/>
    </row>
    <row r="17" spans="1:12" s="1" customFormat="1" x14ac:dyDescent="0.25">
      <c r="A17" s="14">
        <v>1960</v>
      </c>
      <c r="B17" s="1">
        <v>1725</v>
      </c>
      <c r="J17" s="6"/>
      <c r="K17" s="16"/>
      <c r="L17" s="16"/>
    </row>
    <row r="18" spans="1:12" s="1" customFormat="1" x14ac:dyDescent="0.25">
      <c r="A18" s="14">
        <v>1961</v>
      </c>
      <c r="J18" s="6"/>
      <c r="K18" s="15"/>
      <c r="L18" s="15"/>
    </row>
    <row r="19" spans="1:12" s="1" customFormat="1" x14ac:dyDescent="0.25">
      <c r="A19" s="14">
        <v>1962</v>
      </c>
      <c r="J19" s="6"/>
      <c r="K19" s="15"/>
      <c r="L19" s="15"/>
    </row>
    <row r="20" spans="1:12" s="1" customFormat="1" x14ac:dyDescent="0.25">
      <c r="A20" s="14">
        <v>1963</v>
      </c>
      <c r="J20" s="6"/>
      <c r="K20" s="15"/>
      <c r="L20" s="15"/>
    </row>
    <row r="21" spans="1:12" s="1" customFormat="1" x14ac:dyDescent="0.25">
      <c r="A21" s="14">
        <v>1964</v>
      </c>
      <c r="J21" s="6"/>
      <c r="K21" s="15"/>
      <c r="L21" s="15"/>
    </row>
    <row r="22" spans="1:12" s="1" customFormat="1" x14ac:dyDescent="0.25">
      <c r="A22" s="14">
        <v>1965</v>
      </c>
      <c r="B22" s="1">
        <v>1525</v>
      </c>
      <c r="J22" s="6"/>
      <c r="K22" s="16"/>
      <c r="L22" s="16"/>
    </row>
    <row r="23" spans="1:12" s="1" customFormat="1" x14ac:dyDescent="0.25">
      <c r="A23" s="14">
        <v>1966</v>
      </c>
      <c r="J23" s="6"/>
      <c r="K23" s="15"/>
      <c r="L23" s="15"/>
    </row>
    <row r="24" spans="1:12" s="1" customFormat="1" x14ac:dyDescent="0.25">
      <c r="A24" s="14">
        <v>1967</v>
      </c>
      <c r="J24" s="6"/>
      <c r="K24" s="15"/>
      <c r="L24" s="15"/>
    </row>
    <row r="25" spans="1:12" s="1" customFormat="1" x14ac:dyDescent="0.25">
      <c r="A25" s="14">
        <v>1968</v>
      </c>
      <c r="J25" s="6"/>
      <c r="K25" s="15"/>
      <c r="L25" s="15"/>
    </row>
    <row r="26" spans="1:12" s="1" customFormat="1" x14ac:dyDescent="0.25">
      <c r="A26" s="14">
        <v>1969</v>
      </c>
      <c r="J26" s="6"/>
      <c r="K26" s="15"/>
      <c r="L26" s="15"/>
    </row>
    <row r="27" spans="1:12" s="1" customFormat="1" x14ac:dyDescent="0.25">
      <c r="A27" s="14">
        <v>1970</v>
      </c>
      <c r="B27" s="1">
        <v>1340</v>
      </c>
      <c r="J27" s="6"/>
      <c r="K27" s="16"/>
      <c r="L27" s="16"/>
    </row>
    <row r="28" spans="1:12" s="1" customFormat="1" x14ac:dyDescent="0.25">
      <c r="A28" s="14">
        <v>1971</v>
      </c>
      <c r="J28" s="6"/>
      <c r="K28" s="15"/>
      <c r="L28" s="15"/>
    </row>
    <row r="29" spans="1:12" s="1" customFormat="1" x14ac:dyDescent="0.25">
      <c r="A29" s="14">
        <v>1972</v>
      </c>
      <c r="J29" s="6"/>
      <c r="K29" s="15"/>
      <c r="L29" s="15"/>
    </row>
    <row r="30" spans="1:12" s="1" customFormat="1" x14ac:dyDescent="0.25">
      <c r="A30" s="14">
        <v>1973</v>
      </c>
      <c r="J30" s="6"/>
      <c r="K30" s="15"/>
      <c r="L30" s="15"/>
    </row>
    <row r="31" spans="1:12" s="1" customFormat="1" x14ac:dyDescent="0.25">
      <c r="A31" s="14">
        <v>1974</v>
      </c>
      <c r="J31" s="6"/>
      <c r="K31" s="15"/>
      <c r="L31" s="15"/>
    </row>
    <row r="32" spans="1:12" s="1" customFormat="1" x14ac:dyDescent="0.25">
      <c r="A32" s="14">
        <v>1975</v>
      </c>
      <c r="B32" s="1">
        <v>1075</v>
      </c>
      <c r="J32" s="6"/>
      <c r="K32" s="16"/>
      <c r="L32" s="16"/>
    </row>
    <row r="33" spans="1:12" s="1" customFormat="1" x14ac:dyDescent="0.25">
      <c r="A33" s="14">
        <v>1976</v>
      </c>
      <c r="J33" s="6"/>
      <c r="K33" s="15"/>
      <c r="L33" s="15"/>
    </row>
    <row r="34" spans="1:12" s="1" customFormat="1" x14ac:dyDescent="0.25">
      <c r="A34" s="14">
        <v>1977</v>
      </c>
      <c r="J34" s="6"/>
      <c r="K34" s="15"/>
      <c r="L34" s="15"/>
    </row>
    <row r="35" spans="1:12" s="1" customFormat="1" x14ac:dyDescent="0.25">
      <c r="A35" s="14">
        <v>1978</v>
      </c>
      <c r="J35" s="6"/>
      <c r="K35" s="15"/>
      <c r="L35" s="15"/>
    </row>
    <row r="36" spans="1:12" s="1" customFormat="1" x14ac:dyDescent="0.25">
      <c r="A36" s="14">
        <v>1979</v>
      </c>
      <c r="J36" s="6"/>
      <c r="K36" s="15"/>
      <c r="L36" s="15"/>
    </row>
    <row r="37" spans="1:12" s="1" customFormat="1" x14ac:dyDescent="0.25">
      <c r="A37" s="14">
        <v>1980</v>
      </c>
      <c r="B37" s="1">
        <v>900</v>
      </c>
      <c r="J37" s="6"/>
      <c r="K37" s="16"/>
      <c r="L37" s="16"/>
    </row>
    <row r="38" spans="1:12" s="1" customFormat="1" x14ac:dyDescent="0.25">
      <c r="A38" s="14">
        <v>1981</v>
      </c>
      <c r="J38" s="6"/>
      <c r="K38" s="15"/>
      <c r="L38" s="15"/>
    </row>
    <row r="39" spans="1:12" s="1" customFormat="1" x14ac:dyDescent="0.25">
      <c r="A39" s="14">
        <v>1982</v>
      </c>
      <c r="J39" s="6"/>
      <c r="K39" s="15"/>
      <c r="L39" s="15"/>
    </row>
    <row r="40" spans="1:12" s="1" customFormat="1" x14ac:dyDescent="0.25">
      <c r="A40" s="14">
        <v>1983</v>
      </c>
      <c r="J40" s="6"/>
      <c r="K40" s="15"/>
      <c r="L40" s="15"/>
    </row>
    <row r="41" spans="1:12" s="1" customFormat="1" x14ac:dyDescent="0.25">
      <c r="A41" s="14">
        <v>1984</v>
      </c>
      <c r="J41" s="6"/>
      <c r="K41" s="15"/>
      <c r="L41" s="15"/>
    </row>
    <row r="42" spans="1:12" s="1" customFormat="1" x14ac:dyDescent="0.25">
      <c r="A42" s="14">
        <v>1985</v>
      </c>
      <c r="B42" s="1">
        <v>800</v>
      </c>
      <c r="J42" s="6"/>
      <c r="K42" s="16"/>
      <c r="L42" s="16"/>
    </row>
    <row r="43" spans="1:12" s="1" customFormat="1" x14ac:dyDescent="0.25">
      <c r="A43" s="14">
        <v>1986</v>
      </c>
      <c r="J43" s="6"/>
      <c r="K43" s="15"/>
      <c r="L43" s="15"/>
    </row>
    <row r="44" spans="1:12" s="1" customFormat="1" x14ac:dyDescent="0.25">
      <c r="A44" s="14">
        <v>1987</v>
      </c>
      <c r="J44" s="6"/>
      <c r="K44" s="15"/>
      <c r="L44" s="15"/>
    </row>
    <row r="45" spans="1:12" s="1" customFormat="1" x14ac:dyDescent="0.25">
      <c r="A45" s="14">
        <v>1988</v>
      </c>
      <c r="J45" s="6"/>
      <c r="K45" s="15"/>
      <c r="L45" s="15"/>
    </row>
    <row r="46" spans="1:12" s="1" customFormat="1" x14ac:dyDescent="0.25">
      <c r="A46" s="14">
        <v>1989</v>
      </c>
      <c r="J46" s="6"/>
      <c r="K46" s="15"/>
      <c r="L46" s="15"/>
    </row>
    <row r="47" spans="1:12" s="1" customFormat="1" x14ac:dyDescent="0.25">
      <c r="A47" s="14">
        <v>1990</v>
      </c>
      <c r="B47" s="1">
        <v>690</v>
      </c>
      <c r="I47" s="11">
        <f>21000/4800</f>
        <v>4.375</v>
      </c>
      <c r="J47" s="6"/>
      <c r="K47" s="16"/>
      <c r="L47" s="16"/>
    </row>
    <row r="48" spans="1:12" s="1" customFormat="1" x14ac:dyDescent="0.25">
      <c r="A48" s="14">
        <v>1991</v>
      </c>
      <c r="J48" s="6"/>
      <c r="K48" s="15"/>
      <c r="L48" s="15"/>
    </row>
    <row r="49" spans="1:17" s="1" customFormat="1" x14ac:dyDescent="0.25">
      <c r="A49" s="14">
        <v>1992</v>
      </c>
      <c r="J49" s="6"/>
      <c r="K49" s="15"/>
      <c r="L49" s="15"/>
    </row>
    <row r="50" spans="1:17" s="1" customFormat="1" x14ac:dyDescent="0.25">
      <c r="A50" s="14">
        <v>1993</v>
      </c>
      <c r="I50" s="11">
        <f>20000/4601</f>
        <v>4.3468811128015652</v>
      </c>
      <c r="J50" s="6"/>
      <c r="K50" s="15"/>
      <c r="L50" s="15"/>
    </row>
    <row r="51" spans="1:17" s="1" customFormat="1" x14ac:dyDescent="0.25">
      <c r="A51" s="14">
        <v>1994</v>
      </c>
      <c r="I51" s="11"/>
      <c r="J51" s="6"/>
      <c r="K51" s="15"/>
      <c r="L51" s="15"/>
    </row>
    <row r="52" spans="1:17" s="1" customFormat="1" x14ac:dyDescent="0.25">
      <c r="A52" s="14">
        <v>1995</v>
      </c>
      <c r="B52" s="1">
        <v>710</v>
      </c>
      <c r="I52" s="11"/>
      <c r="J52" s="6"/>
      <c r="K52" s="15"/>
      <c r="L52" s="15"/>
    </row>
    <row r="53" spans="1:17" s="1" customFormat="1" x14ac:dyDescent="0.25">
      <c r="A53" s="14">
        <v>1996</v>
      </c>
      <c r="I53" s="11"/>
      <c r="J53" s="6"/>
      <c r="K53" s="16"/>
      <c r="L53" s="16"/>
    </row>
    <row r="54" spans="1:17" s="1" customFormat="1" x14ac:dyDescent="0.25">
      <c r="A54" s="14">
        <v>1997</v>
      </c>
      <c r="I54" s="11">
        <f>15250/4253</f>
        <v>3.5857042087937927</v>
      </c>
      <c r="J54" s="1">
        <v>0.54</v>
      </c>
      <c r="K54" s="1">
        <v>4</v>
      </c>
      <c r="L54" s="1">
        <v>0.02</v>
      </c>
      <c r="M54" s="1">
        <v>0.1</v>
      </c>
      <c r="N54" s="1">
        <v>2E-3</v>
      </c>
      <c r="O54" s="1">
        <v>0.01</v>
      </c>
      <c r="P54" s="1">
        <v>0.01</v>
      </c>
      <c r="Q54" s="1">
        <v>0.08</v>
      </c>
    </row>
    <row r="55" spans="1:17" s="1" customFormat="1" x14ac:dyDescent="0.25">
      <c r="A55" s="14">
        <v>1998</v>
      </c>
      <c r="I55" s="11"/>
      <c r="J55" s="6"/>
      <c r="K55" s="15"/>
      <c r="L55" s="15"/>
    </row>
    <row r="56" spans="1:17" s="1" customFormat="1" x14ac:dyDescent="0.25">
      <c r="A56" s="14">
        <v>1999</v>
      </c>
      <c r="I56" s="11"/>
      <c r="J56" s="6"/>
      <c r="K56" s="15"/>
      <c r="L56" s="15"/>
    </row>
    <row r="57" spans="1:17" s="1" customFormat="1" x14ac:dyDescent="0.25">
      <c r="A57" s="14">
        <v>2000</v>
      </c>
      <c r="B57" s="1">
        <v>610</v>
      </c>
      <c r="I57" s="11">
        <f>14500/5523.5</f>
        <v>2.6251470987598444</v>
      </c>
      <c r="J57" s="6"/>
      <c r="K57" s="15"/>
      <c r="L57" s="15"/>
    </row>
    <row r="58" spans="1:17" s="1" customFormat="1" x14ac:dyDescent="0.25">
      <c r="A58" s="14">
        <v>2001</v>
      </c>
      <c r="I58" s="11"/>
      <c r="J58" s="6"/>
      <c r="K58" s="15"/>
      <c r="L58" s="15"/>
    </row>
    <row r="59" spans="1:17" s="1" customFormat="1" x14ac:dyDescent="0.25">
      <c r="A59" s="14">
        <v>2002</v>
      </c>
      <c r="I59" s="11"/>
      <c r="J59" s="6"/>
      <c r="K59" s="15"/>
      <c r="L59" s="15"/>
    </row>
    <row r="60" spans="1:17" s="1" customFormat="1" x14ac:dyDescent="0.25">
      <c r="A60" s="14">
        <v>2003</v>
      </c>
      <c r="I60" s="11"/>
      <c r="J60" s="6"/>
      <c r="K60" s="15"/>
      <c r="L60" s="15"/>
    </row>
    <row r="61" spans="1:17" s="1" customFormat="1" x14ac:dyDescent="0.25">
      <c r="A61" s="14">
        <v>2004</v>
      </c>
      <c r="I61" s="11">
        <f>12350/5661</f>
        <v>2.1815933580639464</v>
      </c>
      <c r="J61" s="6"/>
      <c r="K61" s="15"/>
      <c r="L61" s="15"/>
    </row>
    <row r="62" spans="1:17" s="1" customFormat="1" x14ac:dyDescent="0.25">
      <c r="A62" s="14">
        <v>2005</v>
      </c>
      <c r="B62" s="1">
        <v>580</v>
      </c>
      <c r="I62" s="11">
        <f>12100/5569</f>
        <v>2.1727419644460406</v>
      </c>
      <c r="J62" s="6"/>
      <c r="K62" s="15"/>
      <c r="L62" s="15"/>
    </row>
    <row r="63" spans="1:17" s="1" customFormat="1" x14ac:dyDescent="0.25">
      <c r="A63" s="14">
        <v>2006</v>
      </c>
      <c r="B63" s="1">
        <v>550</v>
      </c>
      <c r="J63" s="6"/>
      <c r="K63" s="16"/>
      <c r="L63" s="16"/>
    </row>
    <row r="64" spans="1:17" s="1" customFormat="1" x14ac:dyDescent="0.25">
      <c r="A64" s="14">
        <v>2007</v>
      </c>
      <c r="J64" s="6"/>
      <c r="K64" s="15"/>
      <c r="L64" s="15"/>
    </row>
    <row r="65" spans="1:80" s="1" customFormat="1" x14ac:dyDescent="0.25">
      <c r="A65" s="14">
        <v>2008</v>
      </c>
      <c r="J65" s="6"/>
      <c r="K65" s="15"/>
      <c r="L65" s="15"/>
    </row>
    <row r="66" spans="1:80" s="1" customFormat="1" x14ac:dyDescent="0.25">
      <c r="A66" s="14">
        <v>2009</v>
      </c>
      <c r="J66" s="6"/>
    </row>
    <row r="67" spans="1:80" s="1" customFormat="1" x14ac:dyDescent="0.25">
      <c r="A67" s="14">
        <v>2010</v>
      </c>
      <c r="B67" s="1">
        <v>535</v>
      </c>
      <c r="J67" s="6"/>
    </row>
    <row r="68" spans="1:80" s="1" customFormat="1" x14ac:dyDescent="0.25">
      <c r="A68" s="14">
        <v>2011</v>
      </c>
      <c r="J68" s="6"/>
    </row>
    <row r="69" spans="1:80" s="1" customFormat="1" x14ac:dyDescent="0.25">
      <c r="A69" s="14">
        <v>2012</v>
      </c>
      <c r="C69" s="1">
        <v>720</v>
      </c>
      <c r="D69" s="1">
        <v>1112</v>
      </c>
      <c r="E69" s="1">
        <v>1832</v>
      </c>
      <c r="F69" s="1">
        <v>1068</v>
      </c>
      <c r="G69" s="1">
        <v>1460</v>
      </c>
      <c r="H69" s="1">
        <v>2168</v>
      </c>
      <c r="J69" s="6"/>
    </row>
    <row r="70" spans="1:80" s="1" customFormat="1" x14ac:dyDescent="0.25">
      <c r="A70" s="14">
        <v>2013</v>
      </c>
      <c r="J70" s="6"/>
    </row>
    <row r="71" spans="1:80" s="1" customFormat="1" x14ac:dyDescent="0.25">
      <c r="A71" s="14">
        <v>2014</v>
      </c>
      <c r="J71" s="6"/>
    </row>
    <row r="72" spans="1:80" s="1" customFormat="1" x14ac:dyDescent="0.25">
      <c r="A72" s="14">
        <v>2015</v>
      </c>
      <c r="B72" s="1">
        <v>513</v>
      </c>
      <c r="J72" s="6"/>
    </row>
    <row r="73" spans="1:80" s="1" customFormat="1" x14ac:dyDescent="0.25">
      <c r="A73" s="14">
        <v>2016</v>
      </c>
      <c r="J73" s="6"/>
    </row>
    <row r="74" spans="1:80" s="1" customFormat="1" x14ac:dyDescent="0.25">
      <c r="A74" s="14">
        <v>2017</v>
      </c>
      <c r="J74" s="6"/>
    </row>
    <row r="75" spans="1:80" s="1" customFormat="1" x14ac:dyDescent="0.25">
      <c r="A75" s="14">
        <v>2018</v>
      </c>
      <c r="B75" s="1">
        <v>510</v>
      </c>
      <c r="J75" s="6"/>
    </row>
    <row r="76" spans="1:80" s="1" customFormat="1" x14ac:dyDescent="0.25">
      <c r="A76" s="14">
        <v>2019</v>
      </c>
      <c r="J76" s="6"/>
    </row>
    <row r="77" spans="1:80" s="1" customFormat="1" x14ac:dyDescent="0.25">
      <c r="A77" s="14">
        <v>2020</v>
      </c>
      <c r="J77" s="6"/>
    </row>
    <row r="78" spans="1:80" s="4" customFormat="1" x14ac:dyDescent="0.25">
      <c r="A78" s="2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</row>
    <row r="79" spans="1:80" s="4" customFormat="1" x14ac:dyDescent="0.25">
      <c r="A79" s="2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</row>
    <row r="80" spans="1:80" s="4" customFormat="1" x14ac:dyDescent="0.25">
      <c r="A80" s="2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</row>
    <row r="87" spans="1:80" s="4" customFormat="1" x14ac:dyDescent="0.25">
      <c r="A87" s="2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</row>
    <row r="88" spans="1:80" s="4" customFormat="1" x14ac:dyDescent="0.25">
      <c r="A88" s="2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stock</vt:lpstr>
      <vt:lpstr>consumption</vt:lpstr>
      <vt:lpstr>prod</vt:lpstr>
      <vt:lpstr>import</vt:lpstr>
      <vt:lpstr>export</vt:lpstr>
      <vt:lpstr>workforce</vt:lpstr>
      <vt:lpstr>RawMat_Intensity</vt:lpstr>
      <vt:lpstr>RawMat_FlatGlass_ABS</vt:lpstr>
      <vt:lpstr>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cp:lastPrinted>2020-11-25T15:58:55Z</cp:lastPrinted>
  <dcterms:created xsi:type="dcterms:W3CDTF">2020-05-20T17:08:53Z</dcterms:created>
  <dcterms:modified xsi:type="dcterms:W3CDTF">2020-11-25T19:06:58Z</dcterms:modified>
</cp:coreProperties>
</file>